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09625ADB-7AC8-5C4F-9C25-A11C1C8FC5F7}" xr6:coauthVersionLast="43" xr6:coauthVersionMax="43" xr10:uidLastSave="{00000000-0000-0000-0000-000000000000}"/>
  <bookViews>
    <workbookView xWindow="0" yWindow="0" windowWidth="25600" windowHeight="16000" firstSheet="2" activeTab="2" xr2:uid="{392C2453-E47A-3548-8320-C75D9244874E}"/>
  </bookViews>
  <sheets>
    <sheet name="Summary" sheetId="10" r:id="rId1"/>
    <sheet name="GasProd" sheetId="22" r:id="rId2"/>
    <sheet name="Imports" sheetId="23" r:id="rId3"/>
    <sheet name="2 years-0.1" sheetId="14" r:id="rId4"/>
    <sheet name="2 years-0.3" sheetId="2" r:id="rId5"/>
    <sheet name="2 years-0.5" sheetId="15" r:id="rId6"/>
    <sheet name="2 years-1" sheetId="21" r:id="rId7"/>
    <sheet name="2yr-0.1-8" sheetId="18" r:id="rId8"/>
    <sheet name="2yr-0.3-8" sheetId="17" r:id="rId9"/>
    <sheet name="2yr-0.5-8" sheetId="19" r:id="rId10"/>
    <sheet name="2yr-1-8" sheetId="20" r:id="rId11"/>
    <sheet name="Parameters" sheetId="5" r:id="rId12"/>
    <sheet name="NYCA" sheetId="3" r:id="rId13"/>
    <sheet name="Gas Gen" sheetId="4" r:id="rId14"/>
    <sheet name="Supply Curves" sheetId="6" r:id="rId15"/>
    <sheet name="SupplyCurvesAux" sheetId="7" r:id="rId16"/>
    <sheet name="LoadProf" sheetId="8" r:id="rId17"/>
    <sheet name="DescPricLoad" sheetId="9" r:id="rId18"/>
  </sheets>
  <externalReferences>
    <externalReference r:id="rId19"/>
  </externalReferences>
  <definedNames>
    <definedName name="_2014_eGRID_Subregion_File" localSheetId="3">#REF!</definedName>
    <definedName name="_2014_eGRID_Subregion_File" localSheetId="5">#REF!</definedName>
    <definedName name="_2014_eGRID_Subregion_File" localSheetId="6">#REF!</definedName>
    <definedName name="_2014_eGRID_Subregion_File" localSheetId="7">#REF!</definedName>
    <definedName name="_2014_eGRID_Subregion_File" localSheetId="8">#REF!</definedName>
    <definedName name="_2014_eGRID_Subregion_File" localSheetId="9">#REF!</definedName>
    <definedName name="_2014_eGRID_Subregion_File" localSheetId="10">#REF!</definedName>
    <definedName name="_2014_eGRID_Subregion_File" localSheetId="15">#REF!</definedName>
    <definedName name="_2014_eGRID_Subregion_File">#REF!</definedName>
    <definedName name="_xlnm._FilterDatabase" localSheetId="14" hidden="1">'Supply Curves'!$D$1:$I$1</definedName>
    <definedName name="plant_final" localSheetId="3">#REF!</definedName>
    <definedName name="plant_final" localSheetId="5">#REF!</definedName>
    <definedName name="plant_final" localSheetId="6">#REF!</definedName>
    <definedName name="plant_final" localSheetId="7">#REF!</definedName>
    <definedName name="plant_final" localSheetId="8">#REF!</definedName>
    <definedName name="plant_final" localSheetId="9">#REF!</definedName>
    <definedName name="plant_final" localSheetId="10">#REF!</definedName>
    <definedName name="plant_final" localSheetId="15">#REF!</definedName>
    <definedName name="plant_final">#REF!</definedName>
    <definedName name="Renewable_and_Non_Renewable_Generation" localSheetId="3">[1]Contents!#REF!</definedName>
    <definedName name="Renewable_and_Non_Renewable_Generation" localSheetId="5">[1]Contents!#REF!</definedName>
    <definedName name="Renewable_and_Non_Renewable_Generation" localSheetId="6">[1]Contents!#REF!</definedName>
    <definedName name="Renewable_and_Non_Renewable_Generation" localSheetId="7">[1]Contents!#REF!</definedName>
    <definedName name="Renewable_and_Non_Renewable_Generation" localSheetId="8">[1]Contents!#REF!</definedName>
    <definedName name="Renewable_and_Non_Renewable_Generation" localSheetId="9">[1]Contents!#REF!</definedName>
    <definedName name="Renewable_and_Non_Renewable_Generation" localSheetId="10">[1]Contents!#REF!</definedName>
    <definedName name="Renewable_and_Non_Renewable_Generation" localSheetId="15">[1]Contents!#REF!</definedName>
    <definedName name="Renewable_and_Non_Renewable_Generation">[1]Contents!#REF!</definedName>
    <definedName name="What" localSheetId="6">#REF!</definedName>
    <definedName name="What" localSheetId="7">#REF!</definedName>
    <definedName name="What" localSheetId="8">#REF!</definedName>
    <definedName name="What" localSheetId="9">#REF!</definedName>
    <definedName name="What" localSheetId="10">#REF!</definedName>
    <definedName name="What">#REF!</definedName>
    <definedName name="what2" localSheetId="6">#REF!</definedName>
    <definedName name="what2" localSheetId="7">#REF!</definedName>
    <definedName name="what2" localSheetId="8">#REF!</definedName>
    <definedName name="what2" localSheetId="9">#REF!</definedName>
    <definedName name="what2" localSheetId="10">#REF!</definedName>
    <definedName name="what2">#REF!</definedName>
    <definedName name="What3" localSheetId="6">[1]Contents!#REF!</definedName>
    <definedName name="What3" localSheetId="7">[1]Contents!#REF!</definedName>
    <definedName name="What3" localSheetId="8">[1]Contents!#REF!</definedName>
    <definedName name="What3" localSheetId="9">[1]Contents!#REF!</definedName>
    <definedName name="What3" localSheetId="10">[1]Contents!#REF!</definedName>
    <definedName name="What3">[1]Contents!#REF!</definedName>
    <definedName name="what5" localSheetId="6">#REF!</definedName>
    <definedName name="what5" localSheetId="7">#REF!</definedName>
    <definedName name="what5" localSheetId="9">#REF!</definedName>
    <definedName name="what5" localSheetId="10">#REF!</definedName>
    <definedName name="what5">#REF!</definedName>
    <definedName name="what6" localSheetId="6">#REF!</definedName>
    <definedName name="what6" localSheetId="7">#REF!</definedName>
    <definedName name="what6" localSheetId="9">#REF!</definedName>
    <definedName name="what6" localSheetId="10">#REF!</definedName>
    <definedName name="what6">#REF!</definedName>
    <definedName name="what7" localSheetId="6">[1]Contents!#REF!</definedName>
    <definedName name="what7" localSheetId="7">[1]Contents!#REF!</definedName>
    <definedName name="what7" localSheetId="9">[1]Contents!#REF!</definedName>
    <definedName name="what7" localSheetId="10">[1]Contents!#REF!</definedName>
    <definedName name="what7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23" l="1"/>
  <c r="I26" i="23"/>
  <c r="L26" i="23"/>
  <c r="M26" i="23"/>
  <c r="O27" i="23"/>
  <c r="O28" i="23"/>
  <c r="O29" i="23"/>
  <c r="O26" i="23"/>
  <c r="L29" i="23"/>
  <c r="L28" i="23"/>
  <c r="L27" i="23"/>
  <c r="I27" i="23"/>
  <c r="J27" i="23" s="1"/>
  <c r="G23" i="23"/>
  <c r="J4" i="23"/>
  <c r="F23" i="23" s="1"/>
  <c r="O8" i="23"/>
  <c r="O7" i="23"/>
  <c r="O6" i="23"/>
  <c r="O5" i="23"/>
  <c r="H4" i="23"/>
  <c r="H8" i="23"/>
  <c r="H7" i="23"/>
  <c r="H6" i="23"/>
  <c r="H5" i="23"/>
  <c r="E3" i="2"/>
  <c r="E8" i="2"/>
  <c r="E11" i="2"/>
  <c r="B8" i="23"/>
  <c r="D21" i="23" s="1"/>
  <c r="D35" i="23" s="1"/>
  <c r="B7" i="23"/>
  <c r="D20" i="23" s="1"/>
  <c r="D34" i="23" s="1"/>
  <c r="B6" i="23"/>
  <c r="D19" i="23" s="1"/>
  <c r="D33" i="23" s="1"/>
  <c r="B5" i="23"/>
  <c r="D18" i="23" s="1"/>
  <c r="D32" i="23" s="1"/>
  <c r="B4" i="23"/>
  <c r="B3" i="23"/>
  <c r="I7" i="23" s="1"/>
  <c r="E9" i="22"/>
  <c r="E8" i="22"/>
  <c r="E7" i="22"/>
  <c r="E6" i="22"/>
  <c r="D9" i="22"/>
  <c r="D8" i="22"/>
  <c r="D7" i="22"/>
  <c r="D6" i="22"/>
  <c r="E5" i="22"/>
  <c r="J5" i="22" s="1"/>
  <c r="D5" i="22"/>
  <c r="I5" i="22" s="1"/>
  <c r="G9" i="22"/>
  <c r="F9" i="22"/>
  <c r="G8" i="22"/>
  <c r="F8" i="22"/>
  <c r="G7" i="22"/>
  <c r="F7" i="22"/>
  <c r="G6" i="22"/>
  <c r="F6" i="22"/>
  <c r="H5" i="22"/>
  <c r="G5" i="22"/>
  <c r="F45" i="2"/>
  <c r="E10" i="2"/>
  <c r="E9" i="2"/>
  <c r="P28" i="23" l="1"/>
  <c r="P29" i="23"/>
  <c r="P27" i="23"/>
  <c r="P26" i="23"/>
  <c r="M28" i="23"/>
  <c r="M29" i="23"/>
  <c r="M27" i="23"/>
  <c r="E6" i="23"/>
  <c r="F6" i="23" s="1"/>
  <c r="F11" i="23" s="1"/>
  <c r="E19" i="23" s="1"/>
  <c r="I5" i="23"/>
  <c r="J5" i="23" s="1"/>
  <c r="F18" i="23" s="1"/>
  <c r="I6" i="23"/>
  <c r="J6" i="23" s="1"/>
  <c r="F19" i="23" s="1"/>
  <c r="I4" i="23"/>
  <c r="I8" i="23"/>
  <c r="J8" i="23" s="1"/>
  <c r="F21" i="23" s="1"/>
  <c r="J7" i="23"/>
  <c r="F20" i="23" s="1"/>
  <c r="E8" i="23"/>
  <c r="F8" i="23" s="1"/>
  <c r="F13" i="23" s="1"/>
  <c r="E21" i="23" s="1"/>
  <c r="D17" i="23"/>
  <c r="D31" i="23" s="1"/>
  <c r="E5" i="23"/>
  <c r="F5" i="23" s="1"/>
  <c r="F10" i="23" s="1"/>
  <c r="E18" i="23" s="1"/>
  <c r="E7" i="23"/>
  <c r="F7" i="23" s="1"/>
  <c r="F12" i="23" s="1"/>
  <c r="E20" i="23" s="1"/>
  <c r="C5" i="22"/>
  <c r="C9" i="22"/>
  <c r="C8" i="22"/>
  <c r="C7" i="22"/>
  <c r="C6" i="22"/>
  <c r="B9" i="22"/>
  <c r="B8" i="22"/>
  <c r="B7" i="22"/>
  <c r="B6" i="22"/>
  <c r="B5" i="22"/>
  <c r="N40" i="2"/>
  <c r="N45" i="2"/>
  <c r="N42" i="2"/>
  <c r="N50" i="2"/>
  <c r="I9" i="5"/>
  <c r="I10" i="5"/>
  <c r="I11" i="5"/>
  <c r="D30" i="10"/>
  <c r="D31" i="10"/>
  <c r="F23" i="10"/>
  <c r="G23" i="10"/>
  <c r="H23" i="10"/>
  <c r="E23" i="10"/>
  <c r="L4" i="10"/>
  <c r="K4" i="10"/>
  <c r="G42" i="21"/>
  <c r="H14" i="10" s="1"/>
  <c r="F42" i="21"/>
  <c r="F43" i="21" s="1"/>
  <c r="G40" i="21"/>
  <c r="H12" i="10" s="1"/>
  <c r="G39" i="21"/>
  <c r="N32" i="21" s="1"/>
  <c r="G37" i="21"/>
  <c r="F37" i="21"/>
  <c r="G34" i="21"/>
  <c r="P34" i="21" s="1"/>
  <c r="F34" i="21"/>
  <c r="N33" i="21"/>
  <c r="G33" i="21"/>
  <c r="F33" i="21"/>
  <c r="G32" i="21"/>
  <c r="F32" i="21"/>
  <c r="F30" i="21" s="1"/>
  <c r="F20" i="21" s="1"/>
  <c r="G31" i="21"/>
  <c r="F31" i="21"/>
  <c r="D16" i="21"/>
  <c r="D12" i="21"/>
  <c r="J11" i="21"/>
  <c r="D8" i="21"/>
  <c r="H6" i="21"/>
  <c r="G4" i="21"/>
  <c r="J6" i="21" s="1"/>
  <c r="J7" i="21" s="1"/>
  <c r="E4" i="21"/>
  <c r="G45" i="21" s="1"/>
  <c r="H19" i="10" s="1"/>
  <c r="D4" i="21"/>
  <c r="E3" i="21"/>
  <c r="G3" i="21" s="1"/>
  <c r="G42" i="20"/>
  <c r="G43" i="20" s="1"/>
  <c r="L15" i="10" s="1"/>
  <c r="H34" i="10" s="1"/>
  <c r="F42" i="20"/>
  <c r="G4" i="20" s="1"/>
  <c r="J6" i="20" s="1"/>
  <c r="J7" i="20" s="1"/>
  <c r="G40" i="20"/>
  <c r="L12" i="10" s="1"/>
  <c r="H31" i="10" s="1"/>
  <c r="G39" i="20"/>
  <c r="N32" i="20" s="1"/>
  <c r="G37" i="20"/>
  <c r="L8" i="10" s="1"/>
  <c r="H27" i="10" s="1"/>
  <c r="F37" i="20"/>
  <c r="G34" i="20"/>
  <c r="F34" i="20"/>
  <c r="G33" i="20"/>
  <c r="F33" i="20"/>
  <c r="G32" i="20"/>
  <c r="F32" i="20"/>
  <c r="G31" i="20"/>
  <c r="F31" i="20"/>
  <c r="D16" i="20"/>
  <c r="D12" i="20"/>
  <c r="J11" i="20"/>
  <c r="D8" i="20"/>
  <c r="H6" i="20"/>
  <c r="E4" i="20"/>
  <c r="G45" i="20" s="1"/>
  <c r="L19" i="10" s="1"/>
  <c r="H38" i="10" s="1"/>
  <c r="D4" i="20"/>
  <c r="E3" i="20"/>
  <c r="F28" i="20" s="1"/>
  <c r="G42" i="19"/>
  <c r="G43" i="19" s="1"/>
  <c r="K15" i="10" s="1"/>
  <c r="G34" i="10" s="1"/>
  <c r="F42" i="19"/>
  <c r="F43" i="19" s="1"/>
  <c r="G40" i="19"/>
  <c r="K12" i="10" s="1"/>
  <c r="G31" i="10" s="1"/>
  <c r="G39" i="19"/>
  <c r="N32" i="19" s="1"/>
  <c r="G37" i="19"/>
  <c r="K8" i="10" s="1"/>
  <c r="G27" i="10" s="1"/>
  <c r="F37" i="19"/>
  <c r="G34" i="19"/>
  <c r="P34" i="19" s="1"/>
  <c r="F34" i="19"/>
  <c r="N33" i="19"/>
  <c r="G33" i="19"/>
  <c r="F33" i="19"/>
  <c r="P33" i="19" s="1"/>
  <c r="G32" i="19"/>
  <c r="F32" i="19"/>
  <c r="G31" i="19"/>
  <c r="F31" i="19"/>
  <c r="D16" i="19"/>
  <c r="D12" i="19"/>
  <c r="J11" i="19"/>
  <c r="D8" i="19"/>
  <c r="H6" i="19"/>
  <c r="E4" i="19"/>
  <c r="G45" i="19" s="1"/>
  <c r="K19" i="10" s="1"/>
  <c r="G38" i="10" s="1"/>
  <c r="D4" i="19"/>
  <c r="E3" i="19"/>
  <c r="I19" i="10"/>
  <c r="E38" i="10" s="1"/>
  <c r="G42" i="18"/>
  <c r="G43" i="18" s="1"/>
  <c r="I15" i="10" s="1"/>
  <c r="E34" i="10" s="1"/>
  <c r="F42" i="18"/>
  <c r="F43" i="18" s="1"/>
  <c r="N35" i="18" s="1"/>
  <c r="G40" i="18"/>
  <c r="I12" i="10" s="1"/>
  <c r="E31" i="10" s="1"/>
  <c r="G39" i="18"/>
  <c r="I11" i="10" s="1"/>
  <c r="E30" i="10" s="1"/>
  <c r="G37" i="18"/>
  <c r="I8" i="10" s="1"/>
  <c r="E27" i="10" s="1"/>
  <c r="F37" i="18"/>
  <c r="G34" i="18"/>
  <c r="P34" i="18" s="1"/>
  <c r="F34" i="18"/>
  <c r="N33" i="18"/>
  <c r="G33" i="18"/>
  <c r="F33" i="18"/>
  <c r="N32" i="18"/>
  <c r="G32" i="18"/>
  <c r="F32" i="18"/>
  <c r="G31" i="18"/>
  <c r="F31" i="18"/>
  <c r="D16" i="18"/>
  <c r="D12" i="18"/>
  <c r="J11" i="18"/>
  <c r="D8" i="18"/>
  <c r="H6" i="18"/>
  <c r="G4" i="18"/>
  <c r="J6" i="18" s="1"/>
  <c r="J7" i="18" s="1"/>
  <c r="E4" i="18"/>
  <c r="G45" i="18" s="1"/>
  <c r="D4" i="18"/>
  <c r="E3" i="18"/>
  <c r="F45" i="18" s="1"/>
  <c r="J4" i="10"/>
  <c r="I4" i="10"/>
  <c r="C24" i="2"/>
  <c r="C24" i="14"/>
  <c r="E4" i="14"/>
  <c r="R26" i="23" l="1"/>
  <c r="L6" i="23"/>
  <c r="M6" i="23" s="1"/>
  <c r="Q6" i="23" s="1"/>
  <c r="G19" i="23" s="1"/>
  <c r="H19" i="23" s="1"/>
  <c r="L7" i="23"/>
  <c r="M7" i="23" s="1"/>
  <c r="Q7" i="23" s="1"/>
  <c r="G20" i="23" s="1"/>
  <c r="H20" i="23" s="1"/>
  <c r="L8" i="23"/>
  <c r="M8" i="23" s="1"/>
  <c r="Q8" i="23" s="1"/>
  <c r="G21" i="23" s="1"/>
  <c r="H21" i="23" s="1"/>
  <c r="L5" i="23"/>
  <c r="M5" i="23" s="1"/>
  <c r="Q5" i="23" s="1"/>
  <c r="G18" i="23" s="1"/>
  <c r="H18" i="23" s="1"/>
  <c r="G30" i="19"/>
  <c r="K9" i="10" s="1"/>
  <c r="G28" i="10" s="1"/>
  <c r="J32" i="19"/>
  <c r="K14" i="10"/>
  <c r="G33" i="10" s="1"/>
  <c r="N35" i="19"/>
  <c r="K11" i="10"/>
  <c r="G30" i="10" s="1"/>
  <c r="N33" i="20"/>
  <c r="P33" i="18"/>
  <c r="I14" i="10"/>
  <c r="E33" i="10" s="1"/>
  <c r="P31" i="21"/>
  <c r="J33" i="21"/>
  <c r="J34" i="21"/>
  <c r="G43" i="21"/>
  <c r="H15" i="10" s="1"/>
  <c r="J32" i="20"/>
  <c r="P33" i="20"/>
  <c r="P34" i="20"/>
  <c r="L14" i="10"/>
  <c r="H33" i="10" s="1"/>
  <c r="L11" i="10"/>
  <c r="H30" i="10" s="1"/>
  <c r="H11" i="10"/>
  <c r="J32" i="21"/>
  <c r="P33" i="21"/>
  <c r="N42" i="21"/>
  <c r="H8" i="10"/>
  <c r="N42" i="20"/>
  <c r="P31" i="20"/>
  <c r="J33" i="20"/>
  <c r="J34" i="20"/>
  <c r="F43" i="20"/>
  <c r="N35" i="20" s="1"/>
  <c r="F30" i="20"/>
  <c r="F20" i="20" s="1"/>
  <c r="P32" i="21"/>
  <c r="F28" i="21"/>
  <c r="G28" i="21"/>
  <c r="L45" i="21" s="1"/>
  <c r="N30" i="21"/>
  <c r="F45" i="21"/>
  <c r="G30" i="21"/>
  <c r="H9" i="10" s="1"/>
  <c r="J31" i="21"/>
  <c r="G30" i="20"/>
  <c r="G28" i="20"/>
  <c r="N30" i="20"/>
  <c r="F45" i="20"/>
  <c r="P32" i="20"/>
  <c r="G3" i="20"/>
  <c r="J31" i="20"/>
  <c r="N42" i="19"/>
  <c r="G4" i="19"/>
  <c r="J6" i="19" s="1"/>
  <c r="J7" i="19" s="1"/>
  <c r="P31" i="19"/>
  <c r="J33" i="19"/>
  <c r="J34" i="19"/>
  <c r="F28" i="19"/>
  <c r="F30" i="19"/>
  <c r="F20" i="19" s="1"/>
  <c r="P32" i="19"/>
  <c r="N30" i="19"/>
  <c r="F45" i="19"/>
  <c r="G3" i="19"/>
  <c r="J31" i="19"/>
  <c r="G28" i="19"/>
  <c r="G20" i="19"/>
  <c r="P31" i="18"/>
  <c r="N42" i="18"/>
  <c r="F30" i="18"/>
  <c r="F20" i="18" s="1"/>
  <c r="J33" i="18"/>
  <c r="J34" i="18"/>
  <c r="G30" i="18"/>
  <c r="J32" i="18"/>
  <c r="P32" i="18"/>
  <c r="G3" i="18"/>
  <c r="F28" i="18"/>
  <c r="J31" i="18"/>
  <c r="G28" i="18"/>
  <c r="I6" i="10" s="1"/>
  <c r="E25" i="10" s="1"/>
  <c r="N30" i="18"/>
  <c r="G39" i="17"/>
  <c r="G42" i="17"/>
  <c r="G43" i="17" s="1"/>
  <c r="J15" i="10" s="1"/>
  <c r="F34" i="10" s="1"/>
  <c r="F42" i="17"/>
  <c r="F43" i="17" s="1"/>
  <c r="G40" i="17"/>
  <c r="N33" i="17" s="1"/>
  <c r="N32" i="17"/>
  <c r="G37" i="17"/>
  <c r="J8" i="10" s="1"/>
  <c r="F27" i="10" s="1"/>
  <c r="F37" i="17"/>
  <c r="G34" i="17"/>
  <c r="F34" i="17"/>
  <c r="G33" i="17"/>
  <c r="F33" i="17"/>
  <c r="G32" i="17"/>
  <c r="F32" i="17"/>
  <c r="G31" i="17"/>
  <c r="F31" i="17"/>
  <c r="D16" i="17"/>
  <c r="D12" i="17"/>
  <c r="J11" i="17"/>
  <c r="D8" i="17"/>
  <c r="H6" i="17"/>
  <c r="E4" i="17"/>
  <c r="G45" i="17" s="1"/>
  <c r="J19" i="10" s="1"/>
  <c r="F38" i="10" s="1"/>
  <c r="D4" i="17"/>
  <c r="E3" i="17"/>
  <c r="F45" i="17" s="1"/>
  <c r="G11" i="10"/>
  <c r="G42" i="15"/>
  <c r="G43" i="15" s="1"/>
  <c r="G15" i="10" s="1"/>
  <c r="F42" i="15"/>
  <c r="G4" i="15" s="1"/>
  <c r="J6" i="15" s="1"/>
  <c r="J7" i="15" s="1"/>
  <c r="G40" i="15"/>
  <c r="G12" i="10" s="1"/>
  <c r="G39" i="15"/>
  <c r="N32" i="15" s="1"/>
  <c r="G37" i="15"/>
  <c r="G8" i="10" s="1"/>
  <c r="F37" i="15"/>
  <c r="G34" i="15"/>
  <c r="P34" i="15" s="1"/>
  <c r="F34" i="15"/>
  <c r="N33" i="15"/>
  <c r="G33" i="15"/>
  <c r="F33" i="15"/>
  <c r="G32" i="15"/>
  <c r="J32" i="15" s="1"/>
  <c r="F32" i="15"/>
  <c r="G31" i="15"/>
  <c r="F31" i="15"/>
  <c r="D16" i="15"/>
  <c r="D12" i="15"/>
  <c r="J11" i="15"/>
  <c r="D8" i="15"/>
  <c r="H6" i="15"/>
  <c r="E4" i="15"/>
  <c r="G45" i="15" s="1"/>
  <c r="G19" i="10" s="1"/>
  <c r="D4" i="15"/>
  <c r="E3" i="15"/>
  <c r="G3" i="15" s="1"/>
  <c r="C19" i="10"/>
  <c r="C38" i="10" s="1"/>
  <c r="C14" i="10"/>
  <c r="C33" i="10" s="1"/>
  <c r="C8" i="10"/>
  <c r="C6" i="10"/>
  <c r="C25" i="10" s="1"/>
  <c r="G42" i="14"/>
  <c r="G43" i="14" s="1"/>
  <c r="E15" i="10" s="1"/>
  <c r="F42" i="14"/>
  <c r="F43" i="14" s="1"/>
  <c r="G40" i="14"/>
  <c r="N33" i="14" s="1"/>
  <c r="G39" i="14"/>
  <c r="N32" i="14" s="1"/>
  <c r="G37" i="14"/>
  <c r="E8" i="10" s="1"/>
  <c r="F37" i="14"/>
  <c r="G34" i="14"/>
  <c r="F34" i="14"/>
  <c r="G33" i="14"/>
  <c r="F33" i="14"/>
  <c r="P33" i="14" s="1"/>
  <c r="G32" i="14"/>
  <c r="J32" i="14" s="1"/>
  <c r="F32" i="14"/>
  <c r="G31" i="14"/>
  <c r="F31" i="14"/>
  <c r="G30" i="14"/>
  <c r="E9" i="10" s="1"/>
  <c r="D12" i="14"/>
  <c r="J11" i="14"/>
  <c r="D8" i="14"/>
  <c r="H6" i="14"/>
  <c r="G45" i="14"/>
  <c r="E19" i="10" s="1"/>
  <c r="D4" i="14"/>
  <c r="E3" i="14"/>
  <c r="F45" i="14" s="1"/>
  <c r="D16" i="2"/>
  <c r="D12" i="2"/>
  <c r="D8" i="2"/>
  <c r="D4" i="2"/>
  <c r="E4" i="2"/>
  <c r="G45" i="2" s="1"/>
  <c r="D19" i="10"/>
  <c r="D38" i="10" s="1"/>
  <c r="G19" i="19" l="1"/>
  <c r="G18" i="19" s="1"/>
  <c r="G22" i="19"/>
  <c r="K6" i="10"/>
  <c r="G25" i="10" s="1"/>
  <c r="G30" i="17"/>
  <c r="J9" i="10" s="1"/>
  <c r="F28" i="10" s="1"/>
  <c r="G20" i="18"/>
  <c r="G19" i="18" s="1"/>
  <c r="G18" i="18" s="1"/>
  <c r="I9" i="10"/>
  <c r="E28" i="10" s="1"/>
  <c r="K45" i="21"/>
  <c r="L44" i="21" s="1"/>
  <c r="G20" i="21"/>
  <c r="G19" i="21" s="1"/>
  <c r="G18" i="21" s="1"/>
  <c r="N35" i="21"/>
  <c r="G22" i="20"/>
  <c r="L6" i="10"/>
  <c r="H25" i="10" s="1"/>
  <c r="G20" i="20"/>
  <c r="G19" i="20" s="1"/>
  <c r="G18" i="20" s="1"/>
  <c r="L9" i="10"/>
  <c r="H28" i="10" s="1"/>
  <c r="C15" i="10"/>
  <c r="C17" i="10" s="1"/>
  <c r="C36" i="10" s="1"/>
  <c r="C27" i="10"/>
  <c r="C34" i="10" s="1"/>
  <c r="G22" i="21"/>
  <c r="H6" i="10"/>
  <c r="J30" i="21"/>
  <c r="N31" i="21"/>
  <c r="N31" i="20"/>
  <c r="N37" i="20" s="1"/>
  <c r="N40" i="20" s="1"/>
  <c r="J30" i="20"/>
  <c r="G14" i="10"/>
  <c r="P33" i="15"/>
  <c r="J30" i="19"/>
  <c r="N31" i="19"/>
  <c r="N37" i="19" s="1"/>
  <c r="N40" i="19" s="1"/>
  <c r="J14" i="10"/>
  <c r="F33" i="10" s="1"/>
  <c r="J32" i="17"/>
  <c r="P33" i="17"/>
  <c r="N35" i="17"/>
  <c r="N37" i="18"/>
  <c r="N40" i="18" s="1"/>
  <c r="J30" i="18"/>
  <c r="N31" i="18"/>
  <c r="G22" i="18"/>
  <c r="E12" i="10"/>
  <c r="E14" i="10"/>
  <c r="P34" i="14"/>
  <c r="N35" i="14"/>
  <c r="E11" i="10"/>
  <c r="J12" i="10"/>
  <c r="F31" i="10" s="1"/>
  <c r="P34" i="17"/>
  <c r="J11" i="10"/>
  <c r="F30" i="10" s="1"/>
  <c r="G4" i="17"/>
  <c r="J6" i="17" s="1"/>
  <c r="J7" i="17" s="1"/>
  <c r="N42" i="17"/>
  <c r="P31" i="17"/>
  <c r="J33" i="17"/>
  <c r="J34" i="17"/>
  <c r="F30" i="17"/>
  <c r="F20" i="17" s="1"/>
  <c r="P32" i="17"/>
  <c r="G3" i="17"/>
  <c r="F28" i="17"/>
  <c r="J31" i="17"/>
  <c r="G28" i="17"/>
  <c r="J6" i="10" s="1"/>
  <c r="F25" i="10" s="1"/>
  <c r="N30" i="17"/>
  <c r="F19" i="10"/>
  <c r="N42" i="15"/>
  <c r="P31" i="15"/>
  <c r="J33" i="15"/>
  <c r="J34" i="15"/>
  <c r="F43" i="15"/>
  <c r="N35" i="15" s="1"/>
  <c r="F30" i="15"/>
  <c r="F20" i="15" s="1"/>
  <c r="P32" i="15"/>
  <c r="F28" i="15"/>
  <c r="J31" i="15"/>
  <c r="F45" i="15"/>
  <c r="G30" i="15"/>
  <c r="G9" i="10" s="1"/>
  <c r="G28" i="15"/>
  <c r="N30" i="15"/>
  <c r="N42" i="14"/>
  <c r="G4" i="14"/>
  <c r="J6" i="14" s="1"/>
  <c r="J7" i="14" s="1"/>
  <c r="J33" i="14"/>
  <c r="J34" i="14"/>
  <c r="P31" i="14"/>
  <c r="F30" i="14"/>
  <c r="F20" i="14" s="1"/>
  <c r="J31" i="14"/>
  <c r="P32" i="14"/>
  <c r="G3" i="14"/>
  <c r="F28" i="14"/>
  <c r="J30" i="14"/>
  <c r="G28" i="14"/>
  <c r="E6" i="10" s="1"/>
  <c r="N30" i="14"/>
  <c r="G20" i="14"/>
  <c r="G19" i="14" s="1"/>
  <c r="G18" i="14" s="1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H6" i="2"/>
  <c r="G3" i="2"/>
  <c r="G40" i="2"/>
  <c r="F13" i="4"/>
  <c r="G13" i="4"/>
  <c r="F14" i="4"/>
  <c r="G14" i="4"/>
  <c r="F15" i="4"/>
  <c r="G15" i="4"/>
  <c r="G18" i="4"/>
  <c r="G12" i="4"/>
  <c r="F12" i="4"/>
  <c r="C18" i="4"/>
  <c r="G20" i="17" l="1"/>
  <c r="G19" i="17" s="1"/>
  <c r="G18" i="17" s="1"/>
  <c r="N37" i="21"/>
  <c r="N40" i="21" s="1"/>
  <c r="G20" i="15"/>
  <c r="G19" i="15" s="1"/>
  <c r="G18" i="15" s="1"/>
  <c r="G22" i="15"/>
  <c r="G6" i="10"/>
  <c r="J30" i="17"/>
  <c r="N31" i="17"/>
  <c r="N37" i="17" s="1"/>
  <c r="N40" i="17" s="1"/>
  <c r="G22" i="17"/>
  <c r="N33" i="2"/>
  <c r="F12" i="10"/>
  <c r="N31" i="15"/>
  <c r="N37" i="15" s="1"/>
  <c r="N40" i="15" s="1"/>
  <c r="J30" i="15"/>
  <c r="N31" i="14"/>
  <c r="N37" i="14" s="1"/>
  <c r="N40" i="14" s="1"/>
  <c r="G22" i="14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F34" i="2"/>
  <c r="G34" i="2"/>
  <c r="G42" i="2"/>
  <c r="F42" i="2"/>
  <c r="D14" i="10" s="1"/>
  <c r="D33" i="10" s="1"/>
  <c r="H11" i="3"/>
  <c r="L6" i="3" s="1"/>
  <c r="B22" i="3"/>
  <c r="C6" i="3" s="1"/>
  <c r="F14" i="10" l="1"/>
  <c r="G43" i="2"/>
  <c r="F15" i="10" s="1"/>
  <c r="F43" i="2"/>
  <c r="G4" i="2"/>
  <c r="J6" i="2" s="1"/>
  <c r="J7" i="2" s="1"/>
  <c r="P33" i="2"/>
  <c r="N201" i="6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G37" i="2"/>
  <c r="F37" i="2"/>
  <c r="D8" i="10" s="1"/>
  <c r="D27" i="10" l="1"/>
  <c r="G28" i="2"/>
  <c r="F6" i="10" s="1"/>
  <c r="F8" i="10"/>
  <c r="N35" i="2"/>
  <c r="D15" i="10"/>
  <c r="D34" i="10" s="1"/>
  <c r="N32" i="2"/>
  <c r="F11" i="10"/>
  <c r="P31" i="2"/>
  <c r="F28" i="2"/>
  <c r="P34" i="2"/>
  <c r="N30" i="2"/>
  <c r="G30" i="2"/>
  <c r="F9" i="10" s="1"/>
  <c r="F30" i="2"/>
  <c r="F20" i="2" l="1"/>
  <c r="D9" i="10"/>
  <c r="G22" i="2"/>
  <c r="D6" i="10"/>
  <c r="D25" i="10" s="1"/>
  <c r="G20" i="2"/>
  <c r="G19" i="2" s="1"/>
  <c r="G18" i="2" s="1"/>
  <c r="J30" i="2"/>
  <c r="N31" i="2"/>
  <c r="N37" i="2" s="1"/>
  <c r="D28" i="10" l="1"/>
  <c r="L17" i="10"/>
  <c r="H36" i="10" s="1"/>
  <c r="K17" i="10"/>
  <c r="G36" i="10" s="1"/>
  <c r="H17" i="10"/>
  <c r="J17" i="10"/>
  <c r="F36" i="10" s="1"/>
  <c r="I17" i="10"/>
  <c r="E36" i="10" s="1"/>
  <c r="E17" i="10"/>
  <c r="G17" i="10"/>
  <c r="F17" i="10"/>
</calcChain>
</file>

<file path=xl/sharedStrings.xml><?xml version="1.0" encoding="utf-8"?>
<sst xmlns="http://schemas.openxmlformats.org/spreadsheetml/2006/main" count="1097" uniqueCount="142">
  <si>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</si>
  <si>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</si>
  <si>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</si>
  <si>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</si>
  <si>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</si>
  <si>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</si>
  <si>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</si>
  <si>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</si>
  <si>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</si>
  <si>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</si>
  <si>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</si>
  <si>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</si>
  <si>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</si>
  <si>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</si>
  <si>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</si>
  <si>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</si>
  <si>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</si>
  <si>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</si>
  <si>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</si>
  <si>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</si>
  <si>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</si>
  <si>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</si>
  <si>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</si>
  <si>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</si>
  <si>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</si>
  <si>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</si>
  <si>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</si>
  <si>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</si>
  <si>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</si>
  <si>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</si>
  <si>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</si>
  <si>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</si>
  <si>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</si>
  <si>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</si>
  <si>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</si>
  <si>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</si>
  <si>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</si>
  <si>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</si>
  <si>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[000 USD]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</si>
  <si>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</si>
  <si>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</si>
  <si>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</si>
  <si>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</si>
  <si>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</si>
  <si>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</si>
  <si>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</si>
  <si>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</si>
  <si>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</si>
  <si>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</si>
  <si>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</si>
  <si>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</si>
  <si>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</si>
  <si>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</si>
  <si>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</si>
  <si>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</si>
  <si>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</si>
  <si>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</si>
  <si>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</si>
  <si>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</si>
  <si>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</si>
  <si>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</si>
  <si>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t>RECs Savings</t>
  </si>
  <si>
    <t>Recs Savings</t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</si>
  <si>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</si>
  <si>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</si>
  <si>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</si>
  <si>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</si>
  <si>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</si>
  <si>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</si>
  <si>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</si>
  <si>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</si>
  <si>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</si>
  <si>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</si>
  <si>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</si>
  <si>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</si>
  <si>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</si>
  <si>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</si>
  <si>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</si>
  <si>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</si>
  <si>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</si>
  <si>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</si>
  <si>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</si>
  <si>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</si>
  <si>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</si>
  <si>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</si>
  <si>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</si>
  <si>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</si>
  <si>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</si>
  <si>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</si>
  <si>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</si>
  <si>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</si>
  <si>
    <r>
      <t>m</t>
    </r>
    <r>
      <rPr>
        <sz val="8"/>
        <color theme="1"/>
        <rFont val="Calibri (Body)"/>
      </rPr>
      <t>5</t>
    </r>
  </si>
  <si>
    <t>print(Exchange)</t>
  </si>
  <si>
    <t>Annual Load</t>
  </si>
  <si>
    <t>[TWh/year]</t>
  </si>
  <si>
    <t>ZECs Savings</t>
  </si>
  <si>
    <t>Zecs Savings</t>
  </si>
  <si>
    <t>-</t>
  </si>
  <si>
    <r>
      <t xml:space="preserve">Elasticity
</t>
    </r>
    <r>
      <rPr>
        <b/>
        <i/>
        <sz val="10"/>
        <color theme="1"/>
        <rFont val="Calibri (Body)"/>
      </rPr>
      <t>(Pass-Through = 80%)</t>
    </r>
  </si>
  <si>
    <r>
      <t xml:space="preserve">Pass-Through = 100%
</t>
    </r>
    <r>
      <rPr>
        <b/>
        <i/>
        <sz val="10"/>
        <color theme="1"/>
        <rFont val="Calibri (Body)"/>
      </rPr>
      <t>Elasticity</t>
    </r>
  </si>
  <si>
    <r>
      <t xml:space="preserve">Pass-Through=80%
</t>
    </r>
    <r>
      <rPr>
        <b/>
        <i/>
        <sz val="10"/>
        <color theme="1"/>
        <rFont val="Calibri (Body)"/>
      </rPr>
      <t>Elasticity</t>
    </r>
  </si>
  <si>
    <t>100% Pass-through</t>
  </si>
  <si>
    <t>80% Pass-through</t>
  </si>
  <si>
    <t>Weighting matrix</t>
  </si>
  <si>
    <t>Identity matrix</t>
  </si>
  <si>
    <t>2-step estimator</t>
  </si>
  <si>
    <t>Parameter</t>
  </si>
  <si>
    <t>Base</t>
  </si>
  <si>
    <t>Output</t>
  </si>
  <si>
    <t>Profits</t>
  </si>
  <si>
    <t>Output (100%)</t>
  </si>
  <si>
    <t>Output(80%)</t>
  </si>
  <si>
    <t>∆ Profits (100%)</t>
  </si>
  <si>
    <t>∆ Profits (80%)</t>
  </si>
  <si>
    <t>Imports</t>
  </si>
  <si>
    <t>Price</t>
  </si>
  <si>
    <t>K</t>
  </si>
  <si>
    <t>Emission</t>
  </si>
  <si>
    <t>Load</t>
  </si>
  <si>
    <t>SCC</t>
  </si>
  <si>
    <t>Welfare Gain</t>
  </si>
  <si>
    <t>"Unavoided CO2"</t>
  </si>
  <si>
    <t>Elasticity</t>
  </si>
  <si>
    <t>Average internal NG-fired plant efficiency</t>
  </si>
  <si>
    <t>Welfare Gain at Risk</t>
  </si>
  <si>
    <t>[%]</t>
  </si>
  <si>
    <t>[CO2 ton/MWh]</t>
  </si>
  <si>
    <t>[USD/MWh]</t>
  </si>
  <si>
    <t>Estimated Price</t>
  </si>
  <si>
    <t>Potential Imports' Increase</t>
  </si>
  <si>
    <t>Average Emissions' Rate achieved</t>
  </si>
  <si>
    <t>Solar</t>
  </si>
  <si>
    <t>[USD/kW]</t>
  </si>
  <si>
    <t>Solar PV</t>
  </si>
  <si>
    <t>Cost</t>
  </si>
  <si>
    <t>Capacity Factor</t>
  </si>
  <si>
    <t>[25% - 45%]</t>
  </si>
  <si>
    <t>[12% - 35%]</t>
  </si>
  <si>
    <t>Quantity</t>
  </si>
  <si>
    <t>Cost per MW</t>
  </si>
  <si>
    <t>Profit</t>
  </si>
  <si>
    <t>Elasticity of Demand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</si>
</sst>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0.0000"/>
    <numFmt numFmtId="167" formatCode="[$-409]m/d/yy\ h:mm\ AM/PM;@"/>
    <numFmt numFmtId="168" formatCode="0.0000000"/>
    <numFmt numFmtId="169" formatCode="0.000%"/>
    <numFmt numFmtId="170" formatCode="0.000000000000%"/>
    <numFmt numFmtId="171" formatCode="0.0"/>
  </numFmts>
  <fonts count="15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  <font>
      <sz val="14"/>
      <color rgb="FFD5D5D5"/>
      <name val="Courier New"/>
      <family val="1"/>
    </font>
    <font>
      <i/>
      <sz val="10"/>
      <color theme="1"/>
      <name val="Calibri"/>
      <family val="2"/>
      <scheme val="minor"/>
    </font>
    <font>
      <b/>
      <i/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7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/>
    <xf numFmtId="0" fontId="10" fillId="0" borderId="0" xfId="0" applyFont="1" applyFill="1" applyBorder="1"/>
    <xf numFmtId="167" fontId="10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/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13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wrapText="1"/>
    </xf>
    <xf numFmtId="166" fontId="0" fillId="0" borderId="21" xfId="0" applyNumberFormat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168" fontId="0" fillId="0" borderId="0" xfId="0" applyNumberFormat="1"/>
    <xf numFmtId="0" fontId="0" fillId="0" borderId="24" xfId="0" applyBorder="1"/>
    <xf numFmtId="0" fontId="2" fillId="0" borderId="25" xfId="0" applyFont="1" applyBorder="1" applyAlignment="1">
      <alignment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71" fontId="3" fillId="0" borderId="1" xfId="0" applyNumberFormat="1" applyFon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73634262285588E-2"/>
          <c:y val="2.4073987272667116E-2"/>
          <c:w val="0.87746422066044316"/>
          <c:h val="0.8787474082121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Summary!$O$6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Summary!$E$17:$H$17</c:f>
              <c:numCache>
                <c:formatCode>#,##0</c:formatCode>
                <c:ptCount val="4"/>
                <c:pt idx="0">
                  <c:v>862.80309695313508</c:v>
                </c:pt>
                <c:pt idx="1">
                  <c:v>1636.713858387548</c:v>
                </c:pt>
                <c:pt idx="2">
                  <c:v>2240.2439613379129</c:v>
                </c:pt>
                <c:pt idx="3">
                  <c:v>3332.4102373830938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B44F-A5DA-EF9CDCCFDA8A}"/>
            </c:ext>
          </c:extLst>
        </c:ser>
        <c:ser>
          <c:idx val="1"/>
          <c:order val="1"/>
          <c:tx>
            <c:strRef>
              <c:f>Summary!$O$8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12700">
                <a:solidFill>
                  <a:schemeClr val="accent6">
                    <a:lumMod val="50000"/>
                    <a:alpha val="99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Summary!$I$17:$L$17</c:f>
              <c:numCache>
                <c:formatCode>#,##0</c:formatCode>
                <c:ptCount val="4"/>
                <c:pt idx="0">
                  <c:v>988.23982616918897</c:v>
                </c:pt>
                <c:pt idx="1">
                  <c:v>1623.1050084612309</c:v>
                </c:pt>
                <c:pt idx="2">
                  <c:v>2098.5012653171621</c:v>
                </c:pt>
                <c:pt idx="3">
                  <c:v>2830.1122135573682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D-B44F-A5DA-EF9CDCCF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Welfare</a:t>
                </a:r>
                <a:r>
                  <a:rPr lang="en-US" sz="1400" b="1" i="1" baseline="0"/>
                  <a:t>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5.2525055793494488E-4"/>
              <c:y val="0.37633392263829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2623494223302869"/>
          <c:y val="0.12808329245764313"/>
          <c:w val="0.16987894225416311"/>
          <c:h val="0.1059931226878834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'2yr-1-8'!$M$30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'2yr-1-8'!$M$30:$M$35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'2yr-1-8'!$N$30</c:f>
              <c:numCache>
                <c:formatCode>#,##0</c:formatCode>
                <c:ptCount val="1"/>
                <c:pt idx="0">
                  <c:v>-491.42859656909968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3-094D-8703-8BDDC4F01EE2}"/>
            </c:ext>
          </c:extLst>
        </c:ser>
        <c:ser>
          <c:idx val="1"/>
          <c:order val="1"/>
          <c:tx>
            <c:strRef>
              <c:f>'2yr-1-8'!$M$31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'2yr-1-8'!$N$31</c:f>
              <c:numCache>
                <c:formatCode>#,##0</c:formatCode>
                <c:ptCount val="1"/>
                <c:pt idx="0">
                  <c:v>445.91980821823745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3-094D-8703-8BDDC4F01EE2}"/>
            </c:ext>
          </c:extLst>
        </c:ser>
        <c:ser>
          <c:idx val="2"/>
          <c:order val="2"/>
          <c:tx>
            <c:strRef>
              <c:f>'2yr-1-8'!$M$32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'2yr-1-8'!$N$32</c:f>
              <c:numCache>
                <c:formatCode>#,##0</c:formatCode>
                <c:ptCount val="1"/>
                <c:pt idx="0">
                  <c:v>927.37344050381694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3-094D-8703-8BDDC4F01EE2}"/>
            </c:ext>
          </c:extLst>
        </c:ser>
        <c:ser>
          <c:idx val="4"/>
          <c:order val="3"/>
          <c:tx>
            <c:strRef>
              <c:f>'2yr-1-8'!$E$40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3-094D-8703-8BDDC4F01EE2}"/>
            </c:ext>
          </c:extLst>
        </c:ser>
        <c:ser>
          <c:idx val="3"/>
          <c:order val="4"/>
          <c:tx>
            <c:strRef>
              <c:f>'2yr-1-8'!$M$35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'2yr-1-8'!$N$35</c:f>
              <c:numCache>
                <c:formatCode>#,##0</c:formatCode>
                <c:ptCount val="1"/>
                <c:pt idx="0">
                  <c:v>504.15589204007745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3-094D-8703-8BDDC4F01EE2}"/>
            </c:ext>
          </c:extLst>
        </c:ser>
        <c:ser>
          <c:idx val="5"/>
          <c:order val="5"/>
          <c:tx>
            <c:strRef>
              <c:f>'2yr-1-8'!$M$37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'2yr-1-8'!$N$37</c:f>
              <c:numCache>
                <c:formatCode>#,##0</c:formatCode>
                <c:ptCount val="1"/>
                <c:pt idx="0">
                  <c:v>2830.1122135573682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3-094D-8703-8BDDC4F01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31457921904001E-2"/>
          <c:y val="2.4073987272667116E-2"/>
          <c:w val="0.79032823747908709"/>
          <c:h val="0.87874740821210751"/>
        </c:manualLayout>
      </c:layout>
      <c:scatterChart>
        <c:scatterStyle val="lineMarker"/>
        <c:varyColors val="0"/>
        <c:ser>
          <c:idx val="4"/>
          <c:order val="0"/>
          <c:tx>
            <c:strRef>
              <c:f>GasProd!$B$4</c:f>
              <c:strCache>
                <c:ptCount val="1"/>
                <c:pt idx="0">
                  <c:v>Output (100%)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GasProd!$B$5:$B$9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96729973.084366202</c:v>
                </c:pt>
                <c:pt idx="2">
                  <c:v>83969966.034816995</c:v>
                </c:pt>
                <c:pt idx="3">
                  <c:v>74294842.727968201</c:v>
                </c:pt>
                <c:pt idx="4">
                  <c:v>60322182.973327197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91C-5647-BC42-5E294A3D678F}"/>
            </c:ext>
          </c:extLst>
        </c:ser>
        <c:ser>
          <c:idx val="5"/>
          <c:order val="1"/>
          <c:tx>
            <c:strRef>
              <c:f>GasProd!$C$4</c:f>
              <c:strCache>
                <c:ptCount val="1"/>
                <c:pt idx="0">
                  <c:v>Output(80%)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GasProd!$C$5:$C$9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98079498.091489404</c:v>
                </c:pt>
                <c:pt idx="2">
                  <c:v>87467310.758715898</c:v>
                </c:pt>
                <c:pt idx="3">
                  <c:v>79501242.103925005</c:v>
                </c:pt>
                <c:pt idx="4">
                  <c:v>68816116.059889793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scatterChart>
        <c:scatterStyle val="lineMarker"/>
        <c:varyColors val="0"/>
        <c:ser>
          <c:idx val="2"/>
          <c:order val="2"/>
          <c:tx>
            <c:strRef>
              <c:f>GasProd!$D$4</c:f>
              <c:strCache>
                <c:ptCount val="1"/>
                <c:pt idx="0">
                  <c:v>∆ Profits (100%)</c:v>
                </c:pt>
              </c:strCache>
            </c:strRef>
          </c:tx>
          <c:spPr>
            <a:ln w="22225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diamond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GasProd!$D$6:$D$9</c:f>
              <c:numCache>
                <c:formatCode>General</c:formatCode>
                <c:ptCount val="4"/>
                <c:pt idx="0">
                  <c:v>146190615.76286197</c:v>
                </c:pt>
                <c:pt idx="1">
                  <c:v>4718706.7987478971</c:v>
                </c:pt>
                <c:pt idx="2">
                  <c:v>-56934986.06309104</c:v>
                </c:pt>
                <c:pt idx="3">
                  <c:v>-71890828.717326045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1C-5647-BC42-5E294A3D678F}"/>
            </c:ext>
          </c:extLst>
        </c:ser>
        <c:ser>
          <c:idx val="3"/>
          <c:order val="3"/>
          <c:tx>
            <c:strRef>
              <c:f>GasProd!$E$4</c:f>
              <c:strCache>
                <c:ptCount val="1"/>
                <c:pt idx="0">
                  <c:v>∆ Profits (80%)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GasProd!$E$6:$E$9</c:f>
              <c:numCache>
                <c:formatCode>General</c:formatCode>
                <c:ptCount val="4"/>
                <c:pt idx="0">
                  <c:v>-145665622.80819404</c:v>
                </c:pt>
                <c:pt idx="1">
                  <c:v>-225282458.08716804</c:v>
                </c:pt>
                <c:pt idx="2">
                  <c:v>-249129890.99443305</c:v>
                </c:pt>
                <c:pt idx="3">
                  <c:v>-205283383.44798207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46896"/>
        <c:axId val="1282429408"/>
      </c:scatterChart>
      <c:valAx>
        <c:axId val="1278046608"/>
        <c:scaling>
          <c:orientation val="minMax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110000000.00000001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Output</a:t>
                </a:r>
                <a:endParaRPr lang="en-US" sz="1400" b="1" i="1" baseline="0"/>
              </a:p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[TWh]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0.92238834739314668"/>
              <c:y val="0.388578549657099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10000000"/>
        <c:minorUnit val="5000000"/>
        <c:dispUnits>
          <c:builtInUnit val="millions"/>
        </c:dispUnits>
      </c:valAx>
      <c:valAx>
        <c:axId val="1282429408"/>
        <c:scaling>
          <c:orientation val="minMax"/>
          <c:max val="3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∆ Profits</a:t>
                </a:r>
              </a:p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/>
                  <a:t>[MMUSD]</a:t>
                </a:r>
              </a:p>
            </c:rich>
          </c:tx>
          <c:layout>
            <c:manualLayout>
              <c:xMode val="edge"/>
              <c:yMode val="edge"/>
              <c:x val="2.4141762981381713E-2"/>
              <c:y val="0.387473083721677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46896"/>
        <c:crosses val="max"/>
        <c:crossBetween val="midCat"/>
        <c:dispUnits>
          <c:builtInUnit val="millions"/>
        </c:dispUnits>
      </c:valAx>
      <c:valAx>
        <c:axId val="12976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429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40655345980662227"/>
          <c:y val="0.14841900558801119"/>
          <c:w val="0.15663664811967878"/>
          <c:h val="0.22924827253736141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years-0.1'!$N$30</c:f>
              <c:numCache>
                <c:formatCode>#,##0</c:formatCode>
                <c:ptCount val="1"/>
                <c:pt idx="0">
                  <c:v>-4173.3008274248004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1D4E-9D05-46F14DACF814}"/>
            </c:ext>
          </c:extLst>
        </c:ser>
        <c:ser>
          <c:idx val="1"/>
          <c:order val="1"/>
          <c:tx>
            <c:strRef>
              <c:f>'2 years-0.1'!$M$31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years-0.1'!$N$31</c:f>
              <c:numCache>
                <c:formatCode>#,##0</c:formatCode>
                <c:ptCount val="1"/>
                <c:pt idx="0">
                  <c:v>2160.4829224697096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E-1D4E-9D05-46F14DACF814}"/>
            </c:ext>
          </c:extLst>
        </c:ser>
        <c:ser>
          <c:idx val="2"/>
          <c:order val="2"/>
          <c:tx>
            <c:strRef>
              <c:f>'2 years-0.1'!$M$32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years-0.1'!$N$32</c:f>
              <c:numCache>
                <c:formatCode>#,##0</c:formatCode>
                <c:ptCount val="1"/>
                <c:pt idx="0">
                  <c:v>1310.3511756006501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E-1D4E-9D05-46F14DACF814}"/>
            </c:ext>
          </c:extLst>
        </c:ser>
        <c:ser>
          <c:idx val="4"/>
          <c:order val="3"/>
          <c:tx>
            <c:strRef>
              <c:f>'2 years-0.1'!$E$40</c:f>
              <c:strCache>
                <c:ptCount val="1"/>
                <c:pt idx="0">
                  <c:v>RECs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E-1D4E-9D05-46F14DACF814}"/>
            </c:ext>
          </c:extLst>
        </c:ser>
        <c:ser>
          <c:idx val="3"/>
          <c:order val="4"/>
          <c:tx>
            <c:strRef>
              <c:f>'2 years-0.1'!$M$35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years-0.1'!$N$35</c:f>
              <c:numCache>
                <c:formatCode>#,##0</c:formatCode>
                <c:ptCount val="1"/>
                <c:pt idx="0">
                  <c:v>121.17815694323986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E-1D4E-9D05-46F14DACF814}"/>
            </c:ext>
          </c:extLst>
        </c:ser>
        <c:ser>
          <c:idx val="5"/>
          <c:order val="5"/>
          <c:tx>
            <c:strRef>
              <c:f>'2 years-0.1'!$M$37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years-0.1'!$N$37</c:f>
              <c:numCache>
                <c:formatCode>#,##0</c:formatCode>
                <c:ptCount val="1"/>
                <c:pt idx="0">
                  <c:v>862.80309695313508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E-1D4E-9D05-46F14DACF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years-0.3'!$N$30</c:f>
              <c:numCache>
                <c:formatCode>#,##0</c:formatCode>
                <c:ptCount val="1"/>
                <c:pt idx="0">
                  <c:v>-3023.3935035393988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'2 years-0.3'!$M$31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years-0.3'!$N$31</c:f>
              <c:numCache>
                <c:formatCode>#,##0</c:formatCode>
                <c:ptCount val="1"/>
                <c:pt idx="0">
                  <c:v>1784.4863600187273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'2 years-0.3'!$M$32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years-0.3'!$N$32</c:f>
              <c:numCache>
                <c:formatCode>#,##0</c:formatCode>
                <c:ptCount val="1"/>
                <c:pt idx="0">
                  <c:v>1119.7983734350901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'2 years-0.3'!$E$40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'2 years-0.3'!$M$35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years-0.3'!$N$35</c:f>
              <c:numCache>
                <c:formatCode>#,##0</c:formatCode>
                <c:ptCount val="1"/>
                <c:pt idx="0">
                  <c:v>311.73095910879351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'2 years-0.3'!$M$37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years-0.3'!$N$37</c:f>
              <c:numCache>
                <c:formatCode>#,##0</c:formatCode>
                <c:ptCount val="1"/>
                <c:pt idx="0">
                  <c:v>1636.713858387548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years-0.5'!$N$30</c:f>
              <c:numCache>
                <c:formatCode>#,##0</c:formatCode>
                <c:ptCount val="1"/>
                <c:pt idx="0">
                  <c:v>-2102.7395803769996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354A-937D-8A800E97724F}"/>
            </c:ext>
          </c:extLst>
        </c:ser>
        <c:ser>
          <c:idx val="1"/>
          <c:order val="1"/>
          <c:tx>
            <c:strRef>
              <c:f>'2 years-0.5'!$M$31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years-0.5'!$N$31</c:f>
              <c:numCache>
                <c:formatCode>#,##0</c:formatCode>
                <c:ptCount val="1"/>
                <c:pt idx="0">
                  <c:v>1467.3625398066815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354A-937D-8A800E97724F}"/>
            </c:ext>
          </c:extLst>
        </c:ser>
        <c:ser>
          <c:idx val="2"/>
          <c:order val="2"/>
          <c:tx>
            <c:strRef>
              <c:f>'2 years-0.5'!$M$32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years-0.5'!$N$32</c:f>
              <c:numCache>
                <c:formatCode>#,##0</c:formatCode>
                <c:ptCount val="1"/>
                <c:pt idx="0">
                  <c:v>981.42225287188194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354A-937D-8A800E97724F}"/>
            </c:ext>
          </c:extLst>
        </c:ser>
        <c:ser>
          <c:idx val="4"/>
          <c:order val="3"/>
          <c:tx>
            <c:strRef>
              <c:f>'2 years-0.5'!$E$40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354A-937D-8A800E97724F}"/>
            </c:ext>
          </c:extLst>
        </c:ser>
        <c:ser>
          <c:idx val="3"/>
          <c:order val="4"/>
          <c:tx>
            <c:strRef>
              <c:f>'2 years-0.5'!$M$35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years-0.5'!$N$35</c:f>
              <c:numCache>
                <c:formatCode>#,##0</c:formatCode>
                <c:ptCount val="1"/>
                <c:pt idx="0">
                  <c:v>450.10707967201301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354A-937D-8A800E97724F}"/>
            </c:ext>
          </c:extLst>
        </c:ser>
        <c:ser>
          <c:idx val="5"/>
          <c:order val="5"/>
          <c:tx>
            <c:strRef>
              <c:f>'2 years-0.5'!$M$37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years-0.5'!$N$37</c:f>
              <c:numCache>
                <c:formatCode>#,##0</c:formatCode>
                <c:ptCount val="1"/>
                <c:pt idx="0">
                  <c:v>2240.2439613379129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354A-937D-8A800E977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years-1'!$N$30</c:f>
              <c:numCache>
                <c:formatCode>#,##0</c:formatCode>
                <c:ptCount val="1"/>
                <c:pt idx="0">
                  <c:v>71.820677420098946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2C48-9354-768ED4A38639}"/>
            </c:ext>
          </c:extLst>
        </c:ser>
        <c:ser>
          <c:idx val="1"/>
          <c:order val="1"/>
          <c:tx>
            <c:strRef>
              <c:f>'2 years-1'!$M$31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years-1'!$N$31</c:f>
              <c:numCache>
                <c:formatCode>#,##0</c:formatCode>
                <c:ptCount val="1"/>
                <c:pt idx="0">
                  <c:v>384.96855805476571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2C48-9354-768ED4A38639}"/>
            </c:ext>
          </c:extLst>
        </c:ser>
        <c:ser>
          <c:idx val="2"/>
          <c:order val="2"/>
          <c:tx>
            <c:strRef>
              <c:f>'2 years-1'!$M$32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years-1'!$N$32</c:f>
              <c:numCache>
                <c:formatCode>#,##0</c:formatCode>
                <c:ptCount val="1"/>
                <c:pt idx="0">
                  <c:v>807.97095261811808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2C48-9354-768ED4A38639}"/>
            </c:ext>
          </c:extLst>
        </c:ser>
        <c:ser>
          <c:idx val="4"/>
          <c:order val="3"/>
          <c:tx>
            <c:strRef>
              <c:f>'2 years-1'!$E$40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6-2C48-9354-768ED4A38639}"/>
            </c:ext>
          </c:extLst>
        </c:ser>
        <c:ser>
          <c:idx val="3"/>
          <c:order val="4"/>
          <c:tx>
            <c:strRef>
              <c:f>'2 years-1'!$M$35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years-1'!$N$35</c:f>
              <c:numCache>
                <c:formatCode>#,##0</c:formatCode>
                <c:ptCount val="1"/>
                <c:pt idx="0">
                  <c:v>623.5583799257746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6-2C48-9354-768ED4A38639}"/>
            </c:ext>
          </c:extLst>
        </c:ser>
        <c:ser>
          <c:idx val="5"/>
          <c:order val="5"/>
          <c:tx>
            <c:strRef>
              <c:f>'2 years-1'!$M$37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years-1'!$N$37</c:f>
              <c:numCache>
                <c:formatCode>#,##0</c:formatCode>
                <c:ptCount val="1"/>
                <c:pt idx="0">
                  <c:v>3332.4102373830938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6-2C48-9354-768ED4A38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'2yr-0.1-8'!$M$30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'2yr-0.1-8'!$M$30:$M$35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'2yr-0.1-8'!$N$30</c:f>
              <c:numCache>
                <c:formatCode>#,##0</c:formatCode>
                <c:ptCount val="1"/>
                <c:pt idx="0">
                  <c:v>-3358.8588389407996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E-BE40-A017-B79CE645388A}"/>
            </c:ext>
          </c:extLst>
        </c:ser>
        <c:ser>
          <c:idx val="1"/>
          <c:order val="1"/>
          <c:tx>
            <c:strRef>
              <c:f>'2yr-0.1-8'!$M$31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'2yr-0.1-8'!$N$31</c:f>
              <c:numCache>
                <c:formatCode>#,##0</c:formatCode>
                <c:ptCount val="1"/>
                <c:pt idx="0">
                  <c:v>1471.4776632017683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E-BE40-A017-B79CE645388A}"/>
            </c:ext>
          </c:extLst>
        </c:ser>
        <c:ser>
          <c:idx val="2"/>
          <c:order val="2"/>
          <c:tx>
            <c:strRef>
              <c:f>'2yr-0.1-8'!$M$32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'2yr-0.1-8'!$N$32</c:f>
              <c:numCache>
                <c:formatCode>#,##0</c:formatCode>
                <c:ptCount val="1"/>
                <c:pt idx="0">
                  <c:v>1330.9350661523399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E-BE40-A017-B79CE645388A}"/>
            </c:ext>
          </c:extLst>
        </c:ser>
        <c:ser>
          <c:idx val="4"/>
          <c:order val="3"/>
          <c:tx>
            <c:strRef>
              <c:f>'2yr-0.1-8'!$E$40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E-BE40-A017-B79CE645388A}"/>
            </c:ext>
          </c:extLst>
        </c:ser>
        <c:ser>
          <c:idx val="3"/>
          <c:order val="4"/>
          <c:tx>
            <c:strRef>
              <c:f>'2yr-0.1-8'!$M$35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'2yr-0.1-8'!$N$35</c:f>
              <c:numCache>
                <c:formatCode>#,##0</c:formatCode>
                <c:ptCount val="1"/>
                <c:pt idx="0">
                  <c:v>100.59426639154435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E-BE40-A017-B79CE645388A}"/>
            </c:ext>
          </c:extLst>
        </c:ser>
        <c:ser>
          <c:idx val="5"/>
          <c:order val="5"/>
          <c:tx>
            <c:strRef>
              <c:f>'2yr-0.1-8'!$M$37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'2yr-0.1-8'!$N$37</c:f>
              <c:numCache>
                <c:formatCode>#,##0</c:formatCode>
                <c:ptCount val="1"/>
                <c:pt idx="0">
                  <c:v>988.23982616918897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E-BE40-A017-B79CE64538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'2yr-0.3-8'!$M$30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'2yr-0.3-8'!$M$30:$M$35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'2yr-0.3-8'!$N$30</c:f>
              <c:numCache>
                <c:formatCode>#,##0</c:formatCode>
                <c:ptCount val="1"/>
                <c:pt idx="0">
                  <c:v>-2471.4520410598998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6-AB40-AAEC-BF68197822C8}"/>
            </c:ext>
          </c:extLst>
        </c:ser>
        <c:ser>
          <c:idx val="1"/>
          <c:order val="1"/>
          <c:tx>
            <c:strRef>
              <c:f>'2yr-0.3-8'!$M$31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'2yr-0.3-8'!$N$31</c:f>
              <c:numCache>
                <c:formatCode>#,##0</c:formatCode>
                <c:ptCount val="1"/>
                <c:pt idx="0">
                  <c:v>1218.9360476129041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6-AB40-AAEC-BF68197822C8}"/>
            </c:ext>
          </c:extLst>
        </c:ser>
        <c:ser>
          <c:idx val="2"/>
          <c:order val="2"/>
          <c:tx>
            <c:strRef>
              <c:f>'2yr-0.3-8'!$M$32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'2yr-0.3-8'!$N$32</c:f>
              <c:numCache>
                <c:formatCode>#,##0</c:formatCode>
                <c:ptCount val="1"/>
                <c:pt idx="0">
                  <c:v>1171.5600385063601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6-AB40-AAEC-BF68197822C8}"/>
            </c:ext>
          </c:extLst>
        </c:ser>
        <c:ser>
          <c:idx val="4"/>
          <c:order val="3"/>
          <c:tx>
            <c:strRef>
              <c:f>'2yr-0.3-8'!$E$40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6-AB40-AAEC-BF68197822C8}"/>
            </c:ext>
          </c:extLst>
        </c:ser>
        <c:ser>
          <c:idx val="3"/>
          <c:order val="4"/>
          <c:tx>
            <c:strRef>
              <c:f>'2yr-0.3-8'!$M$35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'2yr-0.3-8'!$N$35</c:f>
              <c:numCache>
                <c:formatCode>#,##0</c:formatCode>
                <c:ptCount val="1"/>
                <c:pt idx="0">
                  <c:v>259.96929403753052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6-AB40-AAEC-BF68197822C8}"/>
            </c:ext>
          </c:extLst>
        </c:ser>
        <c:ser>
          <c:idx val="5"/>
          <c:order val="5"/>
          <c:tx>
            <c:strRef>
              <c:f>'2yr-0.3-8'!$M$37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'2yr-0.3-8'!$N$37</c:f>
              <c:numCache>
                <c:formatCode>#,##0</c:formatCode>
                <c:ptCount val="1"/>
                <c:pt idx="0">
                  <c:v>1623.1050084612309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6-AB40-AAEC-BF68197822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'2yr-0.5-8'!$M$30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'2yr-0.5-8'!$M$30:$M$35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'2yr-0.5-8'!$N$30</c:f>
              <c:numCache>
                <c:formatCode>#,##0</c:formatCode>
                <c:ptCount val="1"/>
                <c:pt idx="0">
                  <c:v>-1811.3841752788012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374B-BB48-8C4A394F6EEB}"/>
            </c:ext>
          </c:extLst>
        </c:ser>
        <c:ser>
          <c:idx val="1"/>
          <c:order val="1"/>
          <c:tx>
            <c:strRef>
              <c:f>'2yr-0.5-8'!$M$31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'2yr-0.5-8'!$N$31</c:f>
              <c:numCache>
                <c:formatCode>#,##0</c:formatCode>
                <c:ptCount val="1"/>
                <c:pt idx="0">
                  <c:v>1034.2644386877391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F-374B-BB48-8C4A394F6EEB}"/>
            </c:ext>
          </c:extLst>
        </c:ser>
        <c:ser>
          <c:idx val="2"/>
          <c:order val="2"/>
          <c:tx>
            <c:strRef>
              <c:f>'2yr-0.5-8'!$M$32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'2yr-0.5-8'!$N$32</c:f>
              <c:numCache>
                <c:formatCode>#,##0</c:formatCode>
                <c:ptCount val="1"/>
                <c:pt idx="0">
                  <c:v>1056.5377361365599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F-374B-BB48-8C4A394F6EEB}"/>
            </c:ext>
          </c:extLst>
        </c:ser>
        <c:ser>
          <c:idx val="4"/>
          <c:order val="3"/>
          <c:tx>
            <c:strRef>
              <c:f>'2yr-0.5-8'!$E$40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'2yr-0.5-8'!$G$40</c:f>
              <c:numCache>
                <c:formatCode>#,##0</c:formatCode>
                <c:ptCount val="1"/>
                <c:pt idx="0">
                  <c:v>1444.091669364336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F-374B-BB48-8C4A394F6EEB}"/>
            </c:ext>
          </c:extLst>
        </c:ser>
        <c:ser>
          <c:idx val="3"/>
          <c:order val="4"/>
          <c:tx>
            <c:strRef>
              <c:f>'2yr-0.5-8'!$M$35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'2yr-0.5-8'!$N$35</c:f>
              <c:numCache>
                <c:formatCode>#,##0</c:formatCode>
                <c:ptCount val="1"/>
                <c:pt idx="0">
                  <c:v>374.99159640732819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F-374B-BB48-8C4A394F6EEB}"/>
            </c:ext>
          </c:extLst>
        </c:ser>
        <c:ser>
          <c:idx val="5"/>
          <c:order val="5"/>
          <c:tx>
            <c:strRef>
              <c:f>'2yr-0.5-8'!$M$37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'2yr-0.5-8'!$N$37</c:f>
              <c:numCache>
                <c:formatCode>#,##0</c:formatCode>
                <c:ptCount val="1"/>
                <c:pt idx="0">
                  <c:v>2098.5012653171621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F-374B-BB48-8C4A394F6E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177528</xdr:colOff>
      <xdr:row>40</xdr:row>
      <xdr:rowOff>163870</xdr:rowOff>
    </xdr:from>
    <xdr:to>
      <xdr:col>13</xdr:col>
      <xdr:colOff>163870</xdr:colOff>
      <xdr:row>67</xdr:row>
      <xdr:rowOff>95591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42F6B-B1B4-5D4A-A8E1-9D9F9E41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43473-EDB5-C540-AB9E-7721F6875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20</xdr:row>
      <xdr:rowOff>114300</xdr:rowOff>
    </xdr:from>
    <xdr:to>
      <xdr:col>13</xdr:col>
      <xdr:colOff>419100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14</xdr:row>
      <xdr:rowOff>139700</xdr:rowOff>
    </xdr:from>
    <xdr:to>
      <xdr:col>16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B0E7-6462-C344-B292-0CAD4722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C9B2-ADBD-C344-80A6-B4CCBF03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B5BE-D750-5D48-AF7F-D62D185A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25F91-5BDD-A04A-8567-6294845F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9F98B-2CBB-8447-88AB-F3531C8D8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33861-E704-9A4D-9846-E1744E09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38EB1-1D30-604A-9DDC-3B2FB2E44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832-A496-D04D-A6BC-B280ACB1A954}">
  <dimension ref="B3:O38"/>
  <sheetViews>
    <sheetView showGridLines="0" zoomScale="111" workbookViewId="0">
      <selection activeCell="O57" sqref="O57"/>
    </sheetView>
  </sheetViews>
  <sheetFormatPr baseColWidth="10" defaultRowHeight="16"/>
  <cols>
    <col min="2" max="2" width="20.5" bestFit="1" customWidth="1"/>
    <col min="3" max="3" width="10.83203125" style="69"/>
    <col min="4" max="9" width="10.5" style="1" customWidth="1"/>
    <col min="10" max="12" width="10.5" customWidth="1"/>
  </cols>
  <sheetData>
    <row r="3" spans="2:15" ht="30" customHeight="1">
      <c r="B3" s="26"/>
      <c r="C3" s="71"/>
      <c r="D3" s="118" t="s">
        <v>21</v>
      </c>
      <c r="E3" s="116" t="s">
        <v>99</v>
      </c>
      <c r="F3" s="117"/>
      <c r="G3" s="117"/>
      <c r="H3" s="123"/>
      <c r="I3" s="116" t="s">
        <v>100</v>
      </c>
      <c r="J3" s="117"/>
      <c r="K3" s="117"/>
      <c r="L3" s="117"/>
    </row>
    <row r="4" spans="2:15">
      <c r="B4" s="29"/>
      <c r="C4" s="72"/>
      <c r="D4" s="119"/>
      <c r="E4" s="75">
        <v>-0.1</v>
      </c>
      <c r="F4" s="76">
        <v>-0.3</v>
      </c>
      <c r="G4" s="76">
        <v>-0.5</v>
      </c>
      <c r="H4" s="90">
        <v>-1</v>
      </c>
      <c r="I4" s="76">
        <f>E4</f>
        <v>-0.1</v>
      </c>
      <c r="J4" s="76">
        <f t="shared" ref="J4:L4" si="0">F4</f>
        <v>-0.3</v>
      </c>
      <c r="K4" s="76">
        <f t="shared" si="0"/>
        <v>-0.5</v>
      </c>
      <c r="L4" s="76">
        <f t="shared" si="0"/>
        <v>-1</v>
      </c>
    </row>
    <row r="5" spans="2:15" ht="10" customHeight="1">
      <c r="C5" s="71"/>
      <c r="D5" s="79"/>
      <c r="E5" s="80"/>
      <c r="F5" s="39"/>
      <c r="G5" s="39"/>
      <c r="H5" s="91"/>
      <c r="I5" s="39"/>
      <c r="J5" s="39"/>
      <c r="K5" s="39"/>
      <c r="L5" s="39"/>
    </row>
    <row r="6" spans="2:15">
      <c r="B6" s="70" t="s">
        <v>32</v>
      </c>
      <c r="C6" s="73" t="str">
        <f>'2 years-0.3'!H28</f>
        <v>[$/MWh]</v>
      </c>
      <c r="D6" s="81">
        <f>'2 years-0.3'!F28</f>
        <v>39.477237367006772</v>
      </c>
      <c r="E6" s="82">
        <f>'2 years-0.1'!$G28</f>
        <v>53.958281527367298</v>
      </c>
      <c r="F6" s="83">
        <f>'2 years-0.3'!$G28</f>
        <v>52.413521148302792</v>
      </c>
      <c r="G6" s="83">
        <f>'2 years-0.5'!$G28</f>
        <v>51.010136794931839</v>
      </c>
      <c r="H6" s="92">
        <f>'2 years-1'!$G28</f>
        <v>46.169778718296698</v>
      </c>
      <c r="I6" s="83">
        <f>'2yr-0.1-8'!$G28</f>
        <v>51.104891159350878</v>
      </c>
      <c r="J6" s="83">
        <f>'2yr-0.3-8'!$G28</f>
        <v>49.961398291752175</v>
      </c>
      <c r="K6" s="83">
        <f>'2yr-0.5-8'!$G28</f>
        <v>49.086242173036872</v>
      </c>
      <c r="L6" s="83">
        <f>'2yr-1-8'!$G28</f>
        <v>46.550779535336304</v>
      </c>
      <c r="O6" t="s">
        <v>101</v>
      </c>
    </row>
    <row r="7" spans="2:15" ht="10" customHeight="1">
      <c r="C7" s="71"/>
      <c r="D7" s="79"/>
      <c r="E7" s="80"/>
      <c r="F7" s="39"/>
      <c r="G7" s="39"/>
      <c r="H7" s="91"/>
      <c r="I7" s="39"/>
      <c r="J7" s="39"/>
      <c r="K7" s="39"/>
      <c r="L7" s="39"/>
    </row>
    <row r="8" spans="2:15">
      <c r="B8" t="s">
        <v>28</v>
      </c>
      <c r="C8" s="120" t="str">
        <f>'2 years-0.3'!H31</f>
        <v>[MMUSD]</v>
      </c>
      <c r="D8" s="84">
        <f>'2 years-0.3'!F37</f>
        <v>12533.4098141101</v>
      </c>
      <c r="E8" s="85">
        <f>'2 years-0.1'!$G37</f>
        <v>16706.710641534901</v>
      </c>
      <c r="F8" s="38">
        <f>'2 years-0.3'!$G37</f>
        <v>15556.803317649499</v>
      </c>
      <c r="G8" s="38">
        <f>'2 years-0.5'!$G37</f>
        <v>14636.1493944871</v>
      </c>
      <c r="H8" s="93">
        <f>'2 years-1'!$G37</f>
        <v>12461.589136690001</v>
      </c>
      <c r="I8" s="38">
        <f>'2yr-0.1-8'!$G37</f>
        <v>15892.2686530509</v>
      </c>
      <c r="J8" s="38">
        <f>'2yr-0.3-8'!$G37</f>
        <v>15004.86185517</v>
      </c>
      <c r="K8" s="38">
        <f>'2yr-0.5-8'!$G37</f>
        <v>14344.793989388902</v>
      </c>
      <c r="L8" s="38">
        <f>'2yr-1-8'!$G37</f>
        <v>13024.8384106792</v>
      </c>
      <c r="O8" t="s">
        <v>102</v>
      </c>
    </row>
    <row r="9" spans="2:15">
      <c r="B9" t="s">
        <v>22</v>
      </c>
      <c r="C9" s="121"/>
      <c r="D9" s="84">
        <f>'2 years-0.3'!F30</f>
        <v>6143.6069162768017</v>
      </c>
      <c r="E9" s="85">
        <f>'2 years-0.1'!$G30</f>
        <v>8304.0898387465113</v>
      </c>
      <c r="F9" s="38">
        <f>'2 years-0.3'!$G30</f>
        <v>7928.093276295529</v>
      </c>
      <c r="G9" s="38">
        <f>'2 years-0.5'!$G30</f>
        <v>7610.9694560834832</v>
      </c>
      <c r="H9" s="93">
        <f>'2 years-1'!$G30</f>
        <v>6528.5754743315674</v>
      </c>
      <c r="I9" s="38">
        <f>'2yr-0.1-8'!$G30</f>
        <v>7615.08457947857</v>
      </c>
      <c r="J9" s="38">
        <f>'2yr-0.3-8'!$G30</f>
        <v>7362.5429638897058</v>
      </c>
      <c r="K9" s="38">
        <f>'2yr-0.5-8'!$G30</f>
        <v>7177.8713549645408</v>
      </c>
      <c r="L9" s="38">
        <f>'2yr-1-8'!$G30</f>
        <v>6589.5267244950392</v>
      </c>
    </row>
    <row r="10" spans="2:15" ht="10" customHeight="1">
      <c r="C10" s="121"/>
      <c r="D10" s="79"/>
      <c r="E10" s="80"/>
      <c r="F10" s="39"/>
      <c r="G10" s="39"/>
      <c r="H10" s="91"/>
      <c r="I10" s="39"/>
      <c r="J10" s="39"/>
      <c r="K10" s="39"/>
      <c r="L10" s="39"/>
    </row>
    <row r="11" spans="2:15">
      <c r="B11" t="s">
        <v>29</v>
      </c>
      <c r="C11" s="121"/>
      <c r="D11" s="84" t="s">
        <v>97</v>
      </c>
      <c r="E11" s="85">
        <f>'2 years-0.1'!$G39</f>
        <v>1310.3511756006501</v>
      </c>
      <c r="F11" s="38">
        <f>'2 years-0.3'!$G39</f>
        <v>1119.7983734350901</v>
      </c>
      <c r="G11" s="38">
        <f>'2 years-0.5'!$G39</f>
        <v>981.42225287188194</v>
      </c>
      <c r="H11" s="93">
        <f>'2 years-1'!$G39</f>
        <v>807.97095261811808</v>
      </c>
      <c r="I11" s="38">
        <f>'2yr-0.1-8'!$G39</f>
        <v>1330.9350661523399</v>
      </c>
      <c r="J11" s="38">
        <f>'2yr-0.3-8'!$G39</f>
        <v>1171.5600385063601</v>
      </c>
      <c r="K11" s="38">
        <f>'2yr-0.5-8'!$G39</f>
        <v>1056.5377361365599</v>
      </c>
      <c r="L11" s="38">
        <f>'2yr-1-8'!$G39</f>
        <v>927.37344050381694</v>
      </c>
    </row>
    <row r="12" spans="2:15">
      <c r="B12" t="s">
        <v>95</v>
      </c>
      <c r="C12" s="122"/>
      <c r="D12" s="79" t="s">
        <v>97</v>
      </c>
      <c r="E12" s="85">
        <f>'2 years-0.1'!$G40</f>
        <v>1444.091669364336</v>
      </c>
      <c r="F12" s="38">
        <f>'2 years-0.3'!$G40</f>
        <v>1444.091669364336</v>
      </c>
      <c r="G12" s="38">
        <f>'2 years-0.5'!$G40</f>
        <v>1444.091669364336</v>
      </c>
      <c r="H12" s="93">
        <f>'2 years-1'!$G40</f>
        <v>1444.091669364336</v>
      </c>
      <c r="I12" s="38">
        <f>'2yr-0.1-8'!$G40</f>
        <v>1444.091669364336</v>
      </c>
      <c r="J12" s="38">
        <f>'2yr-0.3-8'!$G40</f>
        <v>1444.091669364336</v>
      </c>
      <c r="K12" s="38">
        <f>'2yr-0.5-8'!$G40</f>
        <v>1444.091669364336</v>
      </c>
      <c r="L12" s="38">
        <f>'2yr-1-8'!$G40</f>
        <v>1444.091669364336</v>
      </c>
    </row>
    <row r="13" spans="2:15" ht="10" customHeight="1">
      <c r="C13" s="71"/>
      <c r="D13" s="79"/>
      <c r="E13" s="80"/>
      <c r="F13" s="39"/>
      <c r="G13" s="39"/>
      <c r="H13" s="91"/>
      <c r="I13" s="39"/>
      <c r="J13" s="39"/>
      <c r="K13" s="39"/>
      <c r="L13" s="39"/>
    </row>
    <row r="14" spans="2:15">
      <c r="B14" t="s">
        <v>30</v>
      </c>
      <c r="C14" s="71" t="str">
        <f>'2 years-0.3'!H42</f>
        <v>[000 ton CO2]</v>
      </c>
      <c r="D14" s="84">
        <f>'2 years-0.3'!F42</f>
        <v>39764.703681774801</v>
      </c>
      <c r="E14" s="85">
        <f>'2 years-0.1'!$G42</f>
        <v>36398.6437666848</v>
      </c>
      <c r="F14" s="38">
        <f>'2 years-0.3'!$G42</f>
        <v>31105.510373197201</v>
      </c>
      <c r="G14" s="38">
        <f>'2 years-0.5'!$G42</f>
        <v>27261.7292464411</v>
      </c>
      <c r="H14" s="93">
        <f>'2 years-1'!$G42</f>
        <v>22443.6375727255</v>
      </c>
      <c r="I14" s="38">
        <f>'2yr-0.1-8'!$G42</f>
        <v>36970.4185042319</v>
      </c>
      <c r="J14" s="38">
        <f>'2yr-0.3-8'!$G42</f>
        <v>32543.334402954501</v>
      </c>
      <c r="K14" s="38">
        <f>'2yr-0.5-8'!$G42</f>
        <v>29348.270448237901</v>
      </c>
      <c r="L14" s="38">
        <f>'2yr-1-8'!$G42</f>
        <v>25760.373347328201</v>
      </c>
    </row>
    <row r="15" spans="2:15">
      <c r="B15" t="s">
        <v>36</v>
      </c>
      <c r="C15" s="71" t="str">
        <f>C8</f>
        <v>[MMUSD]</v>
      </c>
      <c r="D15" s="84">
        <f>'2 years-0.3'!F43</f>
        <v>1431.5293325438927</v>
      </c>
      <c r="E15" s="85">
        <f>'2 years-0.1'!$G43</f>
        <v>1310.3511756006528</v>
      </c>
      <c r="F15" s="38">
        <f>'2 years-0.3'!$G43</f>
        <v>1119.7983734350992</v>
      </c>
      <c r="G15" s="38">
        <f>'2 years-0.5'!$G43</f>
        <v>981.42225287187966</v>
      </c>
      <c r="H15" s="93">
        <f>'2 years-1'!$G43</f>
        <v>807.97095261811808</v>
      </c>
      <c r="I15" s="38">
        <f>'2yr-0.1-8'!$G43</f>
        <v>1330.9350661523483</v>
      </c>
      <c r="J15" s="38">
        <f>'2yr-0.3-8'!$G43</f>
        <v>1171.5600385063622</v>
      </c>
      <c r="K15" s="38">
        <f>'2yr-0.5-8'!$G43</f>
        <v>1056.5377361365645</v>
      </c>
      <c r="L15" s="38">
        <f>'2yr-1-8'!$G43</f>
        <v>927.37344050381523</v>
      </c>
    </row>
    <row r="16" spans="2:15" ht="10" customHeight="1">
      <c r="C16" s="71"/>
      <c r="D16" s="79"/>
      <c r="E16" s="80"/>
      <c r="F16" s="39"/>
      <c r="G16" s="39"/>
      <c r="H16" s="91"/>
      <c r="I16" s="39"/>
      <c r="J16" s="39"/>
      <c r="K16" s="39"/>
      <c r="L16" s="39"/>
    </row>
    <row r="17" spans="2:12">
      <c r="B17" s="77" t="s">
        <v>90</v>
      </c>
      <c r="C17" s="78" t="str">
        <f>C15</f>
        <v>[MMUSD]</v>
      </c>
      <c r="D17" s="86" t="s">
        <v>97</v>
      </c>
      <c r="E17" s="87">
        <f t="shared" ref="E17:L17" si="1">($D$8-E8)-($D$9-E9)+E11+E12+($D$15-E15)</f>
        <v>862.80309695313508</v>
      </c>
      <c r="F17" s="88">
        <f t="shared" si="1"/>
        <v>1636.713858387548</v>
      </c>
      <c r="G17" s="88">
        <f t="shared" si="1"/>
        <v>2240.2439613379129</v>
      </c>
      <c r="H17" s="94">
        <f t="shared" si="1"/>
        <v>3332.4102373830938</v>
      </c>
      <c r="I17" s="88">
        <f t="shared" si="1"/>
        <v>988.23982616918897</v>
      </c>
      <c r="J17" s="88">
        <f t="shared" si="1"/>
        <v>1623.1050084612309</v>
      </c>
      <c r="K17" s="88">
        <f t="shared" si="1"/>
        <v>2098.5012653171621</v>
      </c>
      <c r="L17" s="88">
        <f t="shared" si="1"/>
        <v>2830.1122135573682</v>
      </c>
    </row>
    <row r="18" spans="2:12" ht="10" customHeight="1">
      <c r="C18" s="71"/>
      <c r="D18" s="79"/>
      <c r="E18" s="80"/>
      <c r="F18" s="39"/>
      <c r="G18" s="39"/>
      <c r="H18" s="91"/>
      <c r="I18" s="39"/>
      <c r="J18" s="39"/>
      <c r="K18" s="39"/>
      <c r="L18" s="39"/>
    </row>
    <row r="19" spans="2:12">
      <c r="B19" t="s">
        <v>93</v>
      </c>
      <c r="C19" s="71" t="str">
        <f>'2 years-0.3'!H45</f>
        <v>[TWh/year]</v>
      </c>
      <c r="D19" s="84">
        <f>'2 years-0.3'!F45</f>
        <v>158.74223539999963</v>
      </c>
      <c r="E19" s="85">
        <f>'2 years-0.1'!$G45</f>
        <v>154.81136693596667</v>
      </c>
      <c r="F19" s="38">
        <f>'2 years-0.3'!$G45</f>
        <v>148.40448587332935</v>
      </c>
      <c r="G19" s="38">
        <f>'2 years-0.5'!$G45</f>
        <v>143.46314589712381</v>
      </c>
      <c r="H19" s="93">
        <f>'2 years-1'!$G45</f>
        <v>134.953962122322</v>
      </c>
      <c r="I19" s="38">
        <f>'2yr-0.1-8'!$G45</f>
        <v>155.48676743579193</v>
      </c>
      <c r="J19" s="38">
        <f>'2yr-0.3-8'!$G45</f>
        <v>150.1645507152175</v>
      </c>
      <c r="K19" s="38">
        <f>'2yr-0.5-8'!$G45</f>
        <v>146.11827422866475</v>
      </c>
      <c r="L19" s="38">
        <f>'2yr-1-8'!$G45</f>
        <v>139.89925131964927</v>
      </c>
    </row>
    <row r="21" spans="2:12">
      <c r="E21" s="95"/>
    </row>
    <row r="22" spans="2:12" ht="30" customHeight="1">
      <c r="B22" s="26"/>
      <c r="C22" s="74"/>
      <c r="D22" s="118" t="s">
        <v>21</v>
      </c>
      <c r="E22" s="116" t="s">
        <v>98</v>
      </c>
      <c r="F22" s="117"/>
      <c r="G22" s="117"/>
      <c r="H22" s="117"/>
      <c r="I22" s="117"/>
      <c r="J22" s="117"/>
      <c r="K22" s="117"/>
      <c r="L22" s="117"/>
    </row>
    <row r="23" spans="2:12">
      <c r="B23" s="29"/>
      <c r="C23" s="72"/>
      <c r="D23" s="119"/>
      <c r="E23" s="75">
        <f>I4</f>
        <v>-0.1</v>
      </c>
      <c r="F23" s="76">
        <f t="shared" ref="F23:H23" si="2">J4</f>
        <v>-0.3</v>
      </c>
      <c r="G23" s="76">
        <f t="shared" si="2"/>
        <v>-0.5</v>
      </c>
      <c r="H23" s="76">
        <f t="shared" si="2"/>
        <v>-1</v>
      </c>
      <c r="I23" s="98"/>
      <c r="J23" s="98"/>
      <c r="K23" s="98"/>
      <c r="L23" s="98"/>
    </row>
    <row r="24" spans="2:12" ht="10" customHeight="1">
      <c r="C24" s="74"/>
      <c r="D24" s="79"/>
      <c r="E24" s="80"/>
      <c r="F24" s="39"/>
      <c r="G24" s="39"/>
      <c r="H24" s="39"/>
      <c r="I24" s="39"/>
      <c r="J24" s="39"/>
      <c r="K24" s="39"/>
      <c r="L24" s="39"/>
    </row>
    <row r="25" spans="2:12">
      <c r="B25" s="70" t="s">
        <v>32</v>
      </c>
      <c r="C25" s="89" t="str">
        <f>C6</f>
        <v>[$/MWh]</v>
      </c>
      <c r="D25" s="81">
        <f>D6</f>
        <v>39.477237367006772</v>
      </c>
      <c r="E25" s="82">
        <f t="shared" ref="E25:E38" si="3">I6</f>
        <v>51.104891159350878</v>
      </c>
      <c r="F25" s="83">
        <f t="shared" ref="F25:F38" si="4">J6</f>
        <v>49.961398291752175</v>
      </c>
      <c r="G25" s="83">
        <f t="shared" ref="G25:G38" si="5">K6</f>
        <v>49.086242173036872</v>
      </c>
      <c r="H25" s="83">
        <f t="shared" ref="H25:H38" si="6">L6</f>
        <v>46.550779535336304</v>
      </c>
      <c r="I25" s="53"/>
      <c r="J25" s="53"/>
      <c r="K25" s="53"/>
      <c r="L25" s="53"/>
    </row>
    <row r="26" spans="2:12" ht="10" customHeight="1">
      <c r="C26" s="74"/>
      <c r="D26" s="79"/>
      <c r="E26" s="80"/>
      <c r="F26" s="39"/>
      <c r="G26" s="39"/>
      <c r="H26" s="39"/>
      <c r="I26" s="39"/>
      <c r="J26" s="39"/>
      <c r="K26" s="39"/>
      <c r="L26" s="39"/>
    </row>
    <row r="27" spans="2:12">
      <c r="B27" t="s">
        <v>28</v>
      </c>
      <c r="C27" s="120" t="str">
        <f>C8</f>
        <v>[MMUSD]</v>
      </c>
      <c r="D27" s="84">
        <f t="shared" ref="D27:D38" si="7">D8</f>
        <v>12533.4098141101</v>
      </c>
      <c r="E27" s="85">
        <f t="shared" si="3"/>
        <v>15892.2686530509</v>
      </c>
      <c r="F27" s="38">
        <f t="shared" si="4"/>
        <v>15004.86185517</v>
      </c>
      <c r="G27" s="38">
        <f t="shared" si="5"/>
        <v>14344.793989388902</v>
      </c>
      <c r="H27" s="38">
        <f t="shared" si="6"/>
        <v>13024.8384106792</v>
      </c>
      <c r="I27" s="38"/>
      <c r="J27" s="38"/>
      <c r="K27" s="38"/>
      <c r="L27" s="38"/>
    </row>
    <row r="28" spans="2:12">
      <c r="B28" t="s">
        <v>22</v>
      </c>
      <c r="C28" s="121"/>
      <c r="D28" s="84">
        <f t="shared" si="7"/>
        <v>6143.6069162768017</v>
      </c>
      <c r="E28" s="85">
        <f t="shared" si="3"/>
        <v>7615.08457947857</v>
      </c>
      <c r="F28" s="38">
        <f t="shared" si="4"/>
        <v>7362.5429638897058</v>
      </c>
      <c r="G28" s="38">
        <f t="shared" si="5"/>
        <v>7177.8713549645408</v>
      </c>
      <c r="H28" s="38">
        <f t="shared" si="6"/>
        <v>6589.5267244950392</v>
      </c>
      <c r="I28" s="38"/>
      <c r="J28" s="38"/>
      <c r="K28" s="38"/>
      <c r="L28" s="38"/>
    </row>
    <row r="29" spans="2:12" ht="10" customHeight="1">
      <c r="C29" s="121"/>
      <c r="D29" s="79"/>
      <c r="E29" s="80"/>
      <c r="F29" s="39"/>
      <c r="G29" s="39"/>
      <c r="H29" s="39"/>
      <c r="I29" s="39"/>
      <c r="J29" s="39"/>
      <c r="K29" s="39"/>
      <c r="L29" s="39"/>
    </row>
    <row r="30" spans="2:12">
      <c r="B30" t="s">
        <v>29</v>
      </c>
      <c r="C30" s="121"/>
      <c r="D30" s="84" t="str">
        <f t="shared" si="7"/>
        <v>-</v>
      </c>
      <c r="E30" s="85">
        <f t="shared" si="3"/>
        <v>1330.9350661523399</v>
      </c>
      <c r="F30" s="38">
        <f t="shared" si="4"/>
        <v>1171.5600385063601</v>
      </c>
      <c r="G30" s="38">
        <f t="shared" si="5"/>
        <v>1056.5377361365599</v>
      </c>
      <c r="H30" s="38">
        <f t="shared" si="6"/>
        <v>927.37344050381694</v>
      </c>
      <c r="I30" s="38"/>
      <c r="J30" s="38"/>
      <c r="K30" s="38"/>
      <c r="L30" s="38"/>
    </row>
    <row r="31" spans="2:12">
      <c r="B31" t="s">
        <v>95</v>
      </c>
      <c r="C31" s="122"/>
      <c r="D31" s="79" t="str">
        <f t="shared" si="7"/>
        <v>-</v>
      </c>
      <c r="E31" s="85">
        <f t="shared" si="3"/>
        <v>1444.091669364336</v>
      </c>
      <c r="F31" s="38">
        <f t="shared" si="4"/>
        <v>1444.091669364336</v>
      </c>
      <c r="G31" s="38">
        <f t="shared" si="5"/>
        <v>1444.091669364336</v>
      </c>
      <c r="H31" s="38">
        <f t="shared" si="6"/>
        <v>1444.091669364336</v>
      </c>
      <c r="I31" s="38"/>
      <c r="J31" s="38"/>
      <c r="K31" s="38"/>
      <c r="L31" s="38"/>
    </row>
    <row r="32" spans="2:12" ht="10" customHeight="1">
      <c r="C32" s="74"/>
      <c r="D32" s="79"/>
      <c r="E32" s="80"/>
      <c r="F32" s="39"/>
      <c r="G32" s="39"/>
      <c r="H32" s="39"/>
      <c r="I32" s="39"/>
      <c r="J32" s="39"/>
      <c r="K32" s="39"/>
      <c r="L32" s="39"/>
    </row>
    <row r="33" spans="2:12">
      <c r="B33" t="s">
        <v>30</v>
      </c>
      <c r="C33" s="74" t="str">
        <f>C14</f>
        <v>[000 ton CO2]</v>
      </c>
      <c r="D33" s="84">
        <f t="shared" si="7"/>
        <v>39764.703681774801</v>
      </c>
      <c r="E33" s="85">
        <f t="shared" si="3"/>
        <v>36970.4185042319</v>
      </c>
      <c r="F33" s="38">
        <f t="shared" si="4"/>
        <v>32543.334402954501</v>
      </c>
      <c r="G33" s="38">
        <f t="shared" si="5"/>
        <v>29348.270448237901</v>
      </c>
      <c r="H33" s="38">
        <f t="shared" si="6"/>
        <v>25760.373347328201</v>
      </c>
      <c r="I33" s="38"/>
      <c r="J33" s="38"/>
      <c r="K33" s="38"/>
      <c r="L33" s="38"/>
    </row>
    <row r="34" spans="2:12">
      <c r="B34" t="s">
        <v>36</v>
      </c>
      <c r="C34" s="74" t="str">
        <f>C27</f>
        <v>[MMUSD]</v>
      </c>
      <c r="D34" s="84">
        <f t="shared" si="7"/>
        <v>1431.5293325438927</v>
      </c>
      <c r="E34" s="85">
        <f t="shared" si="3"/>
        <v>1330.9350661523483</v>
      </c>
      <c r="F34" s="38">
        <f t="shared" si="4"/>
        <v>1171.5600385063622</v>
      </c>
      <c r="G34" s="38">
        <f t="shared" si="5"/>
        <v>1056.5377361365645</v>
      </c>
      <c r="H34" s="38">
        <f t="shared" si="6"/>
        <v>927.37344050381523</v>
      </c>
      <c r="I34" s="38"/>
      <c r="J34" s="38"/>
      <c r="K34" s="38"/>
      <c r="L34" s="38"/>
    </row>
    <row r="35" spans="2:12" ht="10" customHeight="1">
      <c r="C35" s="74"/>
      <c r="D35" s="79"/>
      <c r="E35" s="80"/>
      <c r="F35" s="39"/>
      <c r="G35" s="39"/>
      <c r="H35" s="39"/>
      <c r="I35" s="39"/>
      <c r="J35" s="39"/>
      <c r="K35" s="39"/>
      <c r="L35" s="39"/>
    </row>
    <row r="36" spans="2:12">
      <c r="B36" s="77" t="s">
        <v>90</v>
      </c>
      <c r="C36" s="78" t="str">
        <f>C17</f>
        <v>[MMUSD]</v>
      </c>
      <c r="D36" s="86" t="s">
        <v>97</v>
      </c>
      <c r="E36" s="87">
        <f t="shared" si="3"/>
        <v>988.23982616918897</v>
      </c>
      <c r="F36" s="88">
        <f t="shared" si="4"/>
        <v>1623.1050084612309</v>
      </c>
      <c r="G36" s="88">
        <f t="shared" si="5"/>
        <v>2098.5012653171621</v>
      </c>
      <c r="H36" s="88">
        <f t="shared" si="6"/>
        <v>2830.1122135573682</v>
      </c>
      <c r="I36" s="38"/>
      <c r="J36" s="38"/>
      <c r="K36" s="38"/>
      <c r="L36" s="38"/>
    </row>
    <row r="37" spans="2:12" ht="10" customHeight="1">
      <c r="C37" s="74"/>
      <c r="D37" s="79"/>
      <c r="E37" s="80"/>
      <c r="F37" s="39"/>
      <c r="G37" s="39"/>
      <c r="H37" s="39"/>
      <c r="I37" s="39"/>
      <c r="J37" s="39"/>
      <c r="K37" s="39"/>
      <c r="L37" s="39"/>
    </row>
    <row r="38" spans="2:12">
      <c r="B38" t="s">
        <v>93</v>
      </c>
      <c r="C38" s="74" t="str">
        <f>C19</f>
        <v>[TWh/year]</v>
      </c>
      <c r="D38" s="84">
        <f t="shared" si="7"/>
        <v>158.74223539999963</v>
      </c>
      <c r="E38" s="85">
        <f t="shared" si="3"/>
        <v>155.48676743579193</v>
      </c>
      <c r="F38" s="38">
        <f t="shared" si="4"/>
        <v>150.1645507152175</v>
      </c>
      <c r="G38" s="38">
        <f t="shared" si="5"/>
        <v>146.11827422866475</v>
      </c>
      <c r="H38" s="38">
        <f t="shared" si="6"/>
        <v>139.89925131964927</v>
      </c>
      <c r="I38" s="38"/>
      <c r="J38" s="38"/>
      <c r="K38" s="38"/>
      <c r="L38" s="38"/>
    </row>
  </sheetData>
  <mergeCells count="8">
    <mergeCell ref="D3:D4"/>
    <mergeCell ref="I3:L3"/>
    <mergeCell ref="E3:H3"/>
    <mergeCell ref="E22:H22"/>
    <mergeCell ref="D22:D23"/>
    <mergeCell ref="C27:C31"/>
    <mergeCell ref="I22:L22"/>
    <mergeCell ref="C8:C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8BC3-C1C1-934D-BE6D-262DC7C31F70}">
  <dimension ref="A3:P47"/>
  <sheetViews>
    <sheetView showGridLines="0" topLeftCell="A5" workbookViewId="0">
      <selection activeCell="K33" sqref="K33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3">
      <c r="A4" t="s">
        <v>1</v>
      </c>
      <c r="C4">
        <v>2028980650.6048801</v>
      </c>
      <c r="D4">
        <f>C3-C5</f>
        <v>161420.82559979707</v>
      </c>
      <c r="E4">
        <f>C5+C9+C13+C17+C24</f>
        <v>292236548.45732951</v>
      </c>
      <c r="G4" s="1">
        <f>F42/2</f>
        <v>19882.351840887401</v>
      </c>
      <c r="M4">
        <v>52494928.218277298</v>
      </c>
    </row>
    <row r="5" spans="1:13">
      <c r="A5" t="s">
        <v>2</v>
      </c>
      <c r="C5">
        <v>52333507.392677501</v>
      </c>
      <c r="M5">
        <v>2028980650.6048801</v>
      </c>
    </row>
    <row r="6" spans="1:13">
      <c r="A6" t="s">
        <v>3</v>
      </c>
      <c r="C6">
        <v>2501678513.07798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52333507.392677501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2501678513.07798</v>
      </c>
    </row>
    <row r="8" spans="1:13">
      <c r="A8" t="s">
        <v>5</v>
      </c>
      <c r="C8">
        <v>297678734.11507899</v>
      </c>
      <c r="D8">
        <f>C7-C9</f>
        <v>0</v>
      </c>
      <c r="M8">
        <v>7702168.4569703899</v>
      </c>
    </row>
    <row r="9" spans="1:13">
      <c r="A9" t="s">
        <v>6</v>
      </c>
      <c r="C9">
        <v>7702168.4569703899</v>
      </c>
      <c r="M9">
        <v>297678734.11507899</v>
      </c>
    </row>
    <row r="10" spans="1:13">
      <c r="A10" t="s">
        <v>7</v>
      </c>
      <c r="C10">
        <v>367029864.33824098</v>
      </c>
      <c r="M10">
        <v>7702168.4569703899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367029864.33824098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82334154.495839998</v>
      </c>
    </row>
    <row r="13" spans="1:13">
      <c r="A13" t="s">
        <v>10</v>
      </c>
      <c r="C13">
        <v>82334154.495839998</v>
      </c>
      <c r="M13">
        <v>3182107353.4916601</v>
      </c>
    </row>
    <row r="14" spans="1:13">
      <c r="A14" t="s">
        <v>11</v>
      </c>
      <c r="C14">
        <v>3923452690.4775701</v>
      </c>
      <c r="M14">
        <v>82334154.495839998</v>
      </c>
    </row>
    <row r="15" spans="1:13">
      <c r="A15" t="s">
        <v>12</v>
      </c>
      <c r="C15">
        <v>104587743.620995</v>
      </c>
      <c r="M15">
        <v>3923452690.4775701</v>
      </c>
    </row>
    <row r="16" spans="1:13">
      <c r="A16" t="s">
        <v>13</v>
      </c>
      <c r="C16">
        <v>634840178.06518304</v>
      </c>
      <c r="D16">
        <f>C15-C17</f>
        <v>25086501.517069995</v>
      </c>
      <c r="M16">
        <v>104587743.620995</v>
      </c>
    </row>
    <row r="17" spans="1:16">
      <c r="A17" t="s">
        <v>14</v>
      </c>
      <c r="C17">
        <v>79501242.103925005</v>
      </c>
      <c r="M17">
        <v>634840178.06518304</v>
      </c>
    </row>
    <row r="18" spans="1:16">
      <c r="A18" t="s">
        <v>15</v>
      </c>
      <c r="C18">
        <v>385710287.07075</v>
      </c>
      <c r="G18" s="1">
        <f>G19*1000000</f>
        <v>-279417999.54549789</v>
      </c>
      <c r="M18">
        <v>79501242.103925005</v>
      </c>
    </row>
    <row r="19" spans="1:16">
      <c r="A19" t="s">
        <v>16</v>
      </c>
      <c r="C19">
        <v>39764703.681774803</v>
      </c>
      <c r="G19" s="24">
        <f>G20-F20</f>
        <v>-279.41799954549788</v>
      </c>
      <c r="M19">
        <v>385710287.07075</v>
      </c>
    </row>
    <row r="20" spans="1:16">
      <c r="A20" t="s">
        <v>17</v>
      </c>
      <c r="C20">
        <v>29348270.4482379</v>
      </c>
      <c r="F20" s="24">
        <f>F37-F30</f>
        <v>6389.8028978332986</v>
      </c>
      <c r="G20" s="24">
        <f>G37-G30-G39</f>
        <v>6110.3848982878008</v>
      </c>
      <c r="M20">
        <v>39764703.681774803</v>
      </c>
    </row>
    <row r="21" spans="1:16">
      <c r="A21" t="s">
        <v>18</v>
      </c>
      <c r="C21">
        <v>12533409814.1101</v>
      </c>
      <c r="M21">
        <v>29348270.4482379</v>
      </c>
    </row>
    <row r="22" spans="1:16">
      <c r="A22" t="s">
        <v>19</v>
      </c>
      <c r="C22">
        <v>14344793989.388901</v>
      </c>
      <c r="G22" s="67">
        <f>G28-F28</f>
        <v>9.6090048060301001</v>
      </c>
      <c r="M22">
        <v>12533409814.1101</v>
      </c>
    </row>
    <row r="23" spans="1:16">
      <c r="A23" t="s">
        <v>20</v>
      </c>
      <c r="C23">
        <v>1056537736.13656</v>
      </c>
      <c r="M23">
        <v>14344793989.388901</v>
      </c>
    </row>
    <row r="24" spans="1:16">
      <c r="A24" t="s">
        <v>92</v>
      </c>
      <c r="C24">
        <v>70365476.0079166</v>
      </c>
      <c r="M24">
        <v>1056537736.13656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43</v>
      </c>
    </row>
    <row r="27" spans="1:16" ht="10" customHeight="1">
      <c r="E27" s="4"/>
      <c r="F27" s="7"/>
      <c r="G27" s="7"/>
      <c r="J27" s="124" t="s">
        <v>44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49.086242173036872</v>
      </c>
      <c r="H28" s="63" t="s">
        <v>33</v>
      </c>
      <c r="I28" s="63"/>
      <c r="J28" s="124"/>
      <c r="M28" t="s">
        <v>39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24"/>
    </row>
    <row r="30" spans="1:16">
      <c r="E30" s="9" t="s">
        <v>22</v>
      </c>
      <c r="F30" s="43">
        <f>SUM(F31:F34)</f>
        <v>6143.6069162768017</v>
      </c>
      <c r="G30" s="44">
        <f>SUM(G31:G34)</f>
        <v>7177.8713549645408</v>
      </c>
      <c r="H30" s="63"/>
      <c r="I30" s="63"/>
      <c r="J30" s="14">
        <f>(G30-F30)*1000000/E3</f>
        <v>3.2576851273436889</v>
      </c>
      <c r="M30" t="s">
        <v>27</v>
      </c>
      <c r="N30" s="49">
        <f>F37-G37</f>
        <v>-1811.3841752788012</v>
      </c>
    </row>
    <row r="31" spans="1:16">
      <c r="E31" s="15" t="s">
        <v>24</v>
      </c>
      <c r="F31" s="45">
        <f>C8/C28</f>
        <v>297.67873411507901</v>
      </c>
      <c r="G31" s="46">
        <f>C10/C28</f>
        <v>367.029864338241</v>
      </c>
      <c r="H31" s="125" t="s">
        <v>34</v>
      </c>
      <c r="I31" s="63"/>
      <c r="J31" s="16">
        <f>(G31-F31)*1000000/C7</f>
        <v>9.0041045727063871</v>
      </c>
      <c r="M31" t="s">
        <v>22</v>
      </c>
      <c r="N31" s="49">
        <f>G30-F30</f>
        <v>1034.2644386877391</v>
      </c>
      <c r="P31">
        <f>G31/F31</f>
        <v>1.2329730755854118</v>
      </c>
    </row>
    <row r="32" spans="1:16">
      <c r="E32" s="15" t="s">
        <v>25</v>
      </c>
      <c r="F32" s="45">
        <f>C12/C28</f>
        <v>3182.10735349166</v>
      </c>
      <c r="G32" s="46">
        <f>C14/C28</f>
        <v>3923.4526904775698</v>
      </c>
      <c r="H32" s="125"/>
      <c r="I32" s="63"/>
      <c r="J32" s="16">
        <f>(G32-F32)*1000000/C11</f>
        <v>9.0041045727064208</v>
      </c>
      <c r="M32" t="s">
        <v>29</v>
      </c>
      <c r="N32" s="49">
        <f>G39</f>
        <v>1056.5377361365599</v>
      </c>
      <c r="P32">
        <f>G32/F32</f>
        <v>1.2329730755854127</v>
      </c>
    </row>
    <row r="33" spans="5:16">
      <c r="E33" s="15" t="s">
        <v>23</v>
      </c>
      <c r="F33" s="45">
        <f>C4/C28</f>
        <v>2028.9806506048801</v>
      </c>
      <c r="G33" s="46">
        <f>C6/C28</f>
        <v>2501.6785130779799</v>
      </c>
      <c r="H33" s="125"/>
      <c r="I33" s="63"/>
      <c r="J33" s="16">
        <f>(G33-F33)*1000000/C3</f>
        <v>9.0046387054305814</v>
      </c>
      <c r="M33" t="s">
        <v>96</v>
      </c>
      <c r="N33" s="49">
        <f>G40</f>
        <v>1444.091669364336</v>
      </c>
      <c r="P33">
        <f>G33/F33</f>
        <v>1.2329730755846189</v>
      </c>
    </row>
    <row r="34" spans="5:16">
      <c r="E34" s="15" t="s">
        <v>26</v>
      </c>
      <c r="F34" s="45">
        <f>C16/C28</f>
        <v>634.84017806518307</v>
      </c>
      <c r="G34" s="46">
        <f>C18/C28</f>
        <v>385.71028707074998</v>
      </c>
      <c r="H34" s="125"/>
      <c r="I34" s="63"/>
      <c r="J34" s="96">
        <f>(G34-F34)*1000000/C15</f>
        <v>-2.382018029734247</v>
      </c>
      <c r="N34" s="49"/>
      <c r="P34">
        <f>G34/F34</f>
        <v>0.60757069321965107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374.99159640732819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14344.793989388902</v>
      </c>
      <c r="H37" s="3" t="s">
        <v>34</v>
      </c>
      <c r="I37" s="3"/>
      <c r="J37" s="13"/>
      <c r="M37" t="s">
        <v>90</v>
      </c>
      <c r="N37" s="49">
        <f>SUM(N30:N35)</f>
        <v>2098.5012653171621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1056.5377361365599</v>
      </c>
      <c r="H39" s="3" t="s">
        <v>34</v>
      </c>
      <c r="I39" s="3"/>
      <c r="J39" s="1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J40" s="13"/>
      <c r="N40" s="21">
        <f>N37/G37</f>
        <v>0.1462900942927072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29348.270448237901</v>
      </c>
      <c r="H42" s="63" t="s">
        <v>37</v>
      </c>
      <c r="I42" s="63"/>
      <c r="N42" s="21">
        <f>(G37-F37)/F37</f>
        <v>0.14452445121833857</v>
      </c>
    </row>
    <row r="43" spans="5:16">
      <c r="E43" s="9" t="s">
        <v>36</v>
      </c>
      <c r="F43" s="43">
        <f>F42*36/C29</f>
        <v>1431.5293325438927</v>
      </c>
      <c r="G43" s="44">
        <f>G42*36/C29</f>
        <v>1056.5377361365645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158.74223539999963</v>
      </c>
      <c r="G45" s="44">
        <f>E4/(2*C28)</f>
        <v>146.11827422866475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9AE0-C92C-E640-B226-0387CA06369F}">
  <dimension ref="A3:P47"/>
  <sheetViews>
    <sheetView showGridLines="0" topLeftCell="A10" workbookViewId="0">
      <selection activeCell="L25" sqref="L25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5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5">
      <c r="A4" t="s">
        <v>1</v>
      </c>
      <c r="C4">
        <v>2028980650.6048801</v>
      </c>
      <c r="D4">
        <f>C3-C5</f>
        <v>1914340.5995954946</v>
      </c>
      <c r="E4">
        <f>C5+C9+C13+C17+C24</f>
        <v>279798502.63929856</v>
      </c>
      <c r="G4" s="1">
        <f>F42/2</f>
        <v>19882.351840887401</v>
      </c>
      <c r="M4">
        <v>52494928.218277298</v>
      </c>
      <c r="O4" s="114"/>
    </row>
    <row r="5" spans="1:15">
      <c r="A5" t="s">
        <v>2</v>
      </c>
      <c r="C5">
        <v>50580587.618681803</v>
      </c>
      <c r="M5">
        <v>2028980650.6048801</v>
      </c>
      <c r="O5" s="114"/>
    </row>
    <row r="6" spans="1:15">
      <c r="A6" t="s">
        <v>3</v>
      </c>
      <c r="C6">
        <v>2268830827.2825799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50580587.618681803</v>
      </c>
      <c r="O6" s="114"/>
    </row>
    <row r="7" spans="1:15">
      <c r="A7" t="s">
        <v>4</v>
      </c>
      <c r="C7">
        <v>7702168.4569703899</v>
      </c>
      <c r="J7" s="21">
        <f>J6/H6</f>
        <v>-0.36090965768927602</v>
      </c>
      <c r="M7">
        <v>2268830827.2825799</v>
      </c>
      <c r="O7" s="114"/>
    </row>
    <row r="8" spans="1:15">
      <c r="A8" t="s">
        <v>5</v>
      </c>
      <c r="C8">
        <v>297678734.11507899</v>
      </c>
      <c r="D8">
        <f>C7-C9</f>
        <v>0</v>
      </c>
      <c r="M8">
        <v>7702168.4569703899</v>
      </c>
      <c r="O8" s="114"/>
    </row>
    <row r="9" spans="1:15">
      <c r="A9" t="s">
        <v>6</v>
      </c>
      <c r="C9">
        <v>7702168.4569703899</v>
      </c>
      <c r="M9">
        <v>297678734.11507899</v>
      </c>
      <c r="O9" s="114"/>
    </row>
    <row r="10" spans="1:15">
      <c r="A10" t="s">
        <v>7</v>
      </c>
      <c r="C10">
        <v>332867978.997778</v>
      </c>
      <c r="M10">
        <v>7702168.4569703899</v>
      </c>
      <c r="O10" s="114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332867978.997778</v>
      </c>
      <c r="O11" s="114"/>
    </row>
    <row r="12" spans="1:15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82334154.495839998</v>
      </c>
      <c r="O12" s="114"/>
    </row>
    <row r="13" spans="1:15">
      <c r="A13" t="s">
        <v>10</v>
      </c>
      <c r="C13">
        <v>82334154.495839998</v>
      </c>
      <c r="M13">
        <v>3182107353.4916601</v>
      </c>
      <c r="O13" s="114"/>
    </row>
    <row r="14" spans="1:15">
      <c r="A14" t="s">
        <v>11</v>
      </c>
      <c r="C14">
        <v>3558271123.5974798</v>
      </c>
      <c r="M14">
        <v>82334154.495839998</v>
      </c>
      <c r="O14" s="114"/>
    </row>
    <row r="15" spans="1:15">
      <c r="A15" t="s">
        <v>12</v>
      </c>
      <c r="C15">
        <v>104587743.620995</v>
      </c>
      <c r="M15">
        <v>3558271123.5974798</v>
      </c>
      <c r="O15" s="114"/>
    </row>
    <row r="16" spans="1:15">
      <c r="A16" t="s">
        <v>13</v>
      </c>
      <c r="C16">
        <v>634840178.06518304</v>
      </c>
      <c r="D16">
        <f>C15-C17</f>
        <v>35771627.561105207</v>
      </c>
      <c r="M16">
        <v>104587743.620995</v>
      </c>
      <c r="O16" s="114"/>
    </row>
    <row r="17" spans="1:16">
      <c r="A17" t="s">
        <v>14</v>
      </c>
      <c r="C17">
        <v>68816116.059889793</v>
      </c>
      <c r="M17">
        <v>634840178.06518304</v>
      </c>
      <c r="O17" s="114"/>
    </row>
    <row r="18" spans="1:16">
      <c r="A18" t="s">
        <v>15</v>
      </c>
      <c r="C18">
        <v>429556794.61720097</v>
      </c>
      <c r="G18" s="1">
        <f>G19*1000000</f>
        <v>-881864652.15295446</v>
      </c>
      <c r="M18">
        <v>68816116.059889793</v>
      </c>
      <c r="O18" s="114"/>
    </row>
    <row r="19" spans="1:16">
      <c r="A19" t="s">
        <v>16</v>
      </c>
      <c r="C19">
        <v>39764703.681774803</v>
      </c>
      <c r="G19" s="24">
        <f>G20-F20</f>
        <v>-881.86465215295448</v>
      </c>
      <c r="M19">
        <v>429556794.61720097</v>
      </c>
      <c r="O19" s="114"/>
    </row>
    <row r="20" spans="1:16">
      <c r="A20" t="s">
        <v>17</v>
      </c>
      <c r="C20">
        <v>25760373.347328201</v>
      </c>
      <c r="F20" s="24">
        <f>F37-F30</f>
        <v>6389.8028978332986</v>
      </c>
      <c r="G20" s="24">
        <f>G37-G30-G39</f>
        <v>5507.9382456803442</v>
      </c>
      <c r="M20">
        <v>39764703.681774803</v>
      </c>
      <c r="O20" s="114"/>
    </row>
    <row r="21" spans="1:16">
      <c r="A21" t="s">
        <v>18</v>
      </c>
      <c r="C21">
        <v>12533409814.1101</v>
      </c>
      <c r="M21">
        <v>25760373.347328201</v>
      </c>
      <c r="O21" s="114"/>
    </row>
    <row r="22" spans="1:16">
      <c r="A22" t="s">
        <v>19</v>
      </c>
      <c r="C22">
        <v>13024838410.679199</v>
      </c>
      <c r="G22" s="67">
        <f>G28-F28</f>
        <v>7.0735421683295314</v>
      </c>
      <c r="M22">
        <v>12533409814.1101</v>
      </c>
      <c r="O22" s="114"/>
    </row>
    <row r="23" spans="1:16">
      <c r="A23" t="s">
        <v>20</v>
      </c>
      <c r="C23">
        <v>927373440.50381696</v>
      </c>
      <c r="M23">
        <v>13024838410.679199</v>
      </c>
      <c r="O23" s="114"/>
    </row>
    <row r="24" spans="1:16">
      <c r="A24" t="s">
        <v>92</v>
      </c>
      <c r="C24">
        <v>70365476.0079166</v>
      </c>
      <c r="M24">
        <v>927373440.50381696</v>
      </c>
      <c r="O24" s="114"/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43</v>
      </c>
    </row>
    <row r="27" spans="1:16" ht="10" customHeight="1">
      <c r="E27" s="4"/>
      <c r="F27" s="7"/>
      <c r="G27" s="7"/>
      <c r="J27" s="124" t="s">
        <v>44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46.550779535336304</v>
      </c>
      <c r="H28" s="63" t="s">
        <v>33</v>
      </c>
      <c r="I28" s="63"/>
      <c r="J28" s="124"/>
      <c r="M28" t="s">
        <v>39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24"/>
    </row>
    <row r="30" spans="1:16">
      <c r="E30" s="9" t="s">
        <v>22</v>
      </c>
      <c r="F30" s="43">
        <f>SUM(F31:F34)</f>
        <v>6143.6069162768017</v>
      </c>
      <c r="G30" s="44">
        <f>SUM(G31:G34)</f>
        <v>6589.5267244950392</v>
      </c>
      <c r="H30" s="63"/>
      <c r="I30" s="63"/>
      <c r="J30" s="10">
        <f>(G30-F30)*1000000/E3</f>
        <v>1.4045405342018968</v>
      </c>
      <c r="M30" t="s">
        <v>27</v>
      </c>
      <c r="N30" s="49">
        <f>F37-G37</f>
        <v>-491.42859656909968</v>
      </c>
    </row>
    <row r="31" spans="1:16">
      <c r="E31" s="15" t="s">
        <v>24</v>
      </c>
      <c r="F31" s="45">
        <f>C8/C28</f>
        <v>297.67873411507901</v>
      </c>
      <c r="G31" s="46">
        <f>C10/C28</f>
        <v>332.86797899777798</v>
      </c>
      <c r="H31" s="125" t="s">
        <v>34</v>
      </c>
      <c r="I31" s="63"/>
      <c r="J31" s="97">
        <f>(G31-F31)*1000000/C7</f>
        <v>4.5687451630395124</v>
      </c>
      <c r="M31" t="s">
        <v>22</v>
      </c>
      <c r="N31" s="49">
        <f>G30-F30</f>
        <v>445.91980821823745</v>
      </c>
      <c r="P31">
        <f>G31/F31</f>
        <v>1.1182121557568008</v>
      </c>
    </row>
    <row r="32" spans="1:16">
      <c r="E32" s="15" t="s">
        <v>25</v>
      </c>
      <c r="F32" s="45">
        <f>C12/C28</f>
        <v>3182.10735349166</v>
      </c>
      <c r="G32" s="46">
        <f>C14/C28</f>
        <v>3558.2711235974798</v>
      </c>
      <c r="H32" s="125"/>
      <c r="I32" s="63"/>
      <c r="J32" s="97">
        <f>(G32-F32)*1000000/C11</f>
        <v>4.5687451630395479</v>
      </c>
      <c r="M32" t="s">
        <v>29</v>
      </c>
      <c r="N32" s="49">
        <f>G39</f>
        <v>927.37344050381694</v>
      </c>
      <c r="P32">
        <f>G32/F32</f>
        <v>1.1182121557568017</v>
      </c>
    </row>
    <row r="33" spans="5:16">
      <c r="E33" s="15" t="s">
        <v>23</v>
      </c>
      <c r="F33" s="45">
        <f>C4/C28</f>
        <v>2028.9806506048801</v>
      </c>
      <c r="G33" s="46">
        <f>C6/C28</f>
        <v>2268.8308272825798</v>
      </c>
      <c r="H33" s="125"/>
      <c r="I33" s="63"/>
      <c r="J33" s="97">
        <f>(G33-F33)*1000000/C3</f>
        <v>4.5690161853424609</v>
      </c>
      <c r="M33" t="s">
        <v>96</v>
      </c>
      <c r="N33" s="49">
        <f>G40</f>
        <v>1444.091669364336</v>
      </c>
      <c r="P33">
        <f>G33/F33</f>
        <v>1.1182121557473679</v>
      </c>
    </row>
    <row r="34" spans="5:16">
      <c r="E34" s="15" t="s">
        <v>26</v>
      </c>
      <c r="F34" s="45">
        <f>C16/C28</f>
        <v>634.84017806518307</v>
      </c>
      <c r="G34" s="46">
        <f>C18/C28</f>
        <v>429.55679461720098</v>
      </c>
      <c r="H34" s="125"/>
      <c r="I34" s="63"/>
      <c r="J34" s="96">
        <f>(G34-F34)*1000000/C15</f>
        <v>-1.9627862342253783</v>
      </c>
      <c r="N34" s="49"/>
      <c r="P34">
        <f>G34/F34</f>
        <v>0.67663769474448043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504.15589204007745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13024.8384106792</v>
      </c>
      <c r="H37" s="3" t="s">
        <v>34</v>
      </c>
      <c r="I37" s="3"/>
      <c r="J37" s="13"/>
      <c r="M37" t="s">
        <v>90</v>
      </c>
      <c r="N37" s="49">
        <f>SUM(N30:N35)</f>
        <v>2830.1122135573682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927.37344050381694</v>
      </c>
      <c r="H39" s="3" t="s">
        <v>34</v>
      </c>
      <c r="I39" s="3"/>
      <c r="J39" s="1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J40" s="13"/>
      <c r="N40" s="21">
        <f>N37/G37</f>
        <v>0.21728578308019006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25760.373347328201</v>
      </c>
      <c r="H42" s="63" t="s">
        <v>37</v>
      </c>
      <c r="I42" s="63"/>
      <c r="N42" s="21">
        <f>(G37-F37)/F37</f>
        <v>3.9209489185923679E-2</v>
      </c>
    </row>
    <row r="43" spans="5:16">
      <c r="E43" s="9" t="s">
        <v>36</v>
      </c>
      <c r="F43" s="43">
        <f>F42*36/C29</f>
        <v>1431.5293325438927</v>
      </c>
      <c r="G43" s="44">
        <f>G42*36/C29</f>
        <v>927.37344050381523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158.74223539999963</v>
      </c>
      <c r="G45" s="44">
        <f>E4/(2*C28)</f>
        <v>139.89925131964927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dimension ref="C2:N11"/>
  <sheetViews>
    <sheetView showGridLines="0" zoomScale="117" workbookViewId="0">
      <selection activeCell="M11" sqref="M11"/>
    </sheetView>
  </sheetViews>
  <sheetFormatPr baseColWidth="10" defaultRowHeight="16"/>
  <cols>
    <col min="3" max="3" width="5.6640625" customWidth="1"/>
    <col min="4" max="4" width="7.5" customWidth="1"/>
    <col min="6" max="6" width="9.83203125" bestFit="1" customWidth="1"/>
    <col min="7" max="8" width="10.6640625" style="50" customWidth="1"/>
    <col min="9" max="10" width="10.6640625" customWidth="1"/>
  </cols>
  <sheetData>
    <row r="2" spans="3:14">
      <c r="G2" s="129" t="s">
        <v>103</v>
      </c>
      <c r="H2" s="130"/>
      <c r="I2" s="130"/>
      <c r="J2" s="130"/>
    </row>
    <row r="3" spans="3:14">
      <c r="F3" s="109"/>
      <c r="G3" s="126" t="s">
        <v>104</v>
      </c>
      <c r="H3" s="127"/>
      <c r="I3" s="128" t="s">
        <v>105</v>
      </c>
      <c r="J3" s="128"/>
    </row>
    <row r="4" spans="3:14" ht="34">
      <c r="D4" s="1"/>
      <c r="F4" s="110" t="s">
        <v>106</v>
      </c>
      <c r="G4" s="100" t="s">
        <v>70</v>
      </c>
      <c r="H4" s="101" t="s">
        <v>71</v>
      </c>
      <c r="I4" s="99" t="s">
        <v>70</v>
      </c>
      <c r="J4" s="99" t="s">
        <v>71</v>
      </c>
    </row>
    <row r="5" spans="3:14">
      <c r="C5" s="51" t="s">
        <v>63</v>
      </c>
      <c r="D5" s="52">
        <v>0.14879065</v>
      </c>
      <c r="F5" s="39" t="s">
        <v>67</v>
      </c>
      <c r="G5" s="104">
        <v>0.637650297778806</v>
      </c>
      <c r="H5" s="102">
        <v>2.3236848825557201E-4</v>
      </c>
      <c r="I5" s="104">
        <v>0.63762592240836302</v>
      </c>
      <c r="J5" s="106">
        <v>2.2254688000648599E-8</v>
      </c>
      <c r="K5" s="26"/>
    </row>
    <row r="6" spans="3:14">
      <c r="C6" s="39" t="s">
        <v>64</v>
      </c>
      <c r="D6" s="53">
        <v>-0.13232826</v>
      </c>
      <c r="F6" s="39" t="s">
        <v>68</v>
      </c>
      <c r="G6" s="104">
        <v>1.21789301981552</v>
      </c>
      <c r="H6" s="102">
        <v>3.9447126644578303E-3</v>
      </c>
      <c r="I6" s="104">
        <v>1.2178018706353799</v>
      </c>
      <c r="J6" s="106">
        <v>2.25705845523682E-6</v>
      </c>
      <c r="K6" s="26"/>
    </row>
    <row r="7" spans="3:14" ht="17">
      <c r="C7" s="39" t="s">
        <v>65</v>
      </c>
      <c r="D7" s="53">
        <v>-0.70620249999999996</v>
      </c>
      <c r="F7" s="35" t="s">
        <v>69</v>
      </c>
      <c r="G7" s="105">
        <v>3.5534479497935498</v>
      </c>
      <c r="H7" s="103">
        <v>5.5266239378950798E-3</v>
      </c>
      <c r="I7" s="105">
        <v>3.55321935167817</v>
      </c>
      <c r="J7" s="107">
        <v>3.3262038463098199E-7</v>
      </c>
      <c r="K7" s="26"/>
      <c r="N7" s="19"/>
    </row>
    <row r="8" spans="3:14" ht="17">
      <c r="C8" s="39" t="s">
        <v>66</v>
      </c>
      <c r="D8" s="65">
        <v>-1.10531E-3</v>
      </c>
      <c r="L8" s="19"/>
      <c r="N8" s="66"/>
    </row>
    <row r="9" spans="3:14">
      <c r="C9" s="35" t="s">
        <v>91</v>
      </c>
      <c r="D9" s="54">
        <v>8.2116499999999995E-2</v>
      </c>
      <c r="I9" s="108">
        <f>I5-G5</f>
        <v>-2.4375370442974997E-5</v>
      </c>
    </row>
    <row r="10" spans="3:14">
      <c r="C10" s="55" t="s">
        <v>72</v>
      </c>
      <c r="D10" s="1">
        <v>0.54511573046643602</v>
      </c>
      <c r="I10" s="108">
        <f t="shared" ref="I10:I11" si="0">I6-G6</f>
        <v>-9.1149180140082109E-5</v>
      </c>
    </row>
    <row r="11" spans="3:14">
      <c r="I11" s="108">
        <f t="shared" si="0"/>
        <v>-2.2859811537978558E-4</v>
      </c>
    </row>
  </sheetData>
  <mergeCells count="3">
    <mergeCell ref="G3:H3"/>
    <mergeCell ref="I3:J3"/>
    <mergeCell ref="G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dimension ref="A2:L54"/>
  <sheetViews>
    <sheetView showGridLines="0" workbookViewId="0">
      <selection activeCell="K16" sqref="K16"/>
    </sheetView>
  </sheetViews>
  <sheetFormatPr baseColWidth="10" defaultRowHeight="16"/>
  <cols>
    <col min="2" max="2" width="12.1640625" bestFit="1" customWidth="1"/>
  </cols>
  <sheetData>
    <row r="2" spans="1:12">
      <c r="B2" t="s">
        <v>46</v>
      </c>
      <c r="H2" t="s">
        <v>45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41</v>
      </c>
      <c r="C5" t="s">
        <v>23</v>
      </c>
      <c r="D5" t="s">
        <v>24</v>
      </c>
      <c r="E5" t="s">
        <v>25</v>
      </c>
      <c r="F5" t="s">
        <v>42</v>
      </c>
      <c r="H5" s="23" t="s">
        <v>40</v>
      </c>
      <c r="I5" s="23" t="s">
        <v>23</v>
      </c>
      <c r="J5" s="23" t="s">
        <v>24</v>
      </c>
      <c r="K5" s="23" t="s">
        <v>25</v>
      </c>
      <c r="L5" s="23"/>
    </row>
    <row r="6" spans="1:12">
      <c r="B6" s="21">
        <f>B4/$B$22</f>
        <v>0.38749499939397597</v>
      </c>
      <c r="C6" s="21">
        <f>C4/$B$22</f>
        <v>0.23135234102920427</v>
      </c>
      <c r="D6" s="21">
        <f>D4/$B$22</f>
        <v>3.2162830696683797E-2</v>
      </c>
      <c r="E6" s="21">
        <f>E4/$B$22</f>
        <v>0.321494581534636</v>
      </c>
      <c r="F6" s="21">
        <f>(B22-SUM(B4:E4))/B22</f>
        <v>2.749524734549998E-2</v>
      </c>
      <c r="H6" s="21">
        <f>H4/$H$11</f>
        <v>0.57361354647963092</v>
      </c>
      <c r="I6" s="21">
        <f t="shared" ref="I6:K6" si="0">I4/$H$11</f>
        <v>0.14489826370300277</v>
      </c>
      <c r="J6" s="21">
        <f t="shared" si="0"/>
        <v>4.4520100856254241E-2</v>
      </c>
      <c r="K6" s="21">
        <f t="shared" si="0"/>
        <v>0.13827034083782366</v>
      </c>
      <c r="L6" s="21">
        <f>(H11-SUM(H4:K4))/H11</f>
        <v>9.8697748123288284E-2</v>
      </c>
    </row>
    <row r="8" spans="1:12">
      <c r="F8" s="22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3">
        <f>H6</f>
        <v>0.57361354647963092</v>
      </c>
      <c r="C11" s="23">
        <f t="shared" ref="C11:F11" si="2">I6</f>
        <v>0.14489826370300277</v>
      </c>
      <c r="D11" s="23">
        <f>K6</f>
        <v>0.13827034083782366</v>
      </c>
      <c r="E11" s="23">
        <f>J6</f>
        <v>4.4520100856254241E-2</v>
      </c>
      <c r="F11" s="23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3">
        <f>B6</f>
        <v>0.38749499939397597</v>
      </c>
      <c r="C12" s="23">
        <f t="shared" ref="C12:F12" si="3">C6</f>
        <v>0.23135234102920427</v>
      </c>
      <c r="D12" s="23">
        <f>E6</f>
        <v>0.321494581534636</v>
      </c>
      <c r="E12" s="23">
        <f>D6</f>
        <v>3.2162830696683797E-2</v>
      </c>
      <c r="F12" s="23">
        <f t="shared" si="3"/>
        <v>2.749524734549998E-2</v>
      </c>
    </row>
    <row r="13" spans="1:12">
      <c r="C13" s="20"/>
      <c r="D13" s="20"/>
    </row>
    <row r="14" spans="1:12">
      <c r="C14" s="20"/>
    </row>
    <row r="15" spans="1:12">
      <c r="I15" t="s">
        <v>45</v>
      </c>
      <c r="J15" t="s">
        <v>46</v>
      </c>
    </row>
    <row r="16" spans="1:12">
      <c r="H16" t="s">
        <v>41</v>
      </c>
      <c r="I16" s="20">
        <v>0.57361354647963092</v>
      </c>
      <c r="J16" s="20">
        <v>0.38749499939397597</v>
      </c>
    </row>
    <row r="17" spans="2:10">
      <c r="H17" t="s">
        <v>23</v>
      </c>
      <c r="I17" s="20">
        <v>0.14489826370300277</v>
      </c>
      <c r="J17" s="20">
        <v>0.23135234102920427</v>
      </c>
    </row>
    <row r="18" spans="2:10">
      <c r="H18" t="s">
        <v>24</v>
      </c>
      <c r="I18" s="20">
        <v>4.4520100856254241E-2</v>
      </c>
      <c r="J18" s="20">
        <v>3.2162830696683797E-2</v>
      </c>
    </row>
    <row r="19" spans="2:10">
      <c r="B19">
        <v>127575.993717</v>
      </c>
      <c r="H19" t="s">
        <v>25</v>
      </c>
      <c r="I19" s="20">
        <v>0.13827034083782366</v>
      </c>
      <c r="J19" s="20">
        <v>0.321494581534636</v>
      </c>
    </row>
    <row r="20" spans="2:10">
      <c r="B20">
        <v>0.97250475265449998</v>
      </c>
      <c r="H20" t="s">
        <v>42</v>
      </c>
      <c r="I20" s="20">
        <v>9.8697748123288284E-2</v>
      </c>
      <c r="J20" s="20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28" t="s">
        <v>41</v>
      </c>
      <c r="C51" s="30">
        <f>C48</f>
        <v>0.2589562738087704</v>
      </c>
    </row>
    <row r="52" spans="2:3">
      <c r="B52" s="26" t="s">
        <v>24</v>
      </c>
      <c r="C52" s="31">
        <f>E48</f>
        <v>0.27693500784226627</v>
      </c>
    </row>
    <row r="53" spans="2:3">
      <c r="B53" s="26" t="s">
        <v>23</v>
      </c>
      <c r="C53" s="31">
        <f>D48</f>
        <v>0.61205500131425172</v>
      </c>
    </row>
    <row r="54" spans="2:3">
      <c r="B54" s="29" t="s">
        <v>25</v>
      </c>
      <c r="C54" s="32">
        <f>F48</f>
        <v>0.89130092732543986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dimension ref="A4:G18"/>
  <sheetViews>
    <sheetView showGridLines="0" workbookViewId="0">
      <selection activeCell="F30" sqref="F30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47</v>
      </c>
      <c r="B4">
        <v>10172.688602288181</v>
      </c>
      <c r="C4">
        <v>1255.8399390243903</v>
      </c>
    </row>
    <row r="5" spans="1:7">
      <c r="A5" t="s">
        <v>48</v>
      </c>
      <c r="B5">
        <v>6827.9021176386268</v>
      </c>
      <c r="C5">
        <v>925.06201875194051</v>
      </c>
    </row>
    <row r="6" spans="1:7">
      <c r="A6" t="s">
        <v>49</v>
      </c>
      <c r="B6">
        <v>56164.710588235299</v>
      </c>
      <c r="C6">
        <v>6904.5280000000002</v>
      </c>
    </row>
    <row r="7" spans="1:7">
      <c r="A7" t="s">
        <v>50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28"/>
      <c r="F10" s="36" t="s">
        <v>52</v>
      </c>
      <c r="G10" s="36" t="s">
        <v>59</v>
      </c>
    </row>
    <row r="11" spans="1:7">
      <c r="E11" s="37"/>
      <c r="F11" s="40" t="s">
        <v>57</v>
      </c>
      <c r="G11" s="40" t="s">
        <v>58</v>
      </c>
    </row>
    <row r="12" spans="1:7">
      <c r="E12" s="37" t="s">
        <v>53</v>
      </c>
      <c r="F12" s="38">
        <f>B4</f>
        <v>10172.688602288181</v>
      </c>
      <c r="G12" s="38">
        <f>C4</f>
        <v>1255.8399390243903</v>
      </c>
    </row>
    <row r="13" spans="1:7">
      <c r="E13" s="37" t="s">
        <v>54</v>
      </c>
      <c r="F13" s="38">
        <f t="shared" ref="F13" si="0">B5</f>
        <v>6827.9021176386268</v>
      </c>
      <c r="G13" s="38">
        <f>C5</f>
        <v>925.06201875194051</v>
      </c>
    </row>
    <row r="14" spans="1:7">
      <c r="E14" s="37" t="s">
        <v>55</v>
      </c>
      <c r="F14" s="38">
        <f t="shared" ref="F14" si="1">B6</f>
        <v>56164.710588235299</v>
      </c>
      <c r="G14" s="38">
        <f>C6</f>
        <v>6904.5280000000002</v>
      </c>
    </row>
    <row r="15" spans="1:7">
      <c r="E15" s="37" t="s">
        <v>56</v>
      </c>
      <c r="F15" s="38">
        <f t="shared" ref="F15" si="2">B7</f>
        <v>2801.2402118247301</v>
      </c>
      <c r="G15" s="38">
        <f>C7</f>
        <v>327.43400000000003</v>
      </c>
    </row>
    <row r="16" spans="1:7">
      <c r="E16" s="41"/>
      <c r="F16" s="42"/>
      <c r="G16" s="42"/>
    </row>
    <row r="17" spans="2:7">
      <c r="E17" s="26"/>
      <c r="F17" s="37" t="s">
        <v>60</v>
      </c>
      <c r="G17" s="38">
        <v>24348.074331609998</v>
      </c>
    </row>
    <row r="18" spans="2:7">
      <c r="B18" s="33" t="s">
        <v>51</v>
      </c>
      <c r="C18">
        <f>B8</f>
        <v>82</v>
      </c>
      <c r="E18" s="29"/>
      <c r="F18" s="34" t="s">
        <v>51</v>
      </c>
      <c r="G18" s="35">
        <f>B8</f>
        <v>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dimension ref="A1:N268"/>
  <sheetViews>
    <sheetView topLeftCell="E163" workbookViewId="0">
      <selection activeCell="L176" sqref="L176"/>
    </sheetView>
  </sheetViews>
  <sheetFormatPr baseColWidth="10" defaultRowHeight="16"/>
  <cols>
    <col min="9" max="9" width="12.6640625" bestFit="1" customWidth="1"/>
  </cols>
  <sheetData>
    <row r="1" spans="1:1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J1" t="s">
        <v>79</v>
      </c>
      <c r="K1">
        <v>36</v>
      </c>
      <c r="M1" t="s">
        <v>86</v>
      </c>
    </row>
    <row r="2" spans="1:13">
      <c r="A2">
        <v>1</v>
      </c>
      <c r="B2" t="s">
        <v>80</v>
      </c>
      <c r="C2" s="56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17">
        <f>C2</f>
        <v>21.110130699999999</v>
      </c>
      <c r="J2" t="s">
        <v>81</v>
      </c>
      <c r="K2">
        <v>453.59199999999998</v>
      </c>
      <c r="M2" t="s">
        <v>21</v>
      </c>
    </row>
    <row r="3" spans="1:13">
      <c r="A3">
        <v>2</v>
      </c>
      <c r="B3" t="s">
        <v>80</v>
      </c>
      <c r="C3" s="56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17">
        <f t="shared" ref="I3:I66" si="3">C3+I2</f>
        <v>30.157329560000001</v>
      </c>
      <c r="J3" t="s">
        <v>82</v>
      </c>
      <c r="K3">
        <v>4.3820427111430096</v>
      </c>
    </row>
    <row r="4" spans="1:13">
      <c r="A4">
        <v>3</v>
      </c>
      <c r="B4" t="s">
        <v>80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17">
        <f t="shared" si="3"/>
        <v>37.395088649999998</v>
      </c>
    </row>
    <row r="5" spans="1:13">
      <c r="A5">
        <v>4</v>
      </c>
      <c r="B5" t="s">
        <v>80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17">
        <f t="shared" si="3"/>
        <v>55.248227749999998</v>
      </c>
    </row>
    <row r="6" spans="1:13">
      <c r="A6">
        <v>5</v>
      </c>
      <c r="B6" t="s">
        <v>80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17">
        <f t="shared" si="3"/>
        <v>82.269195049999993</v>
      </c>
    </row>
    <row r="7" spans="1:13">
      <c r="A7">
        <v>6</v>
      </c>
      <c r="B7" t="s">
        <v>80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17">
        <f t="shared" si="3"/>
        <v>96.624083949999999</v>
      </c>
    </row>
    <row r="8" spans="1:13">
      <c r="A8">
        <v>7</v>
      </c>
      <c r="B8" t="s">
        <v>80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17">
        <f t="shared" si="3"/>
        <v>115.36987995</v>
      </c>
    </row>
    <row r="9" spans="1:13">
      <c r="A9">
        <v>8</v>
      </c>
      <c r="B9" t="s">
        <v>80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17">
        <f t="shared" si="3"/>
        <v>118.14435426999999</v>
      </c>
    </row>
    <row r="10" spans="1:13">
      <c r="A10">
        <v>9</v>
      </c>
      <c r="B10" t="s">
        <v>80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17">
        <f t="shared" si="3"/>
        <v>195.82963516999999</v>
      </c>
    </row>
    <row r="11" spans="1:13">
      <c r="A11">
        <v>10</v>
      </c>
      <c r="B11" t="s">
        <v>80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17">
        <f t="shared" si="3"/>
        <v>247.70024196999998</v>
      </c>
    </row>
    <row r="12" spans="1:13">
      <c r="A12">
        <v>11</v>
      </c>
      <c r="B12" t="s">
        <v>80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17">
        <f t="shared" si="3"/>
        <v>251.60863187999999</v>
      </c>
    </row>
    <row r="13" spans="1:13">
      <c r="A13">
        <v>12</v>
      </c>
      <c r="B13" t="s">
        <v>80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17">
        <f t="shared" si="3"/>
        <v>259.93205482999997</v>
      </c>
    </row>
    <row r="14" spans="1:13">
      <c r="A14">
        <v>13</v>
      </c>
      <c r="B14" t="s">
        <v>80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17">
        <f t="shared" si="3"/>
        <v>283.45477182999997</v>
      </c>
    </row>
    <row r="15" spans="1:13">
      <c r="A15">
        <v>14</v>
      </c>
      <c r="B15" t="s">
        <v>80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17">
        <f t="shared" si="3"/>
        <v>307.70126482999996</v>
      </c>
    </row>
    <row r="16" spans="1:13">
      <c r="A16">
        <v>15</v>
      </c>
      <c r="B16" t="s">
        <v>80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17">
        <f t="shared" si="3"/>
        <v>333.39530962999993</v>
      </c>
    </row>
    <row r="17" spans="1:9">
      <c r="A17">
        <v>16</v>
      </c>
      <c r="B17" t="s">
        <v>80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17">
        <f t="shared" si="3"/>
        <v>357.64180262999992</v>
      </c>
    </row>
    <row r="18" spans="1:9">
      <c r="A18">
        <v>17</v>
      </c>
      <c r="B18" t="s">
        <v>80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17">
        <f t="shared" si="3"/>
        <v>377.1837521299999</v>
      </c>
    </row>
    <row r="19" spans="1:9">
      <c r="A19">
        <v>18</v>
      </c>
      <c r="B19" t="s">
        <v>80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17">
        <f t="shared" si="3"/>
        <v>407.58234032999991</v>
      </c>
    </row>
    <row r="20" spans="1:9">
      <c r="A20">
        <v>19</v>
      </c>
      <c r="B20" t="s">
        <v>80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17">
        <f t="shared" si="3"/>
        <v>411.20121987999988</v>
      </c>
    </row>
    <row r="21" spans="1:9">
      <c r="A21">
        <v>20</v>
      </c>
      <c r="B21" t="s">
        <v>80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17">
        <f t="shared" si="3"/>
        <v>416.0263926099999</v>
      </c>
    </row>
    <row r="22" spans="1:9">
      <c r="A22">
        <v>21</v>
      </c>
      <c r="B22" t="s">
        <v>80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17">
        <f t="shared" si="3"/>
        <v>438.8012079099999</v>
      </c>
    </row>
    <row r="23" spans="1:9">
      <c r="A23">
        <v>22</v>
      </c>
      <c r="B23" t="s">
        <v>80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17">
        <f t="shared" si="3"/>
        <v>439.62148726999988</v>
      </c>
    </row>
    <row r="24" spans="1:9">
      <c r="A24">
        <v>23</v>
      </c>
      <c r="B24" t="s">
        <v>83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17">
        <f t="shared" si="3"/>
        <v>1509.0789272699999</v>
      </c>
    </row>
    <row r="25" spans="1:9">
      <c r="A25">
        <v>24</v>
      </c>
      <c r="B25" t="s">
        <v>83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17">
        <f t="shared" si="3"/>
        <v>2342.2513132699996</v>
      </c>
    </row>
    <row r="26" spans="1:9">
      <c r="A26">
        <v>25</v>
      </c>
      <c r="B26" t="s">
        <v>83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17">
        <f t="shared" si="3"/>
        <v>3068.3956262699994</v>
      </c>
    </row>
    <row r="27" spans="1:9">
      <c r="A27">
        <v>26</v>
      </c>
      <c r="B27" t="s">
        <v>83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17">
        <f t="shared" si="3"/>
        <v>4633.5577062699995</v>
      </c>
    </row>
    <row r="28" spans="1:9">
      <c r="A28">
        <v>27</v>
      </c>
      <c r="B28" t="s">
        <v>83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17">
        <f t="shared" si="3"/>
        <v>5139.0595292699991</v>
      </c>
    </row>
    <row r="29" spans="1:9">
      <c r="A29">
        <v>28</v>
      </c>
      <c r="B29" t="s">
        <v>84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17">
        <f t="shared" si="3"/>
        <v>5141.1200165299988</v>
      </c>
    </row>
    <row r="30" spans="1:9">
      <c r="A30">
        <v>29</v>
      </c>
      <c r="B30" t="s">
        <v>84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17">
        <f t="shared" si="3"/>
        <v>5143.4895768799988</v>
      </c>
    </row>
    <row r="31" spans="1:9">
      <c r="A31">
        <v>30</v>
      </c>
      <c r="B31" t="s">
        <v>84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17">
        <f t="shared" si="3"/>
        <v>5153.7920131799992</v>
      </c>
    </row>
    <row r="32" spans="1:9">
      <c r="A32">
        <v>31</v>
      </c>
      <c r="B32" t="s">
        <v>84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17">
        <f t="shared" si="3"/>
        <v>5158.4281095199995</v>
      </c>
    </row>
    <row r="33" spans="1:9">
      <c r="A33">
        <v>32</v>
      </c>
      <c r="B33" t="s">
        <v>84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17">
        <f t="shared" si="3"/>
        <v>5159.4583531499993</v>
      </c>
    </row>
    <row r="34" spans="1:9">
      <c r="A34">
        <v>33</v>
      </c>
      <c r="B34" t="s">
        <v>84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17">
        <f t="shared" si="3"/>
        <v>5178.0027385499989</v>
      </c>
    </row>
    <row r="35" spans="1:9">
      <c r="A35">
        <v>34</v>
      </c>
      <c r="B35" t="s">
        <v>84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17">
        <f t="shared" si="3"/>
        <v>5181.0934694399984</v>
      </c>
    </row>
    <row r="36" spans="1:9">
      <c r="A36">
        <v>35</v>
      </c>
      <c r="B36" t="s">
        <v>84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17">
        <f t="shared" si="3"/>
        <v>5184.0296637899983</v>
      </c>
    </row>
    <row r="37" spans="1:9">
      <c r="A37">
        <v>36</v>
      </c>
      <c r="B37" t="s">
        <v>84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17">
        <f t="shared" si="3"/>
        <v>5191.7564910199981</v>
      </c>
    </row>
    <row r="38" spans="1:9">
      <c r="A38">
        <v>37</v>
      </c>
      <c r="B38" t="s">
        <v>84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17">
        <f t="shared" si="3"/>
        <v>5706.8783070199979</v>
      </c>
    </row>
    <row r="39" spans="1:9">
      <c r="A39">
        <v>38</v>
      </c>
      <c r="B39" t="s">
        <v>84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17">
        <f t="shared" si="3"/>
        <v>5712.9567444399981</v>
      </c>
    </row>
    <row r="40" spans="1:9">
      <c r="A40">
        <v>39</v>
      </c>
      <c r="B40" t="s">
        <v>84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17">
        <f t="shared" si="3"/>
        <v>5721.1986934899978</v>
      </c>
    </row>
    <row r="41" spans="1:9">
      <c r="A41">
        <v>40</v>
      </c>
      <c r="B41" t="s">
        <v>84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17">
        <f t="shared" si="3"/>
        <v>5724.0318634799978</v>
      </c>
    </row>
    <row r="42" spans="1:9">
      <c r="A42">
        <v>41</v>
      </c>
      <c r="B42" t="s">
        <v>84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17">
        <f t="shared" si="3"/>
        <v>5724.5984974799976</v>
      </c>
    </row>
    <row r="43" spans="1:9">
      <c r="A43">
        <v>42</v>
      </c>
      <c r="B43" t="s">
        <v>84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17">
        <f t="shared" si="3"/>
        <v>5726.2468872899972</v>
      </c>
    </row>
    <row r="44" spans="1:9">
      <c r="A44">
        <v>43</v>
      </c>
      <c r="B44" t="s">
        <v>84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17">
        <f t="shared" si="3"/>
        <v>5727.7922527399969</v>
      </c>
    </row>
    <row r="45" spans="1:9">
      <c r="A45">
        <v>44</v>
      </c>
      <c r="B45" t="s">
        <v>84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17">
        <f t="shared" si="3"/>
        <v>5728.6164476399972</v>
      </c>
    </row>
    <row r="46" spans="1:9">
      <c r="A46">
        <v>45</v>
      </c>
      <c r="B46" t="s">
        <v>84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17">
        <f t="shared" si="3"/>
        <v>5729.4921547299973</v>
      </c>
    </row>
    <row r="47" spans="1:9">
      <c r="A47">
        <v>46</v>
      </c>
      <c r="B47" t="s">
        <v>84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17">
        <f t="shared" si="3"/>
        <v>5748.0365401299969</v>
      </c>
    </row>
    <row r="48" spans="1:9">
      <c r="A48">
        <v>47</v>
      </c>
      <c r="B48" t="s">
        <v>84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17">
        <f t="shared" si="3"/>
        <v>5749.7364421199973</v>
      </c>
    </row>
    <row r="49" spans="1:9">
      <c r="A49">
        <v>48</v>
      </c>
      <c r="B49" t="s">
        <v>84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17">
        <f t="shared" si="3"/>
        <v>5750.7151735699972</v>
      </c>
    </row>
    <row r="50" spans="1:9">
      <c r="A50">
        <v>49</v>
      </c>
      <c r="B50" t="s">
        <v>84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17">
        <f t="shared" si="3"/>
        <v>5756.6905866299976</v>
      </c>
    </row>
    <row r="51" spans="1:9">
      <c r="A51">
        <v>50</v>
      </c>
      <c r="B51" t="s">
        <v>84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17">
        <f t="shared" si="3"/>
        <v>5787.0827737299978</v>
      </c>
    </row>
    <row r="52" spans="1:9">
      <c r="A52">
        <v>51</v>
      </c>
      <c r="B52" t="s">
        <v>84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17">
        <f t="shared" si="3"/>
        <v>5792.4915527899975</v>
      </c>
    </row>
    <row r="53" spans="1:9">
      <c r="A53">
        <v>52</v>
      </c>
      <c r="B53" t="s">
        <v>84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17">
        <f t="shared" si="3"/>
        <v>5794.9641374999974</v>
      </c>
    </row>
    <row r="54" spans="1:9">
      <c r="A54">
        <v>53</v>
      </c>
      <c r="B54" t="s">
        <v>84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17">
        <f t="shared" si="3"/>
        <v>5801.1455992899973</v>
      </c>
    </row>
    <row r="55" spans="1:9">
      <c r="A55">
        <v>54</v>
      </c>
      <c r="B55" t="s">
        <v>84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17">
        <f t="shared" si="3"/>
        <v>5803.3091109199977</v>
      </c>
    </row>
    <row r="56" spans="1:9">
      <c r="A56">
        <v>55</v>
      </c>
      <c r="B56" t="s">
        <v>84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17">
        <f t="shared" si="3"/>
        <v>5803.9272570999974</v>
      </c>
    </row>
    <row r="57" spans="1:9">
      <c r="A57">
        <v>56</v>
      </c>
      <c r="B57" t="s">
        <v>84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17">
        <f t="shared" si="3"/>
        <v>5804.8544763699974</v>
      </c>
    </row>
    <row r="58" spans="1:9">
      <c r="A58">
        <v>57</v>
      </c>
      <c r="B58" t="s">
        <v>84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17">
        <f t="shared" si="3"/>
        <v>5807.430085449997</v>
      </c>
    </row>
    <row r="59" spans="1:9">
      <c r="A59">
        <v>58</v>
      </c>
      <c r="B59" t="s">
        <v>84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17">
        <f t="shared" si="3"/>
        <v>5807.9452072699969</v>
      </c>
    </row>
    <row r="60" spans="1:9">
      <c r="A60">
        <v>59</v>
      </c>
      <c r="B60" t="s">
        <v>84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17">
        <f t="shared" si="3"/>
        <v>5819.2778871699966</v>
      </c>
    </row>
    <row r="61" spans="1:9">
      <c r="A61">
        <v>60</v>
      </c>
      <c r="B61" t="s">
        <v>84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17">
        <f t="shared" si="3"/>
        <v>5822.3686180599962</v>
      </c>
    </row>
    <row r="62" spans="1:9">
      <c r="A62">
        <v>61</v>
      </c>
      <c r="B62" t="s">
        <v>84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17">
        <f t="shared" si="3"/>
        <v>5824.4291053199959</v>
      </c>
    </row>
    <row r="63" spans="1:9">
      <c r="A63">
        <v>62</v>
      </c>
      <c r="B63" t="s">
        <v>84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17">
        <f t="shared" si="3"/>
        <v>5825.7169098599961</v>
      </c>
    </row>
    <row r="64" spans="1:9">
      <c r="A64">
        <v>63</v>
      </c>
      <c r="B64" t="s">
        <v>84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17">
        <f t="shared" si="3"/>
        <v>5827.2622753099959</v>
      </c>
    </row>
    <row r="65" spans="1:9">
      <c r="A65">
        <v>64</v>
      </c>
      <c r="B65" t="s">
        <v>84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17">
        <f t="shared" si="3"/>
        <v>5828.2925189399957</v>
      </c>
    </row>
    <row r="66" spans="1:9">
      <c r="A66">
        <v>65</v>
      </c>
      <c r="B66" t="s">
        <v>84</v>
      </c>
      <c r="C66" s="56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17">
        <f t="shared" si="3"/>
        <v>5830.3530061999954</v>
      </c>
    </row>
    <row r="67" spans="1:9">
      <c r="A67">
        <v>66</v>
      </c>
      <c r="B67" t="s">
        <v>84</v>
      </c>
      <c r="C67" s="56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7">
        <f t="shared" ref="I67:I130" si="7">C67+I66</f>
        <v>5832.928615279995</v>
      </c>
    </row>
    <row r="68" spans="1:9">
      <c r="A68">
        <v>67</v>
      </c>
      <c r="B68" t="s">
        <v>84</v>
      </c>
      <c r="C68" s="56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17">
        <f t="shared" si="7"/>
        <v>5845.2915388799947</v>
      </c>
    </row>
    <row r="69" spans="1:9">
      <c r="A69">
        <v>68</v>
      </c>
      <c r="B69" t="s">
        <v>84</v>
      </c>
      <c r="C69" s="56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17">
        <f t="shared" si="7"/>
        <v>5847.8671479599943</v>
      </c>
    </row>
    <row r="70" spans="1:9">
      <c r="A70">
        <v>69</v>
      </c>
      <c r="B70" t="s">
        <v>84</v>
      </c>
      <c r="C70" s="56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17">
        <f t="shared" si="7"/>
        <v>5849.6185621299946</v>
      </c>
    </row>
    <row r="71" spans="1:9">
      <c r="A71">
        <v>70</v>
      </c>
      <c r="B71" t="s">
        <v>84</v>
      </c>
      <c r="C71" s="56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17">
        <f t="shared" si="7"/>
        <v>5852.1941712099942</v>
      </c>
    </row>
    <row r="72" spans="1:9">
      <c r="A72">
        <v>71</v>
      </c>
      <c r="B72" t="s">
        <v>84</v>
      </c>
      <c r="C72" s="56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17">
        <f t="shared" si="7"/>
        <v>5853.8940731999946</v>
      </c>
    </row>
    <row r="73" spans="1:9">
      <c r="A73">
        <v>72</v>
      </c>
      <c r="B73" t="s">
        <v>84</v>
      </c>
      <c r="C73" s="56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17">
        <f t="shared" si="7"/>
        <v>5854.9243168299945</v>
      </c>
    </row>
    <row r="74" spans="1:9">
      <c r="A74">
        <v>73</v>
      </c>
      <c r="B74" t="s">
        <v>84</v>
      </c>
      <c r="C74" s="56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17">
        <f t="shared" si="7"/>
        <v>5855.6969995499949</v>
      </c>
    </row>
    <row r="75" spans="1:9">
      <c r="A75">
        <v>74</v>
      </c>
      <c r="B75" t="s">
        <v>84</v>
      </c>
      <c r="C75" s="56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17">
        <f t="shared" si="7"/>
        <v>5856.4181700899944</v>
      </c>
    </row>
    <row r="76" spans="1:9">
      <c r="A76">
        <v>75</v>
      </c>
      <c r="B76" t="s">
        <v>84</v>
      </c>
      <c r="C76" s="56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17">
        <f t="shared" si="7"/>
        <v>5857.4484137199943</v>
      </c>
    </row>
    <row r="77" spans="1:9">
      <c r="A77">
        <v>76</v>
      </c>
      <c r="B77" t="s">
        <v>84</v>
      </c>
      <c r="C77" s="56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17">
        <f t="shared" si="7"/>
        <v>5866.7206063999947</v>
      </c>
    </row>
    <row r="78" spans="1:9">
      <c r="A78">
        <v>77</v>
      </c>
      <c r="B78" t="s">
        <v>84</v>
      </c>
      <c r="C78" s="56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17">
        <f t="shared" si="7"/>
        <v>5871.8718245599948</v>
      </c>
    </row>
    <row r="79" spans="1:9">
      <c r="A79">
        <v>78</v>
      </c>
      <c r="B79" t="s">
        <v>84</v>
      </c>
      <c r="C79" s="56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17">
        <f t="shared" si="7"/>
        <v>5874.9625554499944</v>
      </c>
    </row>
    <row r="80" spans="1:9">
      <c r="A80">
        <v>79</v>
      </c>
      <c r="B80" t="s">
        <v>84</v>
      </c>
      <c r="C80" s="56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17">
        <f t="shared" si="7"/>
        <v>5875.6837259899939</v>
      </c>
    </row>
    <row r="81" spans="1:9">
      <c r="A81">
        <v>80</v>
      </c>
      <c r="B81" t="s">
        <v>84</v>
      </c>
      <c r="C81" s="56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17">
        <f t="shared" si="7"/>
        <v>5877.4351401599943</v>
      </c>
    </row>
    <row r="82" spans="1:9">
      <c r="A82">
        <v>81</v>
      </c>
      <c r="B82" t="s">
        <v>84</v>
      </c>
      <c r="C82" s="56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17">
        <f t="shared" si="7"/>
        <v>5881.5561146799946</v>
      </c>
    </row>
    <row r="83" spans="1:9">
      <c r="A83">
        <v>82</v>
      </c>
      <c r="B83" t="s">
        <v>84</v>
      </c>
      <c r="C83" s="56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17">
        <f t="shared" si="7"/>
        <v>5884.3377724799948</v>
      </c>
    </row>
    <row r="84" spans="1:9">
      <c r="A84">
        <v>83</v>
      </c>
      <c r="B84" t="s">
        <v>84</v>
      </c>
      <c r="C84" s="56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17">
        <f t="shared" si="7"/>
        <v>5884.8528942999947</v>
      </c>
    </row>
    <row r="85" spans="1:9">
      <c r="A85">
        <v>84</v>
      </c>
      <c r="B85" t="s">
        <v>84</v>
      </c>
      <c r="C85" s="56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17">
        <f t="shared" si="7"/>
        <v>5886.3982597499944</v>
      </c>
    </row>
    <row r="86" spans="1:9">
      <c r="A86">
        <v>85</v>
      </c>
      <c r="B86" t="s">
        <v>84</v>
      </c>
      <c r="C86" s="56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17">
        <f t="shared" si="7"/>
        <v>5892.5282093499945</v>
      </c>
    </row>
    <row r="87" spans="1:9">
      <c r="A87">
        <v>86</v>
      </c>
      <c r="B87" t="s">
        <v>84</v>
      </c>
      <c r="C87" s="56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17">
        <f t="shared" si="7"/>
        <v>5895.6189402399941</v>
      </c>
    </row>
    <row r="88" spans="1:9">
      <c r="A88">
        <v>87</v>
      </c>
      <c r="B88" t="s">
        <v>84</v>
      </c>
      <c r="C88" s="56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17">
        <f t="shared" si="7"/>
        <v>5903.3457674699939</v>
      </c>
    </row>
    <row r="89" spans="1:9">
      <c r="A89">
        <v>88</v>
      </c>
      <c r="B89" t="s">
        <v>84</v>
      </c>
      <c r="C89" s="56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17">
        <f t="shared" si="7"/>
        <v>5903.8608892899938</v>
      </c>
    </row>
    <row r="90" spans="1:9">
      <c r="A90">
        <v>89</v>
      </c>
      <c r="B90" t="s">
        <v>84</v>
      </c>
      <c r="C90" s="56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17">
        <f t="shared" si="7"/>
        <v>5926.5262491899939</v>
      </c>
    </row>
    <row r="91" spans="1:9">
      <c r="A91">
        <v>90</v>
      </c>
      <c r="B91" t="s">
        <v>84</v>
      </c>
      <c r="C91" s="56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17">
        <f t="shared" si="7"/>
        <v>5928.0716146399936</v>
      </c>
    </row>
    <row r="92" spans="1:9">
      <c r="A92">
        <v>91</v>
      </c>
      <c r="B92" t="s">
        <v>84</v>
      </c>
      <c r="C92" s="56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17">
        <f t="shared" si="7"/>
        <v>5931.1623455299932</v>
      </c>
    </row>
    <row r="93" spans="1:9">
      <c r="A93">
        <v>92</v>
      </c>
      <c r="B93" t="s">
        <v>84</v>
      </c>
      <c r="C93" s="56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17">
        <f t="shared" si="7"/>
        <v>5935.7984418699934</v>
      </c>
    </row>
    <row r="94" spans="1:9">
      <c r="A94">
        <v>93</v>
      </c>
      <c r="B94" t="s">
        <v>84</v>
      </c>
      <c r="C94" s="56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17">
        <f t="shared" si="7"/>
        <v>5937.8589291299932</v>
      </c>
    </row>
    <row r="95" spans="1:9">
      <c r="A95">
        <v>94</v>
      </c>
      <c r="B95" t="s">
        <v>84</v>
      </c>
      <c r="C95" s="56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17">
        <f t="shared" si="7"/>
        <v>5940.9496600199927</v>
      </c>
    </row>
    <row r="96" spans="1:9">
      <c r="A96">
        <v>95</v>
      </c>
      <c r="B96" t="s">
        <v>84</v>
      </c>
      <c r="C96" s="56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17">
        <f t="shared" si="7"/>
        <v>5947.3371705299924</v>
      </c>
    </row>
    <row r="97" spans="1:9">
      <c r="A97">
        <v>96</v>
      </c>
      <c r="B97" t="s">
        <v>84</v>
      </c>
      <c r="C97" s="56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17">
        <f t="shared" si="7"/>
        <v>5947.8522923499922</v>
      </c>
    </row>
    <row r="98" spans="1:9">
      <c r="A98">
        <v>97</v>
      </c>
      <c r="B98" t="s">
        <v>84</v>
      </c>
      <c r="C98" s="56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17">
        <f t="shared" si="7"/>
        <v>5949.8097552499921</v>
      </c>
    </row>
    <row r="99" spans="1:9">
      <c r="A99">
        <v>98</v>
      </c>
      <c r="B99" t="s">
        <v>84</v>
      </c>
      <c r="C99" s="56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17">
        <f t="shared" si="7"/>
        <v>5952.4883886899925</v>
      </c>
    </row>
    <row r="100" spans="1:9">
      <c r="A100">
        <v>99</v>
      </c>
      <c r="B100" t="s">
        <v>84</v>
      </c>
      <c r="C100" s="56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17">
        <f t="shared" si="7"/>
        <v>6076.1176246899922</v>
      </c>
    </row>
    <row r="101" spans="1:9">
      <c r="A101">
        <v>100</v>
      </c>
      <c r="B101" t="s">
        <v>84</v>
      </c>
      <c r="C101" s="56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17">
        <f t="shared" si="7"/>
        <v>6080.2385992099926</v>
      </c>
    </row>
    <row r="102" spans="1:9">
      <c r="A102">
        <v>101</v>
      </c>
      <c r="B102" t="s">
        <v>84</v>
      </c>
      <c r="C102" s="56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17">
        <f t="shared" si="7"/>
        <v>6086.9351828099925</v>
      </c>
    </row>
    <row r="103" spans="1:9">
      <c r="A103">
        <v>102</v>
      </c>
      <c r="B103" t="s">
        <v>84</v>
      </c>
      <c r="C103" s="56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17">
        <f t="shared" si="7"/>
        <v>6088.6350847999929</v>
      </c>
    </row>
    <row r="104" spans="1:9">
      <c r="A104">
        <v>103</v>
      </c>
      <c r="B104" t="s">
        <v>84</v>
      </c>
      <c r="C104" s="56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17">
        <f t="shared" si="7"/>
        <v>6089.1502066199928</v>
      </c>
    </row>
    <row r="105" spans="1:9">
      <c r="A105">
        <v>104</v>
      </c>
      <c r="B105" t="s">
        <v>84</v>
      </c>
      <c r="C105" s="56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17">
        <f t="shared" si="7"/>
        <v>6092.6015227799926</v>
      </c>
    </row>
    <row r="106" spans="1:9">
      <c r="A106">
        <v>105</v>
      </c>
      <c r="B106" t="s">
        <v>84</v>
      </c>
      <c r="C106" s="56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17">
        <f t="shared" si="7"/>
        <v>6095.4346927699926</v>
      </c>
    </row>
    <row r="107" spans="1:9">
      <c r="A107">
        <v>106</v>
      </c>
      <c r="B107" t="s">
        <v>84</v>
      </c>
      <c r="C107" s="56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17">
        <f t="shared" si="7"/>
        <v>6096.9800582199923</v>
      </c>
    </row>
    <row r="108" spans="1:9">
      <c r="A108">
        <v>107</v>
      </c>
      <c r="B108" t="s">
        <v>84</v>
      </c>
      <c r="C108" s="56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17">
        <f t="shared" si="7"/>
        <v>6097.4951800399922</v>
      </c>
    </row>
    <row r="109" spans="1:9">
      <c r="A109">
        <v>108</v>
      </c>
      <c r="B109" t="s">
        <v>84</v>
      </c>
      <c r="C109" s="56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17">
        <f t="shared" si="7"/>
        <v>6098.6284480299919</v>
      </c>
    </row>
    <row r="110" spans="1:9">
      <c r="A110">
        <v>109</v>
      </c>
      <c r="B110" t="s">
        <v>84</v>
      </c>
      <c r="C110" s="56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17">
        <f t="shared" si="7"/>
        <v>6101.7191789199915</v>
      </c>
    </row>
    <row r="111" spans="1:9">
      <c r="A111">
        <v>110</v>
      </c>
      <c r="B111" t="s">
        <v>84</v>
      </c>
      <c r="C111" s="56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17">
        <f t="shared" si="7"/>
        <v>6106.8703970799916</v>
      </c>
    </row>
    <row r="112" spans="1:9">
      <c r="A112">
        <v>111</v>
      </c>
      <c r="B112" t="s">
        <v>84</v>
      </c>
      <c r="C112" s="56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17">
        <f t="shared" si="7"/>
        <v>6108.9308843399913</v>
      </c>
    </row>
    <row r="113" spans="1:9">
      <c r="A113">
        <v>112</v>
      </c>
      <c r="B113" t="s">
        <v>84</v>
      </c>
      <c r="C113" s="56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17">
        <f t="shared" si="7"/>
        <v>6115.4214192199915</v>
      </c>
    </row>
    <row r="114" spans="1:9">
      <c r="A114">
        <v>113</v>
      </c>
      <c r="B114" t="s">
        <v>84</v>
      </c>
      <c r="C114" s="56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17">
        <f t="shared" si="7"/>
        <v>6119.5423937399919</v>
      </c>
    </row>
    <row r="115" spans="1:9">
      <c r="A115">
        <v>114</v>
      </c>
      <c r="B115" t="s">
        <v>84</v>
      </c>
      <c r="C115" s="56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17">
        <f t="shared" si="7"/>
        <v>6121.0877591899916</v>
      </c>
    </row>
    <row r="116" spans="1:9">
      <c r="A116">
        <v>115</v>
      </c>
      <c r="B116" t="s">
        <v>84</v>
      </c>
      <c r="C116" s="56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17">
        <f t="shared" si="7"/>
        <v>6133.9658045899914</v>
      </c>
    </row>
    <row r="117" spans="1:9">
      <c r="A117">
        <v>116</v>
      </c>
      <c r="B117" t="s">
        <v>84</v>
      </c>
      <c r="C117" s="56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17">
        <f t="shared" si="7"/>
        <v>6139.8381932899911</v>
      </c>
    </row>
    <row r="118" spans="1:9">
      <c r="A118">
        <v>117</v>
      </c>
      <c r="B118" t="s">
        <v>84</v>
      </c>
      <c r="C118" s="56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17">
        <f t="shared" si="7"/>
        <v>6140.7139003799912</v>
      </c>
    </row>
    <row r="119" spans="1:9">
      <c r="A119">
        <v>118</v>
      </c>
      <c r="B119" t="s">
        <v>84</v>
      </c>
      <c r="C119" s="56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17">
        <f t="shared" si="7"/>
        <v>6143.2895094599908</v>
      </c>
    </row>
    <row r="120" spans="1:9">
      <c r="A120">
        <v>119</v>
      </c>
      <c r="B120" t="s">
        <v>84</v>
      </c>
      <c r="C120" s="56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17">
        <f t="shared" si="7"/>
        <v>6143.9076556399905</v>
      </c>
    </row>
    <row r="121" spans="1:9">
      <c r="A121">
        <v>120</v>
      </c>
      <c r="B121" t="s">
        <v>84</v>
      </c>
      <c r="C121" s="56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17">
        <f t="shared" si="7"/>
        <v>6144.9378992699903</v>
      </c>
    </row>
    <row r="122" spans="1:9">
      <c r="A122">
        <v>121</v>
      </c>
      <c r="B122" t="s">
        <v>84</v>
      </c>
      <c r="C122" s="56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17">
        <f t="shared" si="7"/>
        <v>6146.7408256199906</v>
      </c>
    </row>
    <row r="123" spans="1:9">
      <c r="A123">
        <v>122</v>
      </c>
      <c r="B123" t="s">
        <v>84</v>
      </c>
      <c r="C123" s="56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17">
        <f t="shared" si="7"/>
        <v>6147.6680448899906</v>
      </c>
    </row>
    <row r="124" spans="1:9">
      <c r="A124">
        <v>123</v>
      </c>
      <c r="B124" t="s">
        <v>84</v>
      </c>
      <c r="C124" s="56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17">
        <f t="shared" si="7"/>
        <v>6150.7587757799902</v>
      </c>
    </row>
    <row r="125" spans="1:9">
      <c r="A125">
        <v>124</v>
      </c>
      <c r="B125" t="s">
        <v>84</v>
      </c>
      <c r="C125" s="56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17">
        <f t="shared" si="7"/>
        <v>6152.3041412299899</v>
      </c>
    </row>
    <row r="126" spans="1:9">
      <c r="A126">
        <v>125</v>
      </c>
      <c r="B126" t="s">
        <v>84</v>
      </c>
      <c r="C126" s="56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17">
        <f t="shared" si="7"/>
        <v>6154.15857976999</v>
      </c>
    </row>
    <row r="127" spans="1:9">
      <c r="A127">
        <v>126</v>
      </c>
      <c r="B127" t="s">
        <v>84</v>
      </c>
      <c r="C127" s="56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17">
        <f t="shared" si="7"/>
        <v>6155.8069695799895</v>
      </c>
    </row>
    <row r="128" spans="1:9">
      <c r="A128">
        <v>127</v>
      </c>
      <c r="B128" t="s">
        <v>84</v>
      </c>
      <c r="C128" s="56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17">
        <f t="shared" si="7"/>
        <v>6157.1977984799896</v>
      </c>
    </row>
    <row r="129" spans="1:9">
      <c r="A129">
        <v>128</v>
      </c>
      <c r="B129" t="s">
        <v>84</v>
      </c>
      <c r="C129" s="56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17">
        <f t="shared" si="7"/>
        <v>6157.7129202999895</v>
      </c>
    </row>
    <row r="130" spans="1:9">
      <c r="A130">
        <v>129</v>
      </c>
      <c r="B130" t="s">
        <v>84</v>
      </c>
      <c r="C130" s="56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17">
        <f t="shared" si="7"/>
        <v>6167.5002347899899</v>
      </c>
    </row>
    <row r="131" spans="1:9">
      <c r="A131">
        <v>130</v>
      </c>
      <c r="B131" t="s">
        <v>84</v>
      </c>
      <c r="C131" s="56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17">
        <f t="shared" ref="I131:I194" si="11">C131+I130</f>
        <v>6171.72423367999</v>
      </c>
    </row>
    <row r="132" spans="1:9">
      <c r="A132">
        <v>131</v>
      </c>
      <c r="B132" t="s">
        <v>84</v>
      </c>
      <c r="C132" s="56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17">
        <f t="shared" si="11"/>
        <v>6184.6022790799898</v>
      </c>
    </row>
    <row r="133" spans="1:9">
      <c r="A133">
        <v>132</v>
      </c>
      <c r="B133" t="s">
        <v>84</v>
      </c>
      <c r="C133" s="56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17">
        <f t="shared" si="11"/>
        <v>6185.6325227099896</v>
      </c>
    </row>
    <row r="134" spans="1:9">
      <c r="A134">
        <v>133</v>
      </c>
      <c r="B134" t="s">
        <v>84</v>
      </c>
      <c r="C134" s="56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17">
        <f t="shared" si="11"/>
        <v>6191.1958383199899</v>
      </c>
    </row>
    <row r="135" spans="1:9">
      <c r="A135">
        <v>134</v>
      </c>
      <c r="B135" t="s">
        <v>84</v>
      </c>
      <c r="C135" s="56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17">
        <f t="shared" si="11"/>
        <v>7442.4782383199899</v>
      </c>
    </row>
    <row r="136" spans="1:9">
      <c r="A136">
        <v>135</v>
      </c>
      <c r="B136" t="s">
        <v>84</v>
      </c>
      <c r="C136" s="56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17">
        <f t="shared" si="11"/>
        <v>7912.2693343199899</v>
      </c>
    </row>
    <row r="137" spans="1:9">
      <c r="A137">
        <v>136</v>
      </c>
      <c r="B137" t="s">
        <v>84</v>
      </c>
      <c r="C137" s="56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17">
        <f t="shared" si="11"/>
        <v>7916.6478697499897</v>
      </c>
    </row>
    <row r="138" spans="1:9">
      <c r="A138">
        <v>137</v>
      </c>
      <c r="B138" t="s">
        <v>84</v>
      </c>
      <c r="C138" s="56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17">
        <f t="shared" si="11"/>
        <v>7924.8898187999894</v>
      </c>
    </row>
    <row r="139" spans="1:9">
      <c r="A139">
        <v>138</v>
      </c>
      <c r="B139" t="s">
        <v>84</v>
      </c>
      <c r="C139" s="56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17">
        <f t="shared" si="11"/>
        <v>7946.5249350999893</v>
      </c>
    </row>
    <row r="140" spans="1:9">
      <c r="A140">
        <v>139</v>
      </c>
      <c r="B140" t="s">
        <v>84</v>
      </c>
      <c r="C140" s="56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17">
        <f t="shared" si="11"/>
        <v>7947.5551787299892</v>
      </c>
    </row>
    <row r="141" spans="1:9">
      <c r="A141">
        <v>140</v>
      </c>
      <c r="B141" t="s">
        <v>84</v>
      </c>
      <c r="C141" s="56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17">
        <f t="shared" si="11"/>
        <v>7948.585422359989</v>
      </c>
    </row>
    <row r="142" spans="1:9">
      <c r="A142">
        <v>141</v>
      </c>
      <c r="B142" t="s">
        <v>84</v>
      </c>
      <c r="C142" s="56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17">
        <f t="shared" si="11"/>
        <v>7967.2843442599888</v>
      </c>
    </row>
    <row r="143" spans="1:9">
      <c r="A143">
        <v>142</v>
      </c>
      <c r="B143" t="s">
        <v>84</v>
      </c>
      <c r="C143" s="56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17">
        <f t="shared" si="11"/>
        <v>7968.8297097099885</v>
      </c>
    </row>
    <row r="144" spans="1:9">
      <c r="A144">
        <v>143</v>
      </c>
      <c r="B144" t="s">
        <v>84</v>
      </c>
      <c r="C144" s="56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17">
        <f t="shared" si="11"/>
        <v>7977.0716587599882</v>
      </c>
    </row>
    <row r="145" spans="1:9">
      <c r="A145">
        <v>144</v>
      </c>
      <c r="B145" t="s">
        <v>84</v>
      </c>
      <c r="C145" s="56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17">
        <f t="shared" si="11"/>
        <v>7987.8892168599878</v>
      </c>
    </row>
    <row r="146" spans="1:9">
      <c r="A146">
        <v>145</v>
      </c>
      <c r="B146" t="s">
        <v>84</v>
      </c>
      <c r="C146" s="56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17">
        <f t="shared" si="11"/>
        <v>7989.9497041199875</v>
      </c>
    </row>
    <row r="147" spans="1:9">
      <c r="A147">
        <v>146</v>
      </c>
      <c r="B147" t="s">
        <v>84</v>
      </c>
      <c r="C147" s="56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17">
        <f t="shared" si="11"/>
        <v>7997.0583851699876</v>
      </c>
    </row>
    <row r="148" spans="1:9">
      <c r="A148">
        <v>147</v>
      </c>
      <c r="B148" t="s">
        <v>84</v>
      </c>
      <c r="C148" s="56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17">
        <f t="shared" si="11"/>
        <v>8025.9052068699875</v>
      </c>
    </row>
    <row r="149" spans="1:9">
      <c r="A149">
        <v>148</v>
      </c>
      <c r="B149" t="s">
        <v>84</v>
      </c>
      <c r="C149" s="56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17">
        <f t="shared" si="11"/>
        <v>8039.2983740699874</v>
      </c>
    </row>
    <row r="150" spans="1:9">
      <c r="A150">
        <v>149</v>
      </c>
      <c r="B150" t="s">
        <v>84</v>
      </c>
      <c r="C150" s="56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17">
        <f t="shared" si="11"/>
        <v>8059.1305639699876</v>
      </c>
    </row>
    <row r="151" spans="1:9">
      <c r="A151">
        <v>150</v>
      </c>
      <c r="B151" t="s">
        <v>84</v>
      </c>
      <c r="C151" s="56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17">
        <f t="shared" si="11"/>
        <v>8060.881978139988</v>
      </c>
    </row>
    <row r="152" spans="1:9">
      <c r="A152">
        <v>151</v>
      </c>
      <c r="B152" t="s">
        <v>84</v>
      </c>
      <c r="C152" s="56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17">
        <f t="shared" si="11"/>
        <v>8061.809197409988</v>
      </c>
    </row>
    <row r="153" spans="1:9">
      <c r="A153">
        <v>152</v>
      </c>
      <c r="B153" t="s">
        <v>84</v>
      </c>
      <c r="C153" s="56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17">
        <f t="shared" si="11"/>
        <v>8069.2269515499884</v>
      </c>
    </row>
    <row r="154" spans="1:9">
      <c r="A154">
        <v>153</v>
      </c>
      <c r="B154" t="s">
        <v>84</v>
      </c>
      <c r="C154" s="56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17">
        <f t="shared" si="11"/>
        <v>8072.3176824399879</v>
      </c>
    </row>
    <row r="155" spans="1:9">
      <c r="A155">
        <v>154</v>
      </c>
      <c r="B155" t="s">
        <v>84</v>
      </c>
      <c r="C155" s="56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17">
        <f t="shared" si="11"/>
        <v>8074.3781696999877</v>
      </c>
    </row>
    <row r="156" spans="1:9">
      <c r="A156">
        <v>155</v>
      </c>
      <c r="B156" t="s">
        <v>84</v>
      </c>
      <c r="C156" s="56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17">
        <f t="shared" si="11"/>
        <v>8077.8809980499873</v>
      </c>
    </row>
    <row r="157" spans="1:9">
      <c r="A157">
        <v>156</v>
      </c>
      <c r="B157" t="s">
        <v>84</v>
      </c>
      <c r="C157" s="56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17">
        <f t="shared" si="11"/>
        <v>8078.4476320499871</v>
      </c>
    </row>
    <row r="158" spans="1:9">
      <c r="A158">
        <v>157</v>
      </c>
      <c r="B158" t="s">
        <v>84</v>
      </c>
      <c r="C158" s="56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17">
        <f t="shared" si="11"/>
        <v>8079.2203147699875</v>
      </c>
    </row>
    <row r="159" spans="1:9">
      <c r="A159">
        <v>158</v>
      </c>
      <c r="B159" t="s">
        <v>84</v>
      </c>
      <c r="C159" s="56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17">
        <f t="shared" si="11"/>
        <v>8081.2808020299872</v>
      </c>
    </row>
    <row r="160" spans="1:9">
      <c r="A160">
        <v>159</v>
      </c>
      <c r="B160" t="s">
        <v>84</v>
      </c>
      <c r="C160" s="56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17">
        <f t="shared" si="11"/>
        <v>8081.9504603899868</v>
      </c>
    </row>
    <row r="161" spans="1:9">
      <c r="A161">
        <v>160</v>
      </c>
      <c r="B161" t="s">
        <v>84</v>
      </c>
      <c r="C161" s="56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17">
        <f t="shared" si="11"/>
        <v>8093.2316281899866</v>
      </c>
    </row>
    <row r="162" spans="1:9">
      <c r="A162">
        <v>161</v>
      </c>
      <c r="B162" t="s">
        <v>84</v>
      </c>
      <c r="C162" s="56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17">
        <f t="shared" si="11"/>
        <v>8094.5709449099868</v>
      </c>
    </row>
    <row r="163" spans="1:9">
      <c r="A163">
        <v>162</v>
      </c>
      <c r="B163" t="s">
        <v>84</v>
      </c>
      <c r="C163" s="56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17">
        <f t="shared" si="11"/>
        <v>8096.1163103599865</v>
      </c>
    </row>
    <row r="164" spans="1:9">
      <c r="A164">
        <v>163</v>
      </c>
      <c r="B164" t="s">
        <v>84</v>
      </c>
      <c r="C164" s="56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17">
        <f t="shared" si="11"/>
        <v>8096.8889930799869</v>
      </c>
    </row>
    <row r="165" spans="1:9">
      <c r="A165">
        <v>164</v>
      </c>
      <c r="B165" t="s">
        <v>84</v>
      </c>
      <c r="C165" s="56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17">
        <f t="shared" si="11"/>
        <v>8105.3369908499872</v>
      </c>
    </row>
    <row r="166" spans="1:9">
      <c r="A166">
        <v>165</v>
      </c>
      <c r="B166" t="s">
        <v>84</v>
      </c>
      <c r="C166" s="56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17">
        <f t="shared" si="11"/>
        <v>8106.1096735699875</v>
      </c>
    </row>
    <row r="167" spans="1:9">
      <c r="A167">
        <v>166</v>
      </c>
      <c r="B167" t="s">
        <v>84</v>
      </c>
      <c r="C167" s="56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17">
        <f t="shared" si="11"/>
        <v>8107.3974781099878</v>
      </c>
    </row>
    <row r="168" spans="1:9">
      <c r="A168">
        <v>167</v>
      </c>
      <c r="B168" t="s">
        <v>84</v>
      </c>
      <c r="C168" s="56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17">
        <f t="shared" si="11"/>
        <v>8111.5184526299881</v>
      </c>
    </row>
    <row r="169" spans="1:9">
      <c r="A169">
        <v>168</v>
      </c>
      <c r="B169" t="s">
        <v>84</v>
      </c>
      <c r="C169" s="56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17">
        <f t="shared" si="11"/>
        <v>8112.3941597199882</v>
      </c>
    </row>
    <row r="170" spans="1:9">
      <c r="A170">
        <v>169</v>
      </c>
      <c r="B170" t="s">
        <v>84</v>
      </c>
      <c r="C170" s="56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17">
        <f t="shared" si="11"/>
        <v>8118.3695727799886</v>
      </c>
    </row>
    <row r="171" spans="1:9">
      <c r="A171">
        <v>170</v>
      </c>
      <c r="B171" t="s">
        <v>84</v>
      </c>
      <c r="C171" s="56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17">
        <f t="shared" si="11"/>
        <v>8119.605865139989</v>
      </c>
    </row>
    <row r="172" spans="1:9">
      <c r="A172">
        <v>171</v>
      </c>
      <c r="B172" t="s">
        <v>84</v>
      </c>
      <c r="C172" s="56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17">
        <f t="shared" si="11"/>
        <v>8120.6361087699888</v>
      </c>
    </row>
    <row r="173" spans="1:9">
      <c r="A173">
        <v>172</v>
      </c>
      <c r="B173" t="s">
        <v>84</v>
      </c>
      <c r="C173" s="56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17">
        <f t="shared" si="11"/>
        <v>8122.1299620299887</v>
      </c>
    </row>
    <row r="174" spans="1:9">
      <c r="A174">
        <v>173</v>
      </c>
      <c r="B174" t="s">
        <v>84</v>
      </c>
      <c r="C174" s="56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17">
        <f t="shared" si="11"/>
        <v>8124.1904492899885</v>
      </c>
    </row>
    <row r="175" spans="1:9">
      <c r="A175">
        <v>174</v>
      </c>
      <c r="B175" t="s">
        <v>84</v>
      </c>
      <c r="C175" s="56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17">
        <f t="shared" si="11"/>
        <v>8128.3629359999886</v>
      </c>
    </row>
    <row r="176" spans="1:9">
      <c r="A176">
        <v>175</v>
      </c>
      <c r="B176" t="s">
        <v>84</v>
      </c>
      <c r="C176" s="56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17">
        <f t="shared" si="11"/>
        <v>8132.2263496199885</v>
      </c>
    </row>
    <row r="177" spans="1:10">
      <c r="A177">
        <v>176</v>
      </c>
      <c r="B177" t="s">
        <v>84</v>
      </c>
      <c r="C177" s="56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17">
        <f t="shared" si="11"/>
        <v>8134.4928856099887</v>
      </c>
      <c r="J177">
        <v>0</v>
      </c>
    </row>
    <row r="178" spans="1:10">
      <c r="A178">
        <v>177</v>
      </c>
      <c r="B178" t="s">
        <v>84</v>
      </c>
      <c r="C178" s="56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17">
        <f t="shared" si="11"/>
        <v>8135.5231292399885</v>
      </c>
      <c r="J178">
        <v>17.621926197795261</v>
      </c>
    </row>
    <row r="179" spans="1:10">
      <c r="A179">
        <v>178</v>
      </c>
      <c r="B179" t="s">
        <v>85</v>
      </c>
      <c r="C179" s="56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17">
        <f t="shared" si="11"/>
        <v>8179.3181306399883</v>
      </c>
      <c r="J179">
        <v>20.21902408692641</v>
      </c>
    </row>
    <row r="180" spans="1:10">
      <c r="A180">
        <v>179</v>
      </c>
      <c r="B180" t="s">
        <v>85</v>
      </c>
      <c r="C180" s="56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17">
        <f t="shared" si="11"/>
        <v>8214.2656570399886</v>
      </c>
      <c r="J180">
        <v>31.962000667659993</v>
      </c>
    </row>
    <row r="181" spans="1:10">
      <c r="A181">
        <v>180</v>
      </c>
      <c r="B181" t="s">
        <v>85</v>
      </c>
      <c r="C181" s="56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17">
        <f t="shared" si="11"/>
        <v>8216.2121015499888</v>
      </c>
      <c r="J181">
        <v>32.585754269836094</v>
      </c>
    </row>
    <row r="182" spans="1:10">
      <c r="A182">
        <v>181</v>
      </c>
      <c r="B182" t="s">
        <v>85</v>
      </c>
      <c r="C182" s="56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17">
        <f t="shared" si="11"/>
        <v>8264.8732141499895</v>
      </c>
      <c r="J182">
        <v>34.378813714638468</v>
      </c>
    </row>
    <row r="183" spans="1:10">
      <c r="A183">
        <v>182</v>
      </c>
      <c r="B183" t="s">
        <v>85</v>
      </c>
      <c r="C183" s="56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17">
        <f t="shared" si="11"/>
        <v>8270.44712341999</v>
      </c>
      <c r="J183">
        <v>35.102020336565346</v>
      </c>
    </row>
    <row r="184" spans="1:10">
      <c r="A184">
        <v>183</v>
      </c>
      <c r="B184" t="s">
        <v>85</v>
      </c>
      <c r="C184" s="56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17">
        <f t="shared" si="11"/>
        <v>8273.8091639299892</v>
      </c>
      <c r="J184">
        <v>35.187982736031429</v>
      </c>
    </row>
    <row r="185" spans="1:10">
      <c r="A185">
        <v>184</v>
      </c>
      <c r="B185" t="s">
        <v>85</v>
      </c>
      <c r="C185" s="56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17">
        <f t="shared" si="11"/>
        <v>8278.9406994499896</v>
      </c>
      <c r="J185">
        <v>35.351226297428148</v>
      </c>
    </row>
    <row r="186" spans="1:10">
      <c r="A186">
        <v>185</v>
      </c>
      <c r="B186" t="s">
        <v>85</v>
      </c>
      <c r="C186" s="56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17">
        <f t="shared" si="11"/>
        <v>8284.6030834699905</v>
      </c>
      <c r="J186">
        <v>35.555189574488928</v>
      </c>
    </row>
    <row r="187" spans="1:10">
      <c r="A187">
        <v>186</v>
      </c>
      <c r="B187" t="s">
        <v>85</v>
      </c>
      <c r="C187" s="56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17">
        <f t="shared" si="11"/>
        <v>8307.0756700699912</v>
      </c>
      <c r="J187">
        <v>35.662201307869452</v>
      </c>
    </row>
    <row r="188" spans="1:10">
      <c r="A188">
        <v>187</v>
      </c>
      <c r="B188" t="s">
        <v>85</v>
      </c>
      <c r="C188" s="56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17">
        <f t="shared" si="11"/>
        <v>8311.1455085799917</v>
      </c>
      <c r="J188">
        <v>36.474386012413206</v>
      </c>
    </row>
    <row r="189" spans="1:10">
      <c r="A189">
        <v>188</v>
      </c>
      <c r="B189" t="s">
        <v>85</v>
      </c>
      <c r="C189" s="56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17">
        <f t="shared" si="11"/>
        <v>8315.2153470899921</v>
      </c>
      <c r="J189">
        <v>36.474473075827056</v>
      </c>
    </row>
    <row r="190" spans="1:10">
      <c r="A190">
        <v>189</v>
      </c>
      <c r="B190" t="s">
        <v>85</v>
      </c>
      <c r="C190" s="56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17">
        <f t="shared" si="11"/>
        <v>8600.104043089992</v>
      </c>
      <c r="J190">
        <v>36.621351256059235</v>
      </c>
    </row>
    <row r="191" spans="1:10">
      <c r="A191">
        <v>190</v>
      </c>
      <c r="B191" t="s">
        <v>85</v>
      </c>
      <c r="C191" s="56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17">
        <f t="shared" si="11"/>
        <v>8616.0294980899926</v>
      </c>
      <c r="J191">
        <v>36.922319897375907</v>
      </c>
    </row>
    <row r="192" spans="1:10">
      <c r="A192">
        <v>191</v>
      </c>
      <c r="B192" t="s">
        <v>85</v>
      </c>
      <c r="C192" s="56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17">
        <f t="shared" si="11"/>
        <v>8657.6126306899932</v>
      </c>
      <c r="J192">
        <v>37.64125870648769</v>
      </c>
    </row>
    <row r="193" spans="1:14">
      <c r="A193">
        <v>192</v>
      </c>
      <c r="B193" t="s">
        <v>85</v>
      </c>
      <c r="C193" s="56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17">
        <f t="shared" si="11"/>
        <v>8678.3157222899936</v>
      </c>
      <c r="J193">
        <v>37.66606425888304</v>
      </c>
    </row>
    <row r="194" spans="1:14">
      <c r="A194">
        <v>193</v>
      </c>
      <c r="B194" t="s">
        <v>85</v>
      </c>
      <c r="C194" s="56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17">
        <f t="shared" si="11"/>
        <v>9639.2399852899944</v>
      </c>
      <c r="J194">
        <v>38.949384953117331</v>
      </c>
    </row>
    <row r="195" spans="1:14">
      <c r="A195">
        <v>194</v>
      </c>
      <c r="B195" t="s">
        <v>85</v>
      </c>
      <c r="C195" s="56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17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85</v>
      </c>
      <c r="C196" s="56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17">
        <f t="shared" si="15"/>
        <v>9738.066281349993</v>
      </c>
      <c r="J196">
        <v>43.040851743558157</v>
      </c>
    </row>
    <row r="197" spans="1:14">
      <c r="A197">
        <v>196</v>
      </c>
      <c r="B197" t="s">
        <v>85</v>
      </c>
      <c r="C197" s="56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17">
        <f t="shared" si="15"/>
        <v>9739.6588268499927</v>
      </c>
      <c r="J197">
        <v>43.43740030441495</v>
      </c>
    </row>
    <row r="198" spans="1:14">
      <c r="A198">
        <v>197</v>
      </c>
      <c r="B198" t="s">
        <v>85</v>
      </c>
      <c r="C198" s="56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17">
        <f t="shared" si="15"/>
        <v>10048.347230849993</v>
      </c>
      <c r="J198">
        <v>44.029767758458775</v>
      </c>
    </row>
    <row r="199" spans="1:14">
      <c r="A199">
        <v>198</v>
      </c>
      <c r="B199" t="s">
        <v>85</v>
      </c>
      <c r="C199" s="56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17">
        <f t="shared" si="15"/>
        <v>11192.414230849994</v>
      </c>
      <c r="J199">
        <v>44.700237150688807</v>
      </c>
    </row>
    <row r="200" spans="1:14">
      <c r="A200">
        <v>199</v>
      </c>
      <c r="B200" t="s">
        <v>85</v>
      </c>
      <c r="C200" s="56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17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85</v>
      </c>
      <c r="C201" s="56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17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85</v>
      </c>
      <c r="C202" s="56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17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85</v>
      </c>
      <c r="C203" s="56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17">
        <f t="shared" si="15"/>
        <v>14437.402648849995</v>
      </c>
      <c r="J203">
        <v>46.156149991499582</v>
      </c>
    </row>
    <row r="204" spans="1:14">
      <c r="A204">
        <v>203</v>
      </c>
      <c r="B204" t="s">
        <v>85</v>
      </c>
      <c r="C204" s="56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17">
        <f t="shared" si="15"/>
        <v>14486.329185749995</v>
      </c>
      <c r="J204">
        <v>47.370415265250834</v>
      </c>
    </row>
    <row r="205" spans="1:14">
      <c r="A205">
        <v>204</v>
      </c>
      <c r="B205" t="s">
        <v>85</v>
      </c>
      <c r="C205" s="56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17">
        <f t="shared" si="15"/>
        <v>14953.475866749995</v>
      </c>
      <c r="J205">
        <v>48.617357970391083</v>
      </c>
    </row>
    <row r="206" spans="1:14">
      <c r="A206">
        <v>205</v>
      </c>
      <c r="B206" t="s">
        <v>85</v>
      </c>
      <c r="C206" s="56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17">
        <f t="shared" si="15"/>
        <v>15587.132027749996</v>
      </c>
      <c r="J206">
        <v>49.151785674716109</v>
      </c>
    </row>
    <row r="207" spans="1:14">
      <c r="A207">
        <v>206</v>
      </c>
      <c r="B207" t="s">
        <v>85</v>
      </c>
      <c r="C207" s="56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17">
        <f t="shared" si="15"/>
        <v>15717.189910749996</v>
      </c>
      <c r="J207">
        <v>51.462173307303736</v>
      </c>
    </row>
    <row r="208" spans="1:14">
      <c r="A208">
        <v>207</v>
      </c>
      <c r="B208" t="s">
        <v>85</v>
      </c>
      <c r="C208" s="56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17">
        <f t="shared" si="15"/>
        <v>15862.288500749995</v>
      </c>
      <c r="J208">
        <v>53.185970441251278</v>
      </c>
    </row>
    <row r="209" spans="1:10">
      <c r="A209">
        <v>208</v>
      </c>
      <c r="B209" t="s">
        <v>85</v>
      </c>
      <c r="C209" s="56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17">
        <f t="shared" si="15"/>
        <v>15906.525875849995</v>
      </c>
      <c r="J209">
        <v>53.275367944913064</v>
      </c>
    </row>
    <row r="210" spans="1:10">
      <c r="A210">
        <v>209</v>
      </c>
      <c r="B210" t="s">
        <v>85</v>
      </c>
      <c r="C210" s="56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17">
        <f t="shared" si="15"/>
        <v>15964.299887749994</v>
      </c>
      <c r="J210">
        <v>53.680410534518913</v>
      </c>
    </row>
    <row r="211" spans="1:10">
      <c r="A211">
        <v>210</v>
      </c>
      <c r="B211" t="s">
        <v>85</v>
      </c>
      <c r="C211" s="56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17">
        <f t="shared" si="15"/>
        <v>16072.769931749994</v>
      </c>
      <c r="J211">
        <v>54.789297901928308</v>
      </c>
    </row>
    <row r="212" spans="1:10">
      <c r="A212">
        <v>211</v>
      </c>
      <c r="B212" t="s">
        <v>85</v>
      </c>
      <c r="C212" s="56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17">
        <f t="shared" si="15"/>
        <v>16163.633500249995</v>
      </c>
      <c r="J212">
        <v>54.879785152835495</v>
      </c>
    </row>
    <row r="213" spans="1:10">
      <c r="A213">
        <v>212</v>
      </c>
      <c r="B213" t="s">
        <v>85</v>
      </c>
      <c r="C213" s="56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17">
        <f t="shared" si="15"/>
        <v>16236.182795449995</v>
      </c>
      <c r="J213">
        <v>54.948884016436033</v>
      </c>
    </row>
    <row r="214" spans="1:10">
      <c r="A214">
        <v>213</v>
      </c>
      <c r="B214" t="s">
        <v>85</v>
      </c>
      <c r="C214" s="56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17">
        <f t="shared" si="15"/>
        <v>16431.977417449994</v>
      </c>
      <c r="J214">
        <v>55.691685867082512</v>
      </c>
    </row>
    <row r="215" spans="1:10">
      <c r="A215">
        <v>214</v>
      </c>
      <c r="B215" t="s">
        <v>85</v>
      </c>
      <c r="C215" s="56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17">
        <f t="shared" si="15"/>
        <v>16583.446189449995</v>
      </c>
      <c r="J215">
        <v>56.447019443584168</v>
      </c>
    </row>
    <row r="216" spans="1:10">
      <c r="A216">
        <v>215</v>
      </c>
      <c r="B216" t="s">
        <v>85</v>
      </c>
      <c r="C216" s="56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17">
        <f t="shared" si="15"/>
        <v>16647.148009649994</v>
      </c>
      <c r="J216">
        <v>56.812502319605592</v>
      </c>
    </row>
    <row r="217" spans="1:10">
      <c r="A217">
        <v>216</v>
      </c>
      <c r="B217" t="s">
        <v>85</v>
      </c>
      <c r="C217" s="56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17">
        <f t="shared" si="15"/>
        <v>16648.740555149994</v>
      </c>
      <c r="J217">
        <v>57.06066540595512</v>
      </c>
    </row>
    <row r="218" spans="1:10">
      <c r="A218">
        <v>217</v>
      </c>
      <c r="B218" t="s">
        <v>85</v>
      </c>
      <c r="C218" s="56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17">
        <f t="shared" si="15"/>
        <v>16726.775284849995</v>
      </c>
      <c r="J218">
        <v>57.150543365728083</v>
      </c>
    </row>
    <row r="219" spans="1:10">
      <c r="A219">
        <v>218</v>
      </c>
      <c r="B219" t="s">
        <v>85</v>
      </c>
      <c r="C219" s="56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17">
        <f t="shared" si="15"/>
        <v>16806.933408549994</v>
      </c>
      <c r="J219">
        <v>57.400401804779818</v>
      </c>
    </row>
    <row r="220" spans="1:10">
      <c r="A220">
        <v>219</v>
      </c>
      <c r="B220" t="s">
        <v>85</v>
      </c>
      <c r="C220" s="56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17">
        <f t="shared" si="15"/>
        <v>16862.584026449993</v>
      </c>
      <c r="J220">
        <v>57.799797196792277</v>
      </c>
    </row>
    <row r="221" spans="1:10">
      <c r="A221">
        <v>220</v>
      </c>
      <c r="B221" t="s">
        <v>85</v>
      </c>
      <c r="C221" s="56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17">
        <f t="shared" si="15"/>
        <v>16922.127533349994</v>
      </c>
      <c r="J221">
        <v>57.968787240286943</v>
      </c>
    </row>
    <row r="222" spans="1:10">
      <c r="A222">
        <v>221</v>
      </c>
      <c r="B222" t="s">
        <v>85</v>
      </c>
      <c r="C222" s="56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17">
        <f t="shared" si="15"/>
        <v>17007.328717849996</v>
      </c>
      <c r="J222">
        <v>58.497425028676751</v>
      </c>
    </row>
    <row r="223" spans="1:10">
      <c r="A223">
        <v>222</v>
      </c>
      <c r="B223" t="s">
        <v>85</v>
      </c>
      <c r="C223" s="56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17">
        <f t="shared" si="15"/>
        <v>17219.668118849997</v>
      </c>
      <c r="J223">
        <v>58.921067437661932</v>
      </c>
    </row>
    <row r="224" spans="1:10">
      <c r="A224">
        <v>223</v>
      </c>
      <c r="B224" t="s">
        <v>85</v>
      </c>
      <c r="C224" s="56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17">
        <f t="shared" si="15"/>
        <v>17270.452625549999</v>
      </c>
      <c r="J224">
        <v>59.202652326917232</v>
      </c>
    </row>
    <row r="225" spans="1:10">
      <c r="A225">
        <v>224</v>
      </c>
      <c r="B225" t="s">
        <v>85</v>
      </c>
      <c r="C225" s="56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17">
        <f t="shared" si="15"/>
        <v>17320.529334249997</v>
      </c>
      <c r="J225">
        <v>59.584803704310886</v>
      </c>
    </row>
    <row r="226" spans="1:10">
      <c r="A226">
        <v>225</v>
      </c>
      <c r="B226" t="s">
        <v>85</v>
      </c>
      <c r="C226" s="56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17">
        <f t="shared" si="15"/>
        <v>17573.213221249996</v>
      </c>
      <c r="J226">
        <v>61.736342523403209</v>
      </c>
    </row>
    <row r="227" spans="1:10">
      <c r="A227">
        <v>226</v>
      </c>
      <c r="B227" t="s">
        <v>85</v>
      </c>
      <c r="C227" s="56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17">
        <f t="shared" si="15"/>
        <v>17665.315436249995</v>
      </c>
      <c r="J227">
        <v>63.41447791267322</v>
      </c>
    </row>
    <row r="228" spans="1:10">
      <c r="A228">
        <v>227</v>
      </c>
      <c r="B228" t="s">
        <v>85</v>
      </c>
      <c r="C228" s="56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17">
        <f t="shared" si="15"/>
        <v>17706.898568849996</v>
      </c>
      <c r="J228">
        <v>63.451872049341134</v>
      </c>
    </row>
    <row r="229" spans="1:10">
      <c r="A229">
        <v>228</v>
      </c>
      <c r="B229" t="s">
        <v>85</v>
      </c>
      <c r="C229" s="56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17">
        <f t="shared" si="15"/>
        <v>17793.426874649995</v>
      </c>
      <c r="J229">
        <v>63.699824279570208</v>
      </c>
    </row>
    <row r="230" spans="1:10">
      <c r="A230">
        <v>229</v>
      </c>
      <c r="B230" t="s">
        <v>85</v>
      </c>
      <c r="C230" s="56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17">
        <f t="shared" si="15"/>
        <v>17835.629330549993</v>
      </c>
      <c r="J230">
        <v>64.055912757946501</v>
      </c>
    </row>
    <row r="231" spans="1:10">
      <c r="A231">
        <v>230</v>
      </c>
      <c r="B231" t="s">
        <v>85</v>
      </c>
      <c r="C231" s="56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17">
        <f t="shared" si="15"/>
        <v>17888.625705949991</v>
      </c>
      <c r="J231">
        <v>64.169533990613587</v>
      </c>
    </row>
    <row r="232" spans="1:10">
      <c r="A232">
        <v>231</v>
      </c>
      <c r="B232" t="s">
        <v>85</v>
      </c>
      <c r="C232" s="56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17">
        <f t="shared" si="15"/>
        <v>20211.08789594999</v>
      </c>
      <c r="J232">
        <v>65.682666268766013</v>
      </c>
    </row>
    <row r="233" spans="1:10">
      <c r="A233">
        <v>232</v>
      </c>
      <c r="B233" t="s">
        <v>85</v>
      </c>
      <c r="C233" s="56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17">
        <f t="shared" si="15"/>
        <v>20299.562646249989</v>
      </c>
      <c r="J233">
        <v>66.685653199708071</v>
      </c>
    </row>
    <row r="234" spans="1:10">
      <c r="A234">
        <v>233</v>
      </c>
      <c r="B234" t="s">
        <v>85</v>
      </c>
      <c r="C234" s="56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17">
        <f t="shared" si="15"/>
        <v>22061.97967624999</v>
      </c>
      <c r="J234">
        <v>66.762804692581554</v>
      </c>
    </row>
    <row r="235" spans="1:10">
      <c r="A235">
        <v>234</v>
      </c>
      <c r="B235" t="s">
        <v>85</v>
      </c>
      <c r="C235" s="56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17">
        <f t="shared" si="15"/>
        <v>22168.149376249989</v>
      </c>
      <c r="J235">
        <v>67.235207894572795</v>
      </c>
    </row>
    <row r="236" spans="1:10">
      <c r="A236">
        <v>235</v>
      </c>
      <c r="B236" t="s">
        <v>85</v>
      </c>
      <c r="C236" s="56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17">
        <f t="shared" si="15"/>
        <v>22276.088571249988</v>
      </c>
      <c r="J236">
        <v>67.571287436469916</v>
      </c>
    </row>
    <row r="237" spans="1:10">
      <c r="A237">
        <v>236</v>
      </c>
      <c r="B237" t="s">
        <v>85</v>
      </c>
      <c r="C237" s="56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17">
        <f t="shared" si="15"/>
        <v>22359.254836549986</v>
      </c>
      <c r="J237">
        <v>67.600216009214691</v>
      </c>
    </row>
    <row r="238" spans="1:10">
      <c r="A238">
        <v>237</v>
      </c>
      <c r="B238" t="s">
        <v>85</v>
      </c>
      <c r="C238" s="56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17">
        <f t="shared" si="15"/>
        <v>22400.837969149987</v>
      </c>
      <c r="J238">
        <v>67.718695854958355</v>
      </c>
    </row>
    <row r="239" spans="1:10">
      <c r="A239">
        <v>238</v>
      </c>
      <c r="B239" t="s">
        <v>85</v>
      </c>
      <c r="C239" s="56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17">
        <f t="shared" si="15"/>
        <v>22442.421101749987</v>
      </c>
      <c r="J239">
        <v>68.398814897792107</v>
      </c>
    </row>
    <row r="240" spans="1:10">
      <c r="A240">
        <v>239</v>
      </c>
      <c r="B240" t="s">
        <v>85</v>
      </c>
      <c r="C240" s="56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17">
        <f t="shared" si="15"/>
        <v>22525.587367049986</v>
      </c>
      <c r="J240">
        <v>68.873145417309232</v>
      </c>
    </row>
    <row r="241" spans="1:10">
      <c r="A241">
        <v>240</v>
      </c>
      <c r="B241" t="s">
        <v>85</v>
      </c>
      <c r="C241" s="56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17">
        <f t="shared" si="15"/>
        <v>23909.332457049986</v>
      </c>
      <c r="J241">
        <v>70.063897068726135</v>
      </c>
    </row>
    <row r="242" spans="1:10">
      <c r="A242">
        <v>241</v>
      </c>
      <c r="B242" t="s">
        <v>85</v>
      </c>
      <c r="C242" s="56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17">
        <f t="shared" si="15"/>
        <v>23962.859680949987</v>
      </c>
      <c r="J242">
        <v>71.380608911125591</v>
      </c>
    </row>
    <row r="243" spans="1:10">
      <c r="A243">
        <v>242</v>
      </c>
      <c r="B243" t="s">
        <v>85</v>
      </c>
      <c r="C243" s="56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17">
        <f t="shared" si="15"/>
        <v>24755.151069949985</v>
      </c>
      <c r="J243">
        <v>72.208591886174204</v>
      </c>
    </row>
    <row r="244" spans="1:10">
      <c r="A244">
        <v>243</v>
      </c>
      <c r="B244" t="s">
        <v>85</v>
      </c>
      <c r="C244" s="56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17">
        <f t="shared" si="15"/>
        <v>24838.317335249983</v>
      </c>
      <c r="J244">
        <v>73.162915324110315</v>
      </c>
    </row>
    <row r="245" spans="1:10">
      <c r="A245">
        <v>244</v>
      </c>
      <c r="B245" t="s">
        <v>85</v>
      </c>
      <c r="C245" s="56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17">
        <f t="shared" si="15"/>
        <v>24921.483600549982</v>
      </c>
      <c r="J245">
        <v>73.173347561321862</v>
      </c>
    </row>
    <row r="246" spans="1:10">
      <c r="A246">
        <v>245</v>
      </c>
      <c r="B246" t="s">
        <v>85</v>
      </c>
      <c r="C246" s="56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17">
        <f t="shared" si="15"/>
        <v>25443.48462754998</v>
      </c>
      <c r="J246">
        <v>73.197787526248533</v>
      </c>
    </row>
    <row r="247" spans="1:10">
      <c r="A247">
        <v>246</v>
      </c>
      <c r="B247" t="s">
        <v>85</v>
      </c>
      <c r="C247" s="56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17">
        <f t="shared" si="15"/>
        <v>26542.341027549981</v>
      </c>
      <c r="J247">
        <v>75.216701425907203</v>
      </c>
    </row>
    <row r="248" spans="1:10">
      <c r="A248">
        <v>247</v>
      </c>
      <c r="B248" t="s">
        <v>85</v>
      </c>
      <c r="C248" s="56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17">
        <f t="shared" si="15"/>
        <v>27017.804335549979</v>
      </c>
      <c r="J248">
        <v>77.610428562523538</v>
      </c>
    </row>
    <row r="249" spans="1:10">
      <c r="A249">
        <v>248</v>
      </c>
      <c r="B249" t="s">
        <v>85</v>
      </c>
      <c r="C249" s="56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17">
        <f t="shared" si="15"/>
        <v>27625.802819549979</v>
      </c>
      <c r="J249">
        <v>77.694714759933831</v>
      </c>
    </row>
    <row r="250" spans="1:10">
      <c r="A250">
        <v>249</v>
      </c>
      <c r="B250" t="s">
        <v>85</v>
      </c>
      <c r="C250" s="56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17">
        <f t="shared" si="15"/>
        <v>28815.788209549981</v>
      </c>
      <c r="J250">
        <v>91.022935344470724</v>
      </c>
    </row>
    <row r="251" spans="1:10">
      <c r="A251">
        <v>250</v>
      </c>
      <c r="B251" t="s">
        <v>85</v>
      </c>
      <c r="C251" s="56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17">
        <f t="shared" si="15"/>
        <v>28834.898755649981</v>
      </c>
      <c r="J251">
        <v>92.120347042150556</v>
      </c>
    </row>
    <row r="252" spans="1:10">
      <c r="A252">
        <v>251</v>
      </c>
      <c r="B252" t="s">
        <v>85</v>
      </c>
      <c r="C252" s="56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17">
        <f t="shared" si="15"/>
        <v>29424.229067649983</v>
      </c>
      <c r="J252">
        <v>94.967098977588108</v>
      </c>
    </row>
    <row r="253" spans="1:10">
      <c r="A253">
        <v>252</v>
      </c>
      <c r="B253" t="s">
        <v>85</v>
      </c>
      <c r="C253" s="56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17">
        <f t="shared" si="15"/>
        <v>29735.660188649985</v>
      </c>
      <c r="J253">
        <v>99.247871286386342</v>
      </c>
    </row>
    <row r="254" spans="1:10">
      <c r="A254">
        <v>253</v>
      </c>
      <c r="B254" t="s">
        <v>85</v>
      </c>
      <c r="C254" s="56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17">
        <f t="shared" si="15"/>
        <v>31412.787558649983</v>
      </c>
      <c r="J254">
        <v>105.3825678539034</v>
      </c>
    </row>
    <row r="255" spans="1:10">
      <c r="A255">
        <v>254</v>
      </c>
      <c r="B255" t="s">
        <v>85</v>
      </c>
      <c r="C255" s="56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17">
        <f t="shared" si="15"/>
        <v>32061.307477649982</v>
      </c>
      <c r="J255">
        <v>116.19376289187366</v>
      </c>
    </row>
    <row r="256" spans="1:10">
      <c r="A256">
        <v>255</v>
      </c>
      <c r="B256" t="s">
        <v>85</v>
      </c>
      <c r="C256" s="56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17">
        <f t="shared" si="15"/>
        <v>32102.448236549983</v>
      </c>
      <c r="J256">
        <v>132.37674669762444</v>
      </c>
    </row>
    <row r="257" spans="1:10">
      <c r="A257">
        <v>256</v>
      </c>
      <c r="B257" t="s">
        <v>85</v>
      </c>
      <c r="C257" s="56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17">
        <f t="shared" si="15"/>
        <v>32401.492892549981</v>
      </c>
      <c r="J257">
        <v>185.082286325403</v>
      </c>
    </row>
    <row r="258" spans="1:10">
      <c r="A258">
        <v>257</v>
      </c>
      <c r="B258" t="s">
        <v>85</v>
      </c>
      <c r="C258" s="56">
        <v>37.070920399999999</v>
      </c>
      <c r="D258">
        <v>29165.235000000001</v>
      </c>
      <c r="E258">
        <v>3507.74</v>
      </c>
      <c r="F258">
        <f t="shared" ref="F258:F260" si="16">E258*$K$1*$K$2/1000000</f>
        <v>57.278980874879991</v>
      </c>
      <c r="G258">
        <f t="shared" si="13"/>
        <v>127.803305450523</v>
      </c>
      <c r="H258">
        <f t="shared" ref="H258:H259" si="17">F258+G258</f>
        <v>185.082286325403</v>
      </c>
      <c r="I258" s="17">
        <f t="shared" si="15"/>
        <v>32438.563812949982</v>
      </c>
      <c r="J258">
        <v>224.74128859871144</v>
      </c>
    </row>
    <row r="259" spans="1:10">
      <c r="A259">
        <v>258</v>
      </c>
      <c r="B259" t="s">
        <v>85</v>
      </c>
      <c r="C259" s="56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17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85</v>
      </c>
      <c r="C260" s="56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dimension ref="A1:I260"/>
  <sheetViews>
    <sheetView topLeftCell="A177" workbookViewId="0">
      <selection activeCell="H178" sqref="H178"/>
    </sheetView>
  </sheetViews>
  <sheetFormatPr baseColWidth="10" defaultRowHeight="16"/>
  <sheetData>
    <row r="1" spans="1:9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H1" t="s">
        <v>82</v>
      </c>
      <c r="I1">
        <v>4.3820427111430096</v>
      </c>
    </row>
    <row r="2" spans="1:9">
      <c r="A2">
        <v>1</v>
      </c>
      <c r="B2" t="s">
        <v>80</v>
      </c>
      <c r="C2" s="56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80</v>
      </c>
      <c r="C3" s="56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80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80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80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80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80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80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80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80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80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80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80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80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80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80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80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80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80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80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80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80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83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83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83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83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83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84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84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84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84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84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84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84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84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84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84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84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84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84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84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84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84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84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84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84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84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84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84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84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84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84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84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84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84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84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84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84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84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84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84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84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84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84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84</v>
      </c>
      <c r="C66" s="56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84</v>
      </c>
      <c r="C67" s="56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84</v>
      </c>
      <c r="C68" s="56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84</v>
      </c>
      <c r="C69" s="56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84</v>
      </c>
      <c r="C70" s="56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84</v>
      </c>
      <c r="C71" s="56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84</v>
      </c>
      <c r="C72" s="56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84</v>
      </c>
      <c r="C73" s="56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84</v>
      </c>
      <c r="C74" s="56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84</v>
      </c>
      <c r="C75" s="56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84</v>
      </c>
      <c r="C76" s="56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84</v>
      </c>
      <c r="C77" s="56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84</v>
      </c>
      <c r="C78" s="56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84</v>
      </c>
      <c r="C79" s="56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84</v>
      </c>
      <c r="C80" s="56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84</v>
      </c>
      <c r="C81" s="56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84</v>
      </c>
      <c r="C82" s="56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84</v>
      </c>
      <c r="C83" s="56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84</v>
      </c>
      <c r="C84" s="56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84</v>
      </c>
      <c r="C85" s="56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84</v>
      </c>
      <c r="C86" s="56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84</v>
      </c>
      <c r="C87" s="56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84</v>
      </c>
      <c r="C88" s="56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84</v>
      </c>
      <c r="C89" s="56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84</v>
      </c>
      <c r="C90" s="56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84</v>
      </c>
      <c r="C91" s="56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84</v>
      </c>
      <c r="C92" s="56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84</v>
      </c>
      <c r="C93" s="56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84</v>
      </c>
      <c r="C94" s="56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84</v>
      </c>
      <c r="C95" s="56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84</v>
      </c>
      <c r="C96" s="56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84</v>
      </c>
      <c r="C97" s="56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84</v>
      </c>
      <c r="C98" s="56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84</v>
      </c>
      <c r="C99" s="56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84</v>
      </c>
      <c r="C100" s="56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84</v>
      </c>
      <c r="C101" s="56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84</v>
      </c>
      <c r="C102" s="56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84</v>
      </c>
      <c r="C103" s="56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84</v>
      </c>
      <c r="C104" s="56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84</v>
      </c>
      <c r="C105" s="56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84</v>
      </c>
      <c r="C106" s="56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84</v>
      </c>
      <c r="C107" s="56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84</v>
      </c>
      <c r="C108" s="56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84</v>
      </c>
      <c r="C109" s="56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84</v>
      </c>
      <c r="C110" s="56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84</v>
      </c>
      <c r="C111" s="56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84</v>
      </c>
      <c r="C112" s="56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84</v>
      </c>
      <c r="C113" s="56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84</v>
      </c>
      <c r="C114" s="56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84</v>
      </c>
      <c r="C115" s="56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84</v>
      </c>
      <c r="C116" s="56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84</v>
      </c>
      <c r="C117" s="56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84</v>
      </c>
      <c r="C118" s="56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84</v>
      </c>
      <c r="C119" s="56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84</v>
      </c>
      <c r="C120" s="56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84</v>
      </c>
      <c r="C121" s="56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84</v>
      </c>
      <c r="C122" s="56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84</v>
      </c>
      <c r="C123" s="56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84</v>
      </c>
      <c r="C124" s="56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84</v>
      </c>
      <c r="C125" s="56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84</v>
      </c>
      <c r="C126" s="56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84</v>
      </c>
      <c r="C127" s="56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84</v>
      </c>
      <c r="C128" s="56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84</v>
      </c>
      <c r="C129" s="56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84</v>
      </c>
      <c r="C130" s="56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84</v>
      </c>
      <c r="C131" s="56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84</v>
      </c>
      <c r="C132" s="56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84</v>
      </c>
      <c r="C133" s="56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84</v>
      </c>
      <c r="C134" s="56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84</v>
      </c>
      <c r="C135" s="56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84</v>
      </c>
      <c r="C136" s="56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84</v>
      </c>
      <c r="C137" s="56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84</v>
      </c>
      <c r="C138" s="56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84</v>
      </c>
      <c r="C139" s="56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84</v>
      </c>
      <c r="C140" s="56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84</v>
      </c>
      <c r="C141" s="56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84</v>
      </c>
      <c r="C142" s="56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84</v>
      </c>
      <c r="C143" s="56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84</v>
      </c>
      <c r="C144" s="56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84</v>
      </c>
      <c r="C145" s="56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84</v>
      </c>
      <c r="C146" s="56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84</v>
      </c>
      <c r="C147" s="56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84</v>
      </c>
      <c r="C148" s="56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84</v>
      </c>
      <c r="C149" s="56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84</v>
      </c>
      <c r="C150" s="56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84</v>
      </c>
      <c r="C151" s="56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84</v>
      </c>
      <c r="C152" s="56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84</v>
      </c>
      <c r="C153" s="56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84</v>
      </c>
      <c r="C154" s="56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84</v>
      </c>
      <c r="C155" s="56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84</v>
      </c>
      <c r="C156" s="56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84</v>
      </c>
      <c r="C157" s="56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84</v>
      </c>
      <c r="C158" s="56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84</v>
      </c>
      <c r="C159" s="56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84</v>
      </c>
      <c r="C160" s="56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84</v>
      </c>
      <c r="C161" s="56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84</v>
      </c>
      <c r="C162" s="56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84</v>
      </c>
      <c r="C163" s="56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84</v>
      </c>
      <c r="C164" s="56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84</v>
      </c>
      <c r="C165" s="56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84</v>
      </c>
      <c r="C166" s="56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84</v>
      </c>
      <c r="C167" s="56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84</v>
      </c>
      <c r="C168" s="56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84</v>
      </c>
      <c r="C169" s="56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84</v>
      </c>
      <c r="C170" s="56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84</v>
      </c>
      <c r="C171" s="56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84</v>
      </c>
      <c r="C172" s="56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84</v>
      </c>
      <c r="C173" s="56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84</v>
      </c>
      <c r="C174" s="56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84</v>
      </c>
      <c r="C175" s="56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84</v>
      </c>
      <c r="C176" s="56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84</v>
      </c>
      <c r="C177" s="56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84</v>
      </c>
      <c r="C178" s="56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85</v>
      </c>
      <c r="C179" s="56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85</v>
      </c>
      <c r="C180" s="56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85</v>
      </c>
      <c r="C181" s="56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85</v>
      </c>
      <c r="C182" s="56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85</v>
      </c>
      <c r="C183" s="56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85</v>
      </c>
      <c r="C184" s="56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85</v>
      </c>
      <c r="C185" s="56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85</v>
      </c>
      <c r="C186" s="56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85</v>
      </c>
      <c r="C187" s="56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85</v>
      </c>
      <c r="C188" s="56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85</v>
      </c>
      <c r="C189" s="56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85</v>
      </c>
      <c r="C190" s="56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85</v>
      </c>
      <c r="C191" s="56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85</v>
      </c>
      <c r="C192" s="56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85</v>
      </c>
      <c r="C193" s="56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85</v>
      </c>
      <c r="C194" s="56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85</v>
      </c>
      <c r="C195" s="56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85</v>
      </c>
      <c r="C196" s="56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85</v>
      </c>
      <c r="C197" s="56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85</v>
      </c>
      <c r="C198" s="56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85</v>
      </c>
      <c r="C199" s="56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85</v>
      </c>
      <c r="C200" s="56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85</v>
      </c>
      <c r="C201" s="56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85</v>
      </c>
      <c r="C202" s="56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85</v>
      </c>
      <c r="C203" s="56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85</v>
      </c>
      <c r="C204" s="56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85</v>
      </c>
      <c r="C205" s="56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85</v>
      </c>
      <c r="C206" s="56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85</v>
      </c>
      <c r="C207" s="56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85</v>
      </c>
      <c r="C208" s="56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85</v>
      </c>
      <c r="C209" s="56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85</v>
      </c>
      <c r="C210" s="56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85</v>
      </c>
      <c r="C211" s="56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85</v>
      </c>
      <c r="C212" s="56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85</v>
      </c>
      <c r="C213" s="56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85</v>
      </c>
      <c r="C214" s="56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85</v>
      </c>
      <c r="C215" s="56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85</v>
      </c>
      <c r="C216" s="56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85</v>
      </c>
      <c r="C217" s="56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85</v>
      </c>
      <c r="C218" s="56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85</v>
      </c>
      <c r="C219" s="56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85</v>
      </c>
      <c r="C220" s="56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85</v>
      </c>
      <c r="C221" s="56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85</v>
      </c>
      <c r="C222" s="56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85</v>
      </c>
      <c r="C223" s="56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85</v>
      </c>
      <c r="C224" s="56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85</v>
      </c>
      <c r="C225" s="56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85</v>
      </c>
      <c r="C226" s="56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85</v>
      </c>
      <c r="C227" s="56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85</v>
      </c>
      <c r="C228" s="56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85</v>
      </c>
      <c r="C229" s="56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85</v>
      </c>
      <c r="C230" s="56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85</v>
      </c>
      <c r="C231" s="56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85</v>
      </c>
      <c r="C232" s="56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85</v>
      </c>
      <c r="C233" s="56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85</v>
      </c>
      <c r="C234" s="56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85</v>
      </c>
      <c r="C235" s="56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85</v>
      </c>
      <c r="C236" s="56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85</v>
      </c>
      <c r="C237" s="56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85</v>
      </c>
      <c r="C238" s="56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85</v>
      </c>
      <c r="C239" s="56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85</v>
      </c>
      <c r="C240" s="56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85</v>
      </c>
      <c r="C241" s="56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85</v>
      </c>
      <c r="C242" s="56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85</v>
      </c>
      <c r="C243" s="56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85</v>
      </c>
      <c r="C244" s="56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85</v>
      </c>
      <c r="C245" s="56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85</v>
      </c>
      <c r="C246" s="56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85</v>
      </c>
      <c r="C247" s="56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85</v>
      </c>
      <c r="C248" s="56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85</v>
      </c>
      <c r="C249" s="56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85</v>
      </c>
      <c r="C250" s="56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85</v>
      </c>
      <c r="C251" s="56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85</v>
      </c>
      <c r="C252" s="56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85</v>
      </c>
      <c r="C253" s="56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85</v>
      </c>
      <c r="C254" s="56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85</v>
      </c>
      <c r="C255" s="56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85</v>
      </c>
      <c r="C256" s="56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85</v>
      </c>
      <c r="C257" s="56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85</v>
      </c>
      <c r="C258" s="56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85</v>
      </c>
      <c r="C259" s="56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85</v>
      </c>
      <c r="C260" s="56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dimension ref="A1:D168"/>
  <sheetViews>
    <sheetView topLeftCell="B1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57">
        <v>17312.7</v>
      </c>
      <c r="B1" s="57">
        <v>1</v>
      </c>
      <c r="C1" s="57">
        <v>0</v>
      </c>
      <c r="D1" s="58">
        <v>42743</v>
      </c>
    </row>
    <row r="2" spans="1:4">
      <c r="A2" s="57">
        <v>16711.400000000001</v>
      </c>
      <c r="B2" s="57">
        <v>2</v>
      </c>
      <c r="C2" s="57">
        <v>0</v>
      </c>
      <c r="D2" s="58">
        <v>42743.041666666701</v>
      </c>
    </row>
    <row r="3" spans="1:4">
      <c r="A3" s="57">
        <v>16364.6</v>
      </c>
      <c r="B3" s="57">
        <v>3</v>
      </c>
      <c r="C3" s="57">
        <v>0</v>
      </c>
      <c r="D3" s="58">
        <v>42743.083333333299</v>
      </c>
    </row>
    <row r="4" spans="1:4">
      <c r="A4" s="57">
        <v>16202.3</v>
      </c>
      <c r="B4" s="57">
        <v>4</v>
      </c>
      <c r="C4" s="57">
        <v>0</v>
      </c>
      <c r="D4" s="58">
        <v>42743.125</v>
      </c>
    </row>
    <row r="5" spans="1:4">
      <c r="A5" s="57">
        <v>16202.3</v>
      </c>
      <c r="B5" s="57">
        <v>5</v>
      </c>
      <c r="C5" s="57">
        <v>0</v>
      </c>
      <c r="D5" s="58">
        <v>42743.166666666701</v>
      </c>
    </row>
    <row r="6" spans="1:4">
      <c r="A6" s="57">
        <v>16442</v>
      </c>
      <c r="B6" s="57">
        <v>6</v>
      </c>
      <c r="C6" s="57">
        <v>0</v>
      </c>
      <c r="D6" s="58">
        <v>42743.208333333299</v>
      </c>
    </row>
    <row r="7" spans="1:4">
      <c r="A7" s="57">
        <v>16962.099999999999</v>
      </c>
      <c r="B7" s="57">
        <v>7</v>
      </c>
      <c r="C7" s="57">
        <v>0</v>
      </c>
      <c r="D7" s="58">
        <v>42743.25</v>
      </c>
    </row>
    <row r="8" spans="1:4">
      <c r="A8" s="57">
        <v>17555.400000000001</v>
      </c>
      <c r="B8" s="57">
        <v>8</v>
      </c>
      <c r="C8" s="57">
        <v>0</v>
      </c>
      <c r="D8" s="58">
        <v>42743.291666666701</v>
      </c>
    </row>
    <row r="9" spans="1:4">
      <c r="A9" s="57">
        <v>18336.2</v>
      </c>
      <c r="B9" s="57">
        <v>9</v>
      </c>
      <c r="C9" s="57">
        <v>0</v>
      </c>
      <c r="D9" s="58">
        <v>42743.333333333299</v>
      </c>
    </row>
    <row r="10" spans="1:4">
      <c r="A10" s="57">
        <v>19036.400000000001</v>
      </c>
      <c r="B10" s="57">
        <v>10</v>
      </c>
      <c r="C10" s="57">
        <v>0</v>
      </c>
      <c r="D10" s="58">
        <v>42743.375</v>
      </c>
    </row>
    <row r="11" spans="1:4">
      <c r="A11" s="57">
        <v>19528.8</v>
      </c>
      <c r="B11" s="57">
        <v>11</v>
      </c>
      <c r="C11" s="57">
        <v>0</v>
      </c>
      <c r="D11" s="58">
        <v>42743.416666666701</v>
      </c>
    </row>
    <row r="12" spans="1:4">
      <c r="A12" s="57">
        <v>19776.099999999999</v>
      </c>
      <c r="B12" s="57">
        <v>12</v>
      </c>
      <c r="C12" s="57">
        <v>0</v>
      </c>
      <c r="D12" s="58">
        <v>42743.458333333299</v>
      </c>
    </row>
    <row r="13" spans="1:4">
      <c r="A13" s="57">
        <v>19990.599999999999</v>
      </c>
      <c r="B13" s="57">
        <v>13</v>
      </c>
      <c r="C13" s="57">
        <v>0</v>
      </c>
      <c r="D13" s="58">
        <v>42743.5</v>
      </c>
    </row>
    <row r="14" spans="1:4">
      <c r="A14" s="57">
        <v>20025.5</v>
      </c>
      <c r="B14" s="57">
        <v>14</v>
      </c>
      <c r="C14" s="57">
        <v>0</v>
      </c>
      <c r="D14" s="58">
        <v>42743.541666666701</v>
      </c>
    </row>
    <row r="15" spans="1:4">
      <c r="A15" s="57">
        <v>19982.7</v>
      </c>
      <c r="B15" s="57">
        <v>15</v>
      </c>
      <c r="C15" s="57">
        <v>0</v>
      </c>
      <c r="D15" s="58">
        <v>42743.583333333299</v>
      </c>
    </row>
    <row r="16" spans="1:4">
      <c r="A16" s="57">
        <v>20214.599999999999</v>
      </c>
      <c r="B16" s="57">
        <v>16</v>
      </c>
      <c r="C16" s="57">
        <v>0</v>
      </c>
      <c r="D16" s="58">
        <v>42743.625</v>
      </c>
    </row>
    <row r="17" spans="1:4">
      <c r="A17" s="57">
        <v>20952.099999999999</v>
      </c>
      <c r="B17" s="57">
        <v>17</v>
      </c>
      <c r="C17" s="57">
        <v>0</v>
      </c>
      <c r="D17" s="58">
        <v>42743.666666666701</v>
      </c>
    </row>
    <row r="18" spans="1:4">
      <c r="A18" s="57">
        <v>22171.5</v>
      </c>
      <c r="B18" s="57">
        <v>18</v>
      </c>
      <c r="C18" s="57">
        <v>0</v>
      </c>
      <c r="D18" s="58">
        <v>42743.708333333299</v>
      </c>
    </row>
    <row r="19" spans="1:4">
      <c r="A19" s="57">
        <v>22225.8</v>
      </c>
      <c r="B19" s="57">
        <v>19</v>
      </c>
      <c r="C19" s="57">
        <v>0</v>
      </c>
      <c r="D19" s="58">
        <v>42743.75</v>
      </c>
    </row>
    <row r="20" spans="1:4">
      <c r="A20" s="57">
        <v>21904.7</v>
      </c>
      <c r="B20" s="57">
        <v>20</v>
      </c>
      <c r="C20" s="57">
        <v>0</v>
      </c>
      <c r="D20" s="58">
        <v>42743.791666666701</v>
      </c>
    </row>
    <row r="21" spans="1:4">
      <c r="A21" s="57">
        <v>21429.1</v>
      </c>
      <c r="B21" s="57">
        <v>21</v>
      </c>
      <c r="C21" s="57">
        <v>0</v>
      </c>
      <c r="D21" s="58">
        <v>42743.833333333299</v>
      </c>
    </row>
    <row r="22" spans="1:4">
      <c r="A22" s="57">
        <v>20566.5</v>
      </c>
      <c r="B22" s="57">
        <v>22</v>
      </c>
      <c r="C22" s="57">
        <v>0</v>
      </c>
      <c r="D22" s="58">
        <v>42743.875</v>
      </c>
    </row>
    <row r="23" spans="1:4">
      <c r="A23" s="57">
        <v>19398.3</v>
      </c>
      <c r="B23" s="57">
        <v>23</v>
      </c>
      <c r="C23" s="57">
        <v>0</v>
      </c>
      <c r="D23" s="58">
        <v>42743.916666666701</v>
      </c>
    </row>
    <row r="24" spans="1:4">
      <c r="A24" s="57">
        <v>18220.5</v>
      </c>
      <c r="B24" s="57">
        <v>24</v>
      </c>
      <c r="C24" s="57">
        <v>1</v>
      </c>
      <c r="D24" s="58">
        <v>42743.958333333299</v>
      </c>
    </row>
    <row r="25" spans="1:4">
      <c r="A25" s="57">
        <v>17413.900000000001</v>
      </c>
      <c r="B25" s="57">
        <v>1</v>
      </c>
      <c r="C25" s="57">
        <v>0</v>
      </c>
      <c r="D25" s="58">
        <v>42744</v>
      </c>
    </row>
    <row r="26" spans="1:4">
      <c r="A26" s="57">
        <v>16961.900000000001</v>
      </c>
      <c r="B26" s="57">
        <v>2</v>
      </c>
      <c r="C26" s="57">
        <v>0</v>
      </c>
      <c r="D26" s="58">
        <v>42744.041666666701</v>
      </c>
    </row>
    <row r="27" spans="1:4">
      <c r="A27" s="57">
        <v>16733.8</v>
      </c>
      <c r="B27" s="57">
        <v>3</v>
      </c>
      <c r="C27" s="57">
        <v>0</v>
      </c>
      <c r="D27" s="58">
        <v>42744.083333333299</v>
      </c>
    </row>
    <row r="28" spans="1:4">
      <c r="A28" s="57">
        <v>16787.099999999999</v>
      </c>
      <c r="B28" s="57">
        <v>4</v>
      </c>
      <c r="C28" s="57">
        <v>0</v>
      </c>
      <c r="D28" s="58">
        <v>42744.125</v>
      </c>
    </row>
    <row r="29" spans="1:4">
      <c r="A29" s="57">
        <v>17071.7</v>
      </c>
      <c r="B29" s="57">
        <v>5</v>
      </c>
      <c r="C29" s="57">
        <v>0</v>
      </c>
      <c r="D29" s="58">
        <v>42744.166666666701</v>
      </c>
    </row>
    <row r="30" spans="1:4">
      <c r="A30" s="57">
        <v>18021.900000000001</v>
      </c>
      <c r="B30" s="57">
        <v>6</v>
      </c>
      <c r="C30" s="57">
        <v>0</v>
      </c>
      <c r="D30" s="58">
        <v>42744.208333333299</v>
      </c>
    </row>
    <row r="31" spans="1:4">
      <c r="A31" s="57">
        <v>19816.3</v>
      </c>
      <c r="B31" s="57">
        <v>7</v>
      </c>
      <c r="C31" s="57">
        <v>0</v>
      </c>
      <c r="D31" s="58">
        <v>42744.25</v>
      </c>
    </row>
    <row r="32" spans="1:4">
      <c r="A32" s="57">
        <v>21202.9</v>
      </c>
      <c r="B32" s="57">
        <v>8</v>
      </c>
      <c r="C32" s="57">
        <v>0</v>
      </c>
      <c r="D32" s="58">
        <v>42744.291666666701</v>
      </c>
    </row>
    <row r="33" spans="1:4">
      <c r="A33" s="57">
        <v>21620.5</v>
      </c>
      <c r="B33" s="57">
        <v>9</v>
      </c>
      <c r="C33" s="57">
        <v>0</v>
      </c>
      <c r="D33" s="58">
        <v>42744.333333333299</v>
      </c>
    </row>
    <row r="34" spans="1:4">
      <c r="A34" s="57">
        <v>21959.3</v>
      </c>
      <c r="B34" s="57">
        <v>10</v>
      </c>
      <c r="C34" s="57">
        <v>0</v>
      </c>
      <c r="D34" s="58">
        <v>42744.375</v>
      </c>
    </row>
    <row r="35" spans="1:4">
      <c r="A35" s="57">
        <v>22144.7</v>
      </c>
      <c r="B35" s="57">
        <v>11</v>
      </c>
      <c r="C35" s="57">
        <v>0</v>
      </c>
      <c r="D35" s="58">
        <v>42744.416666666701</v>
      </c>
    </row>
    <row r="36" spans="1:4">
      <c r="A36" s="57">
        <v>22129.200000000001</v>
      </c>
      <c r="B36" s="57">
        <v>12</v>
      </c>
      <c r="C36" s="57">
        <v>0</v>
      </c>
      <c r="D36" s="58">
        <v>42744.458333333299</v>
      </c>
    </row>
    <row r="37" spans="1:4">
      <c r="A37" s="57">
        <v>21984.3</v>
      </c>
      <c r="B37" s="57">
        <v>13</v>
      </c>
      <c r="C37" s="57">
        <v>0</v>
      </c>
      <c r="D37" s="58">
        <v>42744.5</v>
      </c>
    </row>
    <row r="38" spans="1:4">
      <c r="A38" s="57">
        <v>21880.400000000001</v>
      </c>
      <c r="B38" s="57">
        <v>14</v>
      </c>
      <c r="C38" s="57">
        <v>0</v>
      </c>
      <c r="D38" s="58">
        <v>42744.541666666701</v>
      </c>
    </row>
    <row r="39" spans="1:4">
      <c r="A39" s="57">
        <v>21727.5</v>
      </c>
      <c r="B39" s="57">
        <v>15</v>
      </c>
      <c r="C39" s="57">
        <v>0</v>
      </c>
      <c r="D39" s="58">
        <v>42744.583333333299</v>
      </c>
    </row>
    <row r="40" spans="1:4">
      <c r="A40" s="57">
        <v>21705.599999999999</v>
      </c>
      <c r="B40" s="57">
        <v>16</v>
      </c>
      <c r="C40" s="57">
        <v>0</v>
      </c>
      <c r="D40" s="58">
        <v>42744.625</v>
      </c>
    </row>
    <row r="41" spans="1:4">
      <c r="A41" s="57">
        <v>22311.3</v>
      </c>
      <c r="B41" s="57">
        <v>17</v>
      </c>
      <c r="C41" s="57">
        <v>0</v>
      </c>
      <c r="D41" s="58">
        <v>42744.666666666701</v>
      </c>
    </row>
    <row r="42" spans="1:4">
      <c r="A42" s="57">
        <v>23525.7</v>
      </c>
      <c r="B42" s="57">
        <v>18</v>
      </c>
      <c r="C42" s="57">
        <v>0</v>
      </c>
      <c r="D42" s="58">
        <v>42744.708333333299</v>
      </c>
    </row>
    <row r="43" spans="1:4">
      <c r="A43" s="57">
        <v>23511.200000000001</v>
      </c>
      <c r="B43" s="57">
        <v>19</v>
      </c>
      <c r="C43" s="57">
        <v>0</v>
      </c>
      <c r="D43" s="58">
        <v>42744.75</v>
      </c>
    </row>
    <row r="44" spans="1:4">
      <c r="A44" s="57">
        <v>23121.4</v>
      </c>
      <c r="B44" s="57">
        <v>20</v>
      </c>
      <c r="C44" s="57">
        <v>0</v>
      </c>
      <c r="D44" s="58">
        <v>42744.791666666701</v>
      </c>
    </row>
    <row r="45" spans="1:4">
      <c r="A45" s="57">
        <v>22484.9</v>
      </c>
      <c r="B45" s="57">
        <v>21</v>
      </c>
      <c r="C45" s="57">
        <v>0</v>
      </c>
      <c r="D45" s="58">
        <v>42744.833333333299</v>
      </c>
    </row>
    <row r="46" spans="1:4">
      <c r="A46" s="57">
        <v>21493.8</v>
      </c>
      <c r="B46" s="57">
        <v>22</v>
      </c>
      <c r="C46" s="57">
        <v>0</v>
      </c>
      <c r="D46" s="58">
        <v>42744.875</v>
      </c>
    </row>
    <row r="47" spans="1:4">
      <c r="A47" s="57">
        <v>20072.3</v>
      </c>
      <c r="B47" s="57">
        <v>23</v>
      </c>
      <c r="C47" s="57">
        <v>0</v>
      </c>
      <c r="D47" s="58">
        <v>42744.916666666701</v>
      </c>
    </row>
    <row r="48" spans="1:4">
      <c r="A48" s="57">
        <v>18669.7</v>
      </c>
      <c r="B48" s="57">
        <v>24</v>
      </c>
      <c r="C48" s="57">
        <v>1</v>
      </c>
      <c r="D48" s="58">
        <v>42744.958333333299</v>
      </c>
    </row>
    <row r="49" spans="1:4">
      <c r="A49" s="57">
        <v>17663.2</v>
      </c>
      <c r="B49" s="57">
        <v>1</v>
      </c>
      <c r="C49" s="57">
        <v>0</v>
      </c>
      <c r="D49" s="58">
        <v>42745</v>
      </c>
    </row>
    <row r="50" spans="1:4">
      <c r="A50" s="57">
        <v>17043.5</v>
      </c>
      <c r="B50" s="57">
        <v>2</v>
      </c>
      <c r="C50" s="57">
        <v>0</v>
      </c>
      <c r="D50" s="58">
        <v>42745.041666666701</v>
      </c>
    </row>
    <row r="51" spans="1:4">
      <c r="A51" s="57">
        <v>16696.3</v>
      </c>
      <c r="B51" s="57">
        <v>3</v>
      </c>
      <c r="C51" s="57">
        <v>0</v>
      </c>
      <c r="D51" s="58">
        <v>42745.083333333299</v>
      </c>
    </row>
    <row r="52" spans="1:4">
      <c r="A52" s="57">
        <v>16597.599999999999</v>
      </c>
      <c r="B52" s="57">
        <v>4</v>
      </c>
      <c r="C52" s="57">
        <v>0</v>
      </c>
      <c r="D52" s="58">
        <v>42745.125</v>
      </c>
    </row>
    <row r="53" spans="1:4">
      <c r="A53" s="57">
        <v>16856.8</v>
      </c>
      <c r="B53" s="57">
        <v>5</v>
      </c>
      <c r="C53" s="57">
        <v>0</v>
      </c>
      <c r="D53" s="58">
        <v>42745.166666666701</v>
      </c>
    </row>
    <row r="54" spans="1:4">
      <c r="A54" s="57">
        <v>17801.400000000001</v>
      </c>
      <c r="B54" s="57">
        <v>6</v>
      </c>
      <c r="C54" s="57">
        <v>0</v>
      </c>
      <c r="D54" s="58">
        <v>42745.208333333299</v>
      </c>
    </row>
    <row r="55" spans="1:4">
      <c r="A55" s="57">
        <v>19620.099999999999</v>
      </c>
      <c r="B55" s="57">
        <v>7</v>
      </c>
      <c r="C55" s="57">
        <v>0</v>
      </c>
      <c r="D55" s="58">
        <v>42745.25</v>
      </c>
    </row>
    <row r="56" spans="1:4">
      <c r="A56" s="57">
        <v>20910.5</v>
      </c>
      <c r="B56" s="57">
        <v>8</v>
      </c>
      <c r="C56" s="57">
        <v>0</v>
      </c>
      <c r="D56" s="58">
        <v>42745.291666666701</v>
      </c>
    </row>
    <row r="57" spans="1:4">
      <c r="A57" s="57">
        <v>21217.9</v>
      </c>
      <c r="B57" s="57">
        <v>9</v>
      </c>
      <c r="C57" s="57">
        <v>0</v>
      </c>
      <c r="D57" s="58">
        <v>42745.333333333299</v>
      </c>
    </row>
    <row r="58" spans="1:4">
      <c r="A58" s="57">
        <v>21434.7</v>
      </c>
      <c r="B58" s="57">
        <v>10</v>
      </c>
      <c r="C58" s="57">
        <v>0</v>
      </c>
      <c r="D58" s="58">
        <v>42745.375</v>
      </c>
    </row>
    <row r="59" spans="1:4">
      <c r="A59" s="57">
        <v>21582.7</v>
      </c>
      <c r="B59" s="57">
        <v>11</v>
      </c>
      <c r="C59" s="57">
        <v>0</v>
      </c>
      <c r="D59" s="58">
        <v>42745.416666666701</v>
      </c>
    </row>
    <row r="60" spans="1:4">
      <c r="A60" s="57">
        <v>21450.2</v>
      </c>
      <c r="B60" s="57">
        <v>12</v>
      </c>
      <c r="C60" s="57">
        <v>0</v>
      </c>
      <c r="D60" s="58">
        <v>42745.458333333299</v>
      </c>
    </row>
    <row r="61" spans="1:4">
      <c r="A61" s="57">
        <v>21219.9</v>
      </c>
      <c r="B61" s="57">
        <v>13</v>
      </c>
      <c r="C61" s="57">
        <v>0</v>
      </c>
      <c r="D61" s="58">
        <v>42745.5</v>
      </c>
    </row>
    <row r="62" spans="1:4">
      <c r="A62" s="57">
        <v>21163.599999999999</v>
      </c>
      <c r="B62" s="57">
        <v>14</v>
      </c>
      <c r="C62" s="57">
        <v>0</v>
      </c>
      <c r="D62" s="58">
        <v>42745.541666666701</v>
      </c>
    </row>
    <row r="63" spans="1:4">
      <c r="A63" s="57">
        <v>21098.3</v>
      </c>
      <c r="B63" s="57">
        <v>15</v>
      </c>
      <c r="C63" s="57">
        <v>0</v>
      </c>
      <c r="D63" s="58">
        <v>42745.583333333299</v>
      </c>
    </row>
    <row r="64" spans="1:4">
      <c r="A64" s="57">
        <v>21191.8</v>
      </c>
      <c r="B64" s="57">
        <v>16</v>
      </c>
      <c r="C64" s="57">
        <v>0</v>
      </c>
      <c r="D64" s="58">
        <v>42745.625</v>
      </c>
    </row>
    <row r="65" spans="1:4">
      <c r="A65" s="57">
        <v>21827.5</v>
      </c>
      <c r="B65" s="57">
        <v>17</v>
      </c>
      <c r="C65" s="57">
        <v>0</v>
      </c>
      <c r="D65" s="58">
        <v>42745.666666666701</v>
      </c>
    </row>
    <row r="66" spans="1:4">
      <c r="A66" s="57">
        <v>22636.400000000001</v>
      </c>
      <c r="B66" s="57">
        <v>18</v>
      </c>
      <c r="C66" s="57">
        <v>0</v>
      </c>
      <c r="D66" s="58">
        <v>42745.708333333299</v>
      </c>
    </row>
    <row r="67" spans="1:4">
      <c r="A67" s="57">
        <v>22398.6</v>
      </c>
      <c r="B67" s="57">
        <v>19</v>
      </c>
      <c r="C67" s="57">
        <v>0</v>
      </c>
      <c r="D67" s="58">
        <v>42745.75</v>
      </c>
    </row>
    <row r="68" spans="1:4">
      <c r="A68" s="57">
        <v>21880.2</v>
      </c>
      <c r="B68" s="57">
        <v>20</v>
      </c>
      <c r="C68" s="57">
        <v>0</v>
      </c>
      <c r="D68" s="58">
        <v>42745.791666666701</v>
      </c>
    </row>
    <row r="69" spans="1:4">
      <c r="A69" s="57">
        <v>21140.2</v>
      </c>
      <c r="B69" s="57">
        <v>21</v>
      </c>
      <c r="C69" s="57">
        <v>0</v>
      </c>
      <c r="D69" s="58">
        <v>42745.833333333299</v>
      </c>
    </row>
    <row r="70" spans="1:4">
      <c r="A70" s="57">
        <v>19958.2</v>
      </c>
      <c r="B70" s="57">
        <v>22</v>
      </c>
      <c r="C70" s="57">
        <v>0</v>
      </c>
      <c r="D70" s="58">
        <v>42745.875</v>
      </c>
    </row>
    <row r="71" spans="1:4">
      <c r="A71" s="57">
        <v>18530.400000000009</v>
      </c>
      <c r="B71" s="57">
        <v>23</v>
      </c>
      <c r="C71" s="57">
        <v>0</v>
      </c>
      <c r="D71" s="58">
        <v>42745.916666666701</v>
      </c>
    </row>
    <row r="72" spans="1:4">
      <c r="A72" s="57">
        <v>17028.8</v>
      </c>
      <c r="B72" s="57">
        <v>24</v>
      </c>
      <c r="C72" s="57">
        <v>1</v>
      </c>
      <c r="D72" s="58">
        <v>42745.958333333299</v>
      </c>
    </row>
    <row r="73" spans="1:4">
      <c r="A73" s="57">
        <v>16005.3</v>
      </c>
      <c r="B73" s="57">
        <v>1</v>
      </c>
      <c r="C73" s="57">
        <v>0</v>
      </c>
      <c r="D73" s="58">
        <v>42746</v>
      </c>
    </row>
    <row r="74" spans="1:4">
      <c r="A74" s="57">
        <v>15411.3</v>
      </c>
      <c r="B74" s="57">
        <v>2</v>
      </c>
      <c r="C74" s="57">
        <v>0</v>
      </c>
      <c r="D74" s="58">
        <v>42746.041666666701</v>
      </c>
    </row>
    <row r="75" spans="1:4">
      <c r="A75" s="57">
        <v>15086.1</v>
      </c>
      <c r="B75" s="57">
        <v>3</v>
      </c>
      <c r="C75" s="57">
        <v>0</v>
      </c>
      <c r="D75" s="58">
        <v>42746.083333333299</v>
      </c>
    </row>
    <row r="76" spans="1:4">
      <c r="A76" s="57">
        <v>14932.8</v>
      </c>
      <c r="B76" s="57">
        <v>4</v>
      </c>
      <c r="C76" s="57">
        <v>0</v>
      </c>
      <c r="D76" s="58">
        <v>42746.125</v>
      </c>
    </row>
    <row r="77" spans="1:4">
      <c r="A77" s="57">
        <v>15092.4</v>
      </c>
      <c r="B77" s="57">
        <v>5</v>
      </c>
      <c r="C77" s="57">
        <v>0</v>
      </c>
      <c r="D77" s="58">
        <v>42746.166666666701</v>
      </c>
    </row>
    <row r="78" spans="1:4">
      <c r="A78" s="57">
        <v>15912.5</v>
      </c>
      <c r="B78" s="57">
        <v>6</v>
      </c>
      <c r="C78" s="57">
        <v>0</v>
      </c>
      <c r="D78" s="58">
        <v>42746.208333333299</v>
      </c>
    </row>
    <row r="79" spans="1:4">
      <c r="A79" s="57">
        <v>17673.8</v>
      </c>
      <c r="B79" s="57">
        <v>7</v>
      </c>
      <c r="C79" s="57">
        <v>0</v>
      </c>
      <c r="D79" s="58">
        <v>42746.25</v>
      </c>
    </row>
    <row r="80" spans="1:4">
      <c r="A80" s="57">
        <v>18973.5</v>
      </c>
      <c r="B80" s="57">
        <v>8</v>
      </c>
      <c r="C80" s="57">
        <v>0</v>
      </c>
      <c r="D80" s="58">
        <v>42746.291666666701</v>
      </c>
    </row>
    <row r="81" spans="1:4">
      <c r="A81" s="57">
        <v>19177.5</v>
      </c>
      <c r="B81" s="57">
        <v>9</v>
      </c>
      <c r="C81" s="57">
        <v>0</v>
      </c>
      <c r="D81" s="58">
        <v>42746.333333333299</v>
      </c>
    </row>
    <row r="82" spans="1:4">
      <c r="A82" s="57">
        <v>19168.3</v>
      </c>
      <c r="B82" s="57">
        <v>10</v>
      </c>
      <c r="C82" s="57">
        <v>0</v>
      </c>
      <c r="D82" s="58">
        <v>42746.375</v>
      </c>
    </row>
    <row r="83" spans="1:4">
      <c r="A83" s="57">
        <v>19050</v>
      </c>
      <c r="B83" s="57">
        <v>11</v>
      </c>
      <c r="C83" s="57">
        <v>0</v>
      </c>
      <c r="D83" s="58">
        <v>42746.416666666701</v>
      </c>
    </row>
    <row r="84" spans="1:4">
      <c r="A84" s="57">
        <v>19058.7</v>
      </c>
      <c r="B84" s="57">
        <v>12</v>
      </c>
      <c r="C84" s="57">
        <v>0</v>
      </c>
      <c r="D84" s="58">
        <v>42746.458333333299</v>
      </c>
    </row>
    <row r="85" spans="1:4">
      <c r="A85" s="57">
        <v>18857.3</v>
      </c>
      <c r="B85" s="57">
        <v>13</v>
      </c>
      <c r="C85" s="57">
        <v>0</v>
      </c>
      <c r="D85" s="58">
        <v>42746.5</v>
      </c>
    </row>
    <row r="86" spans="1:4">
      <c r="A86" s="57">
        <v>18816.099999999999</v>
      </c>
      <c r="B86" s="57">
        <v>14</v>
      </c>
      <c r="C86" s="57">
        <v>0</v>
      </c>
      <c r="D86" s="58">
        <v>42746.541666666701</v>
      </c>
    </row>
    <row r="87" spans="1:4">
      <c r="A87" s="57">
        <v>18700.7</v>
      </c>
      <c r="B87" s="57">
        <v>15</v>
      </c>
      <c r="C87" s="57">
        <v>0</v>
      </c>
      <c r="D87" s="58">
        <v>42746.583333333299</v>
      </c>
    </row>
    <row r="88" spans="1:4">
      <c r="A88" s="57">
        <v>18804.100000000009</v>
      </c>
      <c r="B88" s="57">
        <v>16</v>
      </c>
      <c r="C88" s="57">
        <v>0</v>
      </c>
      <c r="D88" s="58">
        <v>42746.625</v>
      </c>
    </row>
    <row r="89" spans="1:4">
      <c r="A89" s="57">
        <v>19507.599999999999</v>
      </c>
      <c r="B89" s="57">
        <v>17</v>
      </c>
      <c r="C89" s="57">
        <v>0</v>
      </c>
      <c r="D89" s="58">
        <v>42746.666666666701</v>
      </c>
    </row>
    <row r="90" spans="1:4">
      <c r="A90" s="57">
        <v>20612</v>
      </c>
      <c r="B90" s="57">
        <v>18</v>
      </c>
      <c r="C90" s="57">
        <v>0</v>
      </c>
      <c r="D90" s="58">
        <v>42746.708333333299</v>
      </c>
    </row>
    <row r="91" spans="1:4">
      <c r="A91" s="57">
        <v>20540.900000000001</v>
      </c>
      <c r="B91" s="57">
        <v>19</v>
      </c>
      <c r="C91" s="57">
        <v>0</v>
      </c>
      <c r="D91" s="58">
        <v>42746.75</v>
      </c>
    </row>
    <row r="92" spans="1:4">
      <c r="A92" s="57">
        <v>20115.7</v>
      </c>
      <c r="B92" s="57">
        <v>20</v>
      </c>
      <c r="C92" s="57">
        <v>0</v>
      </c>
      <c r="D92" s="58">
        <v>42746.791666666701</v>
      </c>
    </row>
    <row r="93" spans="1:4">
      <c r="A93" s="57">
        <v>19469.7</v>
      </c>
      <c r="B93" s="57">
        <v>21</v>
      </c>
      <c r="C93" s="57">
        <v>0</v>
      </c>
      <c r="D93" s="58">
        <v>42746.833333333299</v>
      </c>
    </row>
    <row r="94" spans="1:4">
      <c r="A94" s="57">
        <v>18506.2</v>
      </c>
      <c r="B94" s="57">
        <v>22</v>
      </c>
      <c r="C94" s="57">
        <v>0</v>
      </c>
      <c r="D94" s="58">
        <v>42746.875</v>
      </c>
    </row>
    <row r="95" spans="1:4">
      <c r="A95" s="57">
        <v>17166.400000000001</v>
      </c>
      <c r="B95" s="57">
        <v>23</v>
      </c>
      <c r="C95" s="57">
        <v>0</v>
      </c>
      <c r="D95" s="58">
        <v>42746.916666666701</v>
      </c>
    </row>
    <row r="96" spans="1:4">
      <c r="A96" s="57">
        <v>15828.6</v>
      </c>
      <c r="B96" s="57">
        <v>24</v>
      </c>
      <c r="C96" s="57">
        <v>1</v>
      </c>
      <c r="D96" s="58">
        <v>42746.958333333299</v>
      </c>
    </row>
    <row r="97" spans="1:4">
      <c r="A97" s="57">
        <v>14844.3</v>
      </c>
      <c r="B97" s="57">
        <v>1</v>
      </c>
      <c r="C97" s="57">
        <v>0</v>
      </c>
      <c r="D97" s="58">
        <v>42747</v>
      </c>
    </row>
    <row r="98" spans="1:4">
      <c r="A98" s="57">
        <v>14266.7</v>
      </c>
      <c r="B98" s="57">
        <v>2</v>
      </c>
      <c r="C98" s="57">
        <v>0</v>
      </c>
      <c r="D98" s="58">
        <v>42747.041666666701</v>
      </c>
    </row>
    <row r="99" spans="1:4">
      <c r="A99" s="57">
        <v>13944.8</v>
      </c>
      <c r="B99" s="57">
        <v>3</v>
      </c>
      <c r="C99" s="57">
        <v>0</v>
      </c>
      <c r="D99" s="58">
        <v>42747.083333333299</v>
      </c>
    </row>
    <row r="100" spans="1:4">
      <c r="A100" s="57">
        <v>13839.1</v>
      </c>
      <c r="B100" s="57">
        <v>4</v>
      </c>
      <c r="C100" s="57">
        <v>0</v>
      </c>
      <c r="D100" s="58">
        <v>42747.125</v>
      </c>
    </row>
    <row r="101" spans="1:4">
      <c r="A101" s="57">
        <v>14043.5</v>
      </c>
      <c r="B101" s="57">
        <v>5</v>
      </c>
      <c r="C101" s="57">
        <v>0</v>
      </c>
      <c r="D101" s="58">
        <v>42747.166666666701</v>
      </c>
    </row>
    <row r="102" spans="1:4">
      <c r="A102" s="57">
        <v>14914.7</v>
      </c>
      <c r="B102" s="57">
        <v>6</v>
      </c>
      <c r="C102" s="57">
        <v>0</v>
      </c>
      <c r="D102" s="58">
        <v>42747.208333333299</v>
      </c>
    </row>
    <row r="103" spans="1:4">
      <c r="A103" s="57">
        <v>16732.7</v>
      </c>
      <c r="B103" s="57">
        <v>7</v>
      </c>
      <c r="C103" s="57">
        <v>0</v>
      </c>
      <c r="D103" s="58">
        <v>42747.25</v>
      </c>
    </row>
    <row r="104" spans="1:4">
      <c r="A104" s="57">
        <v>18095</v>
      </c>
      <c r="B104" s="57">
        <v>8</v>
      </c>
      <c r="C104" s="57">
        <v>0</v>
      </c>
      <c r="D104" s="58">
        <v>42747.291666666701</v>
      </c>
    </row>
    <row r="105" spans="1:4">
      <c r="A105" s="57">
        <v>18483.400000000001</v>
      </c>
      <c r="B105" s="57">
        <v>9</v>
      </c>
      <c r="C105" s="57">
        <v>0</v>
      </c>
      <c r="D105" s="58">
        <v>42747.333333333299</v>
      </c>
    </row>
    <row r="106" spans="1:4">
      <c r="A106" s="57">
        <v>18725.3</v>
      </c>
      <c r="B106" s="57">
        <v>10</v>
      </c>
      <c r="C106" s="57">
        <v>0</v>
      </c>
      <c r="D106" s="58">
        <v>42747.375</v>
      </c>
    </row>
    <row r="107" spans="1:4">
      <c r="A107" s="57">
        <v>18752.099999999999</v>
      </c>
      <c r="B107" s="57">
        <v>11</v>
      </c>
      <c r="C107" s="57">
        <v>0</v>
      </c>
      <c r="D107" s="58">
        <v>42747.416666666701</v>
      </c>
    </row>
    <row r="108" spans="1:4">
      <c r="A108" s="57">
        <v>18724</v>
      </c>
      <c r="B108" s="57">
        <v>12</v>
      </c>
      <c r="C108" s="57">
        <v>0</v>
      </c>
      <c r="D108" s="58">
        <v>42747.458333333299</v>
      </c>
    </row>
    <row r="109" spans="1:4">
      <c r="A109" s="57">
        <v>18655.2</v>
      </c>
      <c r="B109" s="57">
        <v>13</v>
      </c>
      <c r="C109" s="57">
        <v>0</v>
      </c>
      <c r="D109" s="58">
        <v>42747.5</v>
      </c>
    </row>
    <row r="110" spans="1:4">
      <c r="A110" s="57">
        <v>18608.900000000001</v>
      </c>
      <c r="B110" s="57">
        <v>14</v>
      </c>
      <c r="C110" s="57">
        <v>0</v>
      </c>
      <c r="D110" s="58">
        <v>42747.541666666701</v>
      </c>
    </row>
    <row r="111" spans="1:4">
      <c r="A111" s="57">
        <v>18552.599999999999</v>
      </c>
      <c r="B111" s="57">
        <v>15</v>
      </c>
      <c r="C111" s="57">
        <v>0</v>
      </c>
      <c r="D111" s="58">
        <v>42747.583333333299</v>
      </c>
    </row>
    <row r="112" spans="1:4">
      <c r="A112" s="57">
        <v>18649.3</v>
      </c>
      <c r="B112" s="57">
        <v>16</v>
      </c>
      <c r="C112" s="57">
        <v>0</v>
      </c>
      <c r="D112" s="58">
        <v>42747.625</v>
      </c>
    </row>
    <row r="113" spans="1:4">
      <c r="A113" s="57">
        <v>19201.099999999999</v>
      </c>
      <c r="B113" s="57">
        <v>17</v>
      </c>
      <c r="C113" s="57">
        <v>0</v>
      </c>
      <c r="D113" s="58">
        <v>42747.666666666701</v>
      </c>
    </row>
    <row r="114" spans="1:4">
      <c r="A114" s="57">
        <v>20079.099999999999</v>
      </c>
      <c r="B114" s="57">
        <v>18</v>
      </c>
      <c r="C114" s="57">
        <v>0</v>
      </c>
      <c r="D114" s="58">
        <v>42747.708333333299</v>
      </c>
    </row>
    <row r="115" spans="1:4">
      <c r="A115" s="57">
        <v>19948.099999999999</v>
      </c>
      <c r="B115" s="57">
        <v>19</v>
      </c>
      <c r="C115" s="57">
        <v>0</v>
      </c>
      <c r="D115" s="58">
        <v>42747.75</v>
      </c>
    </row>
    <row r="116" spans="1:4">
      <c r="A116" s="57">
        <v>19502.099999999999</v>
      </c>
      <c r="B116" s="57">
        <v>20</v>
      </c>
      <c r="C116" s="57">
        <v>0</v>
      </c>
      <c r="D116" s="58">
        <v>42747.791666666701</v>
      </c>
    </row>
    <row r="117" spans="1:4">
      <c r="A117" s="57">
        <v>18878.099999999999</v>
      </c>
      <c r="B117" s="57">
        <v>21</v>
      </c>
      <c r="C117" s="57">
        <v>0</v>
      </c>
      <c r="D117" s="58">
        <v>42747.833333333299</v>
      </c>
    </row>
    <row r="118" spans="1:4">
      <c r="A118" s="57">
        <v>17954.900000000001</v>
      </c>
      <c r="B118" s="57">
        <v>22</v>
      </c>
      <c r="C118" s="57">
        <v>0</v>
      </c>
      <c r="D118" s="58">
        <v>42747.875</v>
      </c>
    </row>
    <row r="119" spans="1:4">
      <c r="A119" s="57">
        <v>16674.599999999999</v>
      </c>
      <c r="B119" s="57">
        <v>23</v>
      </c>
      <c r="C119" s="57">
        <v>0</v>
      </c>
      <c r="D119" s="58">
        <v>42747.916666666701</v>
      </c>
    </row>
    <row r="120" spans="1:4">
      <c r="A120" s="57">
        <v>15368.6</v>
      </c>
      <c r="B120" s="57">
        <v>24</v>
      </c>
      <c r="C120" s="57">
        <v>1</v>
      </c>
      <c r="D120" s="58">
        <v>42747.958333333299</v>
      </c>
    </row>
    <row r="121" spans="1:4">
      <c r="A121" s="57">
        <v>14467.1</v>
      </c>
      <c r="B121" s="57">
        <v>1</v>
      </c>
      <c r="C121" s="57">
        <v>0</v>
      </c>
      <c r="D121" s="58">
        <v>42748</v>
      </c>
    </row>
    <row r="122" spans="1:4">
      <c r="A122" s="57">
        <v>13918.6</v>
      </c>
      <c r="B122" s="57">
        <v>2</v>
      </c>
      <c r="C122" s="57">
        <v>0</v>
      </c>
      <c r="D122" s="58">
        <v>42748.041666666701</v>
      </c>
    </row>
    <row r="123" spans="1:4">
      <c r="A123" s="57">
        <v>13617.6</v>
      </c>
      <c r="B123" s="57">
        <v>3</v>
      </c>
      <c r="C123" s="57">
        <v>0</v>
      </c>
      <c r="D123" s="58">
        <v>42748.083333333299</v>
      </c>
    </row>
    <row r="124" spans="1:4">
      <c r="A124" s="57">
        <v>13568.6</v>
      </c>
      <c r="B124" s="57">
        <v>4</v>
      </c>
      <c r="C124" s="57">
        <v>0</v>
      </c>
      <c r="D124" s="58">
        <v>42748.125</v>
      </c>
    </row>
    <row r="125" spans="1:4">
      <c r="A125" s="57">
        <v>13838.4</v>
      </c>
      <c r="B125" s="57">
        <v>5</v>
      </c>
      <c r="C125" s="57">
        <v>0</v>
      </c>
      <c r="D125" s="58">
        <v>42748.166666666701</v>
      </c>
    </row>
    <row r="126" spans="1:4">
      <c r="A126" s="57">
        <v>14756.2</v>
      </c>
      <c r="B126" s="57">
        <v>6</v>
      </c>
      <c r="C126" s="57">
        <v>0</v>
      </c>
      <c r="D126" s="58">
        <v>42748.208333333299</v>
      </c>
    </row>
    <row r="127" spans="1:4">
      <c r="A127" s="57">
        <v>16650.599999999999</v>
      </c>
      <c r="B127" s="57">
        <v>7</v>
      </c>
      <c r="C127" s="57">
        <v>0</v>
      </c>
      <c r="D127" s="58">
        <v>42748.25</v>
      </c>
    </row>
    <row r="128" spans="1:4">
      <c r="A128" s="57">
        <v>18062.400000000001</v>
      </c>
      <c r="B128" s="57">
        <v>8</v>
      </c>
      <c r="C128" s="57">
        <v>0</v>
      </c>
      <c r="D128" s="58">
        <v>42748.291666666701</v>
      </c>
    </row>
    <row r="129" spans="1:4">
      <c r="A129" s="57">
        <v>18509.3</v>
      </c>
      <c r="B129" s="57">
        <v>9</v>
      </c>
      <c r="C129" s="57">
        <v>0</v>
      </c>
      <c r="D129" s="58">
        <v>42748.333333333299</v>
      </c>
    </row>
    <row r="130" spans="1:4">
      <c r="A130" s="57">
        <v>18750.7</v>
      </c>
      <c r="B130" s="57">
        <v>10</v>
      </c>
      <c r="C130" s="57">
        <v>0</v>
      </c>
      <c r="D130" s="58">
        <v>42748.375</v>
      </c>
    </row>
    <row r="131" spans="1:4">
      <c r="A131" s="57">
        <v>18882.7</v>
      </c>
      <c r="B131" s="57">
        <v>11</v>
      </c>
      <c r="C131" s="57">
        <v>0</v>
      </c>
      <c r="D131" s="58">
        <v>42748.416666666701</v>
      </c>
    </row>
    <row r="132" spans="1:4">
      <c r="A132" s="57">
        <v>18774.900000000001</v>
      </c>
      <c r="B132" s="57">
        <v>12</v>
      </c>
      <c r="C132" s="57">
        <v>0</v>
      </c>
      <c r="D132" s="58">
        <v>42748.458333333299</v>
      </c>
    </row>
    <row r="133" spans="1:4">
      <c r="A133" s="57">
        <v>18610.5</v>
      </c>
      <c r="B133" s="57">
        <v>13</v>
      </c>
      <c r="C133" s="57">
        <v>0</v>
      </c>
      <c r="D133" s="58">
        <v>42748.5</v>
      </c>
    </row>
    <row r="134" spans="1:4">
      <c r="A134" s="57">
        <v>18581.900000000001</v>
      </c>
      <c r="B134" s="57">
        <v>14</v>
      </c>
      <c r="C134" s="57">
        <v>0</v>
      </c>
      <c r="D134" s="58">
        <v>42748.541666666701</v>
      </c>
    </row>
    <row r="135" spans="1:4">
      <c r="A135" s="57">
        <v>18574.2</v>
      </c>
      <c r="B135" s="57">
        <v>15</v>
      </c>
      <c r="C135" s="57">
        <v>0</v>
      </c>
      <c r="D135" s="58">
        <v>42748.583333333299</v>
      </c>
    </row>
    <row r="136" spans="1:4">
      <c r="A136" s="57">
        <v>18827.5</v>
      </c>
      <c r="B136" s="57">
        <v>16</v>
      </c>
      <c r="C136" s="57">
        <v>0</v>
      </c>
      <c r="D136" s="58">
        <v>42748.625</v>
      </c>
    </row>
    <row r="137" spans="1:4">
      <c r="A137" s="57">
        <v>19512</v>
      </c>
      <c r="B137" s="57">
        <v>17</v>
      </c>
      <c r="C137" s="57">
        <v>0</v>
      </c>
      <c r="D137" s="58">
        <v>42748.666666666701</v>
      </c>
    </row>
    <row r="138" spans="1:4">
      <c r="A138" s="57">
        <v>20576.400000000001</v>
      </c>
      <c r="B138" s="57">
        <v>18</v>
      </c>
      <c r="C138" s="57">
        <v>0</v>
      </c>
      <c r="D138" s="58">
        <v>42748.708333333299</v>
      </c>
    </row>
    <row r="139" spans="1:4">
      <c r="A139" s="57">
        <v>20478.7</v>
      </c>
      <c r="B139" s="57">
        <v>19</v>
      </c>
      <c r="C139" s="57">
        <v>0</v>
      </c>
      <c r="D139" s="58">
        <v>42748.75</v>
      </c>
    </row>
    <row r="140" spans="1:4">
      <c r="A140" s="57">
        <v>20038.599999999999</v>
      </c>
      <c r="B140" s="57">
        <v>20</v>
      </c>
      <c r="C140" s="57">
        <v>0</v>
      </c>
      <c r="D140" s="58">
        <v>42748.791666666701</v>
      </c>
    </row>
    <row r="141" spans="1:4">
      <c r="A141" s="57">
        <v>19529.3</v>
      </c>
      <c r="B141" s="57">
        <v>21</v>
      </c>
      <c r="C141" s="57">
        <v>0</v>
      </c>
      <c r="D141" s="58">
        <v>42748.833333333299</v>
      </c>
    </row>
    <row r="142" spans="1:4">
      <c r="A142" s="57">
        <v>18842.599999999999</v>
      </c>
      <c r="B142" s="57">
        <v>22</v>
      </c>
      <c r="C142" s="57">
        <v>0</v>
      </c>
      <c r="D142" s="58">
        <v>42748.875</v>
      </c>
    </row>
    <row r="143" spans="1:4">
      <c r="A143" s="57">
        <v>17851.599999999999</v>
      </c>
      <c r="B143" s="57">
        <v>23</v>
      </c>
      <c r="C143" s="57">
        <v>0</v>
      </c>
      <c r="D143" s="58">
        <v>42748.916666666701</v>
      </c>
    </row>
    <row r="144" spans="1:4">
      <c r="A144" s="57">
        <v>16752.599999999999</v>
      </c>
      <c r="B144" s="57">
        <v>24</v>
      </c>
      <c r="C144" s="57">
        <v>1</v>
      </c>
      <c r="D144" s="58">
        <v>42748.958333333299</v>
      </c>
    </row>
    <row r="145" spans="1:4">
      <c r="A145" s="57">
        <v>15869.3</v>
      </c>
      <c r="B145" s="57">
        <v>1</v>
      </c>
      <c r="C145" s="57">
        <v>0</v>
      </c>
      <c r="D145" s="58">
        <v>42749</v>
      </c>
    </row>
    <row r="146" spans="1:4">
      <c r="A146" s="57">
        <v>15311</v>
      </c>
      <c r="B146" s="57">
        <v>2</v>
      </c>
      <c r="C146" s="57">
        <v>0</v>
      </c>
      <c r="D146" s="58">
        <v>42749.041666666701</v>
      </c>
    </row>
    <row r="147" spans="1:4">
      <c r="A147" s="57">
        <v>14991.2</v>
      </c>
      <c r="B147" s="57">
        <v>3</v>
      </c>
      <c r="C147" s="57">
        <v>0</v>
      </c>
      <c r="D147" s="58">
        <v>42749.083333333299</v>
      </c>
    </row>
    <row r="148" spans="1:4">
      <c r="A148" s="57">
        <v>14869.4</v>
      </c>
      <c r="B148" s="57">
        <v>4</v>
      </c>
      <c r="C148" s="57">
        <v>0</v>
      </c>
      <c r="D148" s="58">
        <v>42749.125</v>
      </c>
    </row>
    <row r="149" spans="1:4">
      <c r="A149" s="57">
        <v>14945.3</v>
      </c>
      <c r="B149" s="57">
        <v>5</v>
      </c>
      <c r="C149" s="57">
        <v>0</v>
      </c>
      <c r="D149" s="58">
        <v>42749.166666666701</v>
      </c>
    </row>
    <row r="150" spans="1:4">
      <c r="A150" s="57">
        <v>15330.9</v>
      </c>
      <c r="B150" s="57">
        <v>6</v>
      </c>
      <c r="C150" s="57">
        <v>0</v>
      </c>
      <c r="D150" s="58">
        <v>42749.208333333299</v>
      </c>
    </row>
    <row r="151" spans="1:4">
      <c r="A151" s="57">
        <v>16055.3</v>
      </c>
      <c r="B151" s="57">
        <v>7</v>
      </c>
      <c r="C151" s="57">
        <v>0</v>
      </c>
      <c r="D151" s="58">
        <v>42749.25</v>
      </c>
    </row>
    <row r="152" spans="1:4">
      <c r="A152" s="57">
        <v>16844.900000000001</v>
      </c>
      <c r="B152" s="57">
        <v>8</v>
      </c>
      <c r="C152" s="57">
        <v>0</v>
      </c>
      <c r="D152" s="58">
        <v>42749.291666666701</v>
      </c>
    </row>
    <row r="153" spans="1:4">
      <c r="A153" s="57">
        <v>17575</v>
      </c>
      <c r="B153" s="57">
        <v>9</v>
      </c>
      <c r="C153" s="57">
        <v>0</v>
      </c>
      <c r="D153" s="58">
        <v>42749.333333333299</v>
      </c>
    </row>
    <row r="154" spans="1:4">
      <c r="A154" s="57">
        <v>18152.400000000001</v>
      </c>
      <c r="B154" s="57">
        <v>10</v>
      </c>
      <c r="C154" s="57">
        <v>0</v>
      </c>
      <c r="D154" s="58">
        <v>42749.375</v>
      </c>
    </row>
    <row r="155" spans="1:4">
      <c r="A155" s="57">
        <v>18456.5</v>
      </c>
      <c r="B155" s="57">
        <v>11</v>
      </c>
      <c r="C155" s="57">
        <v>0</v>
      </c>
      <c r="D155" s="58">
        <v>42749.416666666701</v>
      </c>
    </row>
    <row r="156" spans="1:4">
      <c r="A156" s="57">
        <v>18531.3</v>
      </c>
      <c r="B156" s="57">
        <v>12</v>
      </c>
      <c r="C156" s="57">
        <v>0</v>
      </c>
      <c r="D156" s="58">
        <v>42749.458333333299</v>
      </c>
    </row>
    <row r="157" spans="1:4">
      <c r="A157" s="57">
        <v>18637.3</v>
      </c>
      <c r="B157" s="57">
        <v>13</v>
      </c>
      <c r="C157" s="57">
        <v>0</v>
      </c>
      <c r="D157" s="58">
        <v>42749.5</v>
      </c>
    </row>
    <row r="158" spans="1:4">
      <c r="A158" s="57">
        <v>18622.7</v>
      </c>
      <c r="B158" s="57">
        <v>14</v>
      </c>
      <c r="C158" s="57">
        <v>0</v>
      </c>
      <c r="D158" s="58">
        <v>42749.541666666701</v>
      </c>
    </row>
    <row r="159" spans="1:4">
      <c r="A159" s="57">
        <v>18630.2</v>
      </c>
      <c r="B159" s="57">
        <v>15</v>
      </c>
      <c r="C159" s="57">
        <v>0</v>
      </c>
      <c r="D159" s="58">
        <v>42749.583333333299</v>
      </c>
    </row>
    <row r="160" spans="1:4">
      <c r="A160" s="57">
        <v>18808.5</v>
      </c>
      <c r="B160" s="57">
        <v>16</v>
      </c>
      <c r="C160" s="57">
        <v>0</v>
      </c>
      <c r="D160" s="58">
        <v>42749.625</v>
      </c>
    </row>
    <row r="161" spans="1:4">
      <c r="A161" s="57">
        <v>19317.5</v>
      </c>
      <c r="B161" s="57">
        <v>17</v>
      </c>
      <c r="C161" s="57">
        <v>0</v>
      </c>
      <c r="D161" s="58">
        <v>42749.666666666701</v>
      </c>
    </row>
    <row r="162" spans="1:4">
      <c r="A162" s="57">
        <v>20071.3</v>
      </c>
      <c r="B162" s="57">
        <v>18</v>
      </c>
      <c r="C162" s="57">
        <v>0</v>
      </c>
      <c r="D162" s="58">
        <v>42749.708333333299</v>
      </c>
    </row>
    <row r="163" spans="1:4">
      <c r="A163" s="57">
        <v>20064.3</v>
      </c>
      <c r="B163" s="57">
        <v>19</v>
      </c>
      <c r="C163" s="57">
        <v>0</v>
      </c>
      <c r="D163" s="58">
        <v>42749.75</v>
      </c>
    </row>
    <row r="164" spans="1:4">
      <c r="A164" s="57">
        <v>19664.500000000011</v>
      </c>
      <c r="B164" s="57">
        <v>20</v>
      </c>
      <c r="C164" s="57">
        <v>0</v>
      </c>
      <c r="D164" s="58">
        <v>42749.791666666701</v>
      </c>
    </row>
    <row r="165" spans="1:4">
      <c r="A165" s="57">
        <v>19210</v>
      </c>
      <c r="B165" s="57">
        <v>21</v>
      </c>
      <c r="C165" s="57">
        <v>0</v>
      </c>
      <c r="D165" s="58">
        <v>42749.833333333299</v>
      </c>
    </row>
    <row r="166" spans="1:4">
      <c r="A166" s="57">
        <v>18530.900000000001</v>
      </c>
      <c r="B166" s="57">
        <v>22</v>
      </c>
      <c r="C166" s="57">
        <v>0</v>
      </c>
      <c r="D166" s="58">
        <v>42749.875</v>
      </c>
    </row>
    <row r="167" spans="1:4">
      <c r="A167" s="57">
        <v>17661.099999999999</v>
      </c>
      <c r="B167" s="57">
        <v>23</v>
      </c>
      <c r="C167" s="57">
        <v>0</v>
      </c>
      <c r="D167" s="58">
        <v>42749.916666666701</v>
      </c>
    </row>
    <row r="168" spans="1:4">
      <c r="A168" s="57">
        <v>16728.7</v>
      </c>
      <c r="B168" s="57">
        <v>24</v>
      </c>
      <c r="C168" s="57">
        <v>1</v>
      </c>
      <c r="D168" s="58">
        <v>42749.958333333299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dimension ref="B3:D9"/>
  <sheetViews>
    <sheetView showGridLines="0" workbookViewId="0">
      <selection activeCell="H18" sqref="H18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28"/>
      <c r="C3" s="59" t="s">
        <v>87</v>
      </c>
      <c r="D3" s="59" t="s">
        <v>88</v>
      </c>
    </row>
    <row r="4" spans="2:4">
      <c r="B4" s="37" t="s">
        <v>53</v>
      </c>
      <c r="C4" s="60">
        <v>33.642937136035123</v>
      </c>
      <c r="D4" s="38">
        <v>18121.259748858403</v>
      </c>
    </row>
    <row r="5" spans="2:4">
      <c r="B5" s="37" t="s">
        <v>56</v>
      </c>
      <c r="C5" s="60">
        <v>0</v>
      </c>
      <c r="D5" s="38">
        <v>11830.5</v>
      </c>
    </row>
    <row r="6" spans="2:4">
      <c r="B6" s="37" t="s">
        <v>55</v>
      </c>
      <c r="C6" s="60">
        <v>1188.6803584851809</v>
      </c>
      <c r="D6" s="38">
        <v>31860.9</v>
      </c>
    </row>
    <row r="7" spans="2:4">
      <c r="B7" s="37" t="s">
        <v>54</v>
      </c>
      <c r="C7" s="60">
        <v>33.431224860070749</v>
      </c>
      <c r="D7" s="38">
        <v>3301.5450243005662</v>
      </c>
    </row>
    <row r="8" spans="2:4" ht="11" customHeight="1">
      <c r="B8" s="37"/>
      <c r="C8" s="60"/>
      <c r="D8" s="38"/>
    </row>
    <row r="9" spans="2:4">
      <c r="B9" s="34" t="s">
        <v>89</v>
      </c>
      <c r="C9" s="61">
        <f>365*2*24</f>
        <v>17520</v>
      </c>
      <c r="D9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A920-C6D8-6B43-8229-026A3923D61A}">
  <dimension ref="A3:J9"/>
  <sheetViews>
    <sheetView topLeftCell="A11" workbookViewId="0">
      <selection activeCell="S27" sqref="S27"/>
    </sheetView>
  </sheetViews>
  <sheetFormatPr baseColWidth="10" defaultRowHeight="16"/>
  <sheetData>
    <row r="3" spans="1:10">
      <c r="B3" t="s">
        <v>108</v>
      </c>
      <c r="D3" t="s">
        <v>109</v>
      </c>
    </row>
    <row r="4" spans="1:10">
      <c r="A4" t="s">
        <v>107</v>
      </c>
      <c r="B4" s="113" t="s">
        <v>110</v>
      </c>
      <c r="C4" s="113" t="s">
        <v>111</v>
      </c>
      <c r="D4" s="113" t="s">
        <v>112</v>
      </c>
      <c r="E4" s="113" t="s">
        <v>113</v>
      </c>
    </row>
    <row r="5" spans="1:10">
      <c r="A5">
        <v>0</v>
      </c>
      <c r="B5">
        <f>'2 years-0.3'!C15</f>
        <v>104587743.620995</v>
      </c>
      <c r="C5">
        <f>B5</f>
        <v>104587743.620995</v>
      </c>
      <c r="D5">
        <f>'2yr-0.3-8'!C16</f>
        <v>634840178.06518304</v>
      </c>
      <c r="E5">
        <f>'2 years-0.3'!C16</f>
        <v>634840178.06518304</v>
      </c>
      <c r="G5">
        <f>B5/1000000</f>
        <v>104.587743620995</v>
      </c>
      <c r="H5">
        <f t="shared" ref="H5:J5" si="0">C5/1000000</f>
        <v>104.587743620995</v>
      </c>
      <c r="I5">
        <f t="shared" si="0"/>
        <v>634.84017806518307</v>
      </c>
      <c r="J5">
        <f t="shared" si="0"/>
        <v>634.84017806518307</v>
      </c>
    </row>
    <row r="6" spans="1:10">
      <c r="A6">
        <v>-0.1</v>
      </c>
      <c r="B6">
        <f>'2 years-0.1'!C17</f>
        <v>96729973.084366202</v>
      </c>
      <c r="C6">
        <f>'2yr-0.1-8'!C17</f>
        <v>98079498.091489404</v>
      </c>
      <c r="D6">
        <f>F6-D$5</f>
        <v>146190615.76286197</v>
      </c>
      <c r="E6">
        <f t="shared" ref="E6:E9" si="1">G6-E$5</f>
        <v>-145665622.80819404</v>
      </c>
      <c r="F6">
        <f>'2 years-0.1'!$C$18</f>
        <v>781030793.82804501</v>
      </c>
      <c r="G6">
        <f>'2yr-0.1-8'!$C$18</f>
        <v>489174555.256989</v>
      </c>
    </row>
    <row r="7" spans="1:10">
      <c r="A7">
        <v>-0.3</v>
      </c>
      <c r="B7">
        <f>'2 years-0.3'!C17</f>
        <v>83969966.034816995</v>
      </c>
      <c r="C7">
        <f>'2yr-0.3-8'!C17</f>
        <v>87467310.758715898</v>
      </c>
      <c r="D7">
        <f t="shared" ref="D7:D9" si="2">F7-D$5</f>
        <v>4718706.7987478971</v>
      </c>
      <c r="E7">
        <f t="shared" si="1"/>
        <v>-225282458.08716804</v>
      </c>
      <c r="F7">
        <f>'2 years-0.3'!$C$18</f>
        <v>639558884.86393094</v>
      </c>
      <c r="G7">
        <f>'2yr-0.3-8'!$C$18</f>
        <v>409557719.97801501</v>
      </c>
    </row>
    <row r="8" spans="1:10">
      <c r="A8">
        <v>-0.5</v>
      </c>
      <c r="B8">
        <f>'2 years-0.5'!C17</f>
        <v>74294842.727968201</v>
      </c>
      <c r="C8">
        <f>'2yr-0.5-8'!C17</f>
        <v>79501242.103925005</v>
      </c>
      <c r="D8">
        <f t="shared" si="2"/>
        <v>-56934986.06309104</v>
      </c>
      <c r="E8">
        <f t="shared" si="1"/>
        <v>-249129890.99443305</v>
      </c>
      <c r="F8">
        <f>'2 years-0.5'!$C$18</f>
        <v>577905192.002092</v>
      </c>
      <c r="G8">
        <f>'2yr-0.5-8'!$C$18</f>
        <v>385710287.07075</v>
      </c>
    </row>
    <row r="9" spans="1:10">
      <c r="A9">
        <v>-1</v>
      </c>
      <c r="B9">
        <f>'2 years-1'!C17</f>
        <v>60322182.973327197</v>
      </c>
      <c r="C9">
        <f>'2yr-1-8'!C17</f>
        <v>68816116.059889793</v>
      </c>
      <c r="D9">
        <f t="shared" si="2"/>
        <v>-71890828.717326045</v>
      </c>
      <c r="E9">
        <f t="shared" si="1"/>
        <v>-205283383.44798207</v>
      </c>
      <c r="F9">
        <f>'2 years-1'!$C$18</f>
        <v>562949349.347857</v>
      </c>
      <c r="G9">
        <f>'2yr-1-8'!$C$18</f>
        <v>429556794.61720097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9BC-8D5E-FF4F-B17B-3921AF2087A3}">
  <dimension ref="A2:R35"/>
  <sheetViews>
    <sheetView showGridLines="0" tabSelected="1" topLeftCell="A6" workbookViewId="0">
      <selection activeCell="J15" sqref="J15"/>
    </sheetView>
  </sheetViews>
  <sheetFormatPr baseColWidth="10" defaultRowHeight="16"/>
  <cols>
    <col min="3" max="3" width="11.6640625" customWidth="1"/>
    <col min="4" max="4" width="12.5" customWidth="1"/>
    <col min="6" max="6" width="14.1640625" customWidth="1"/>
    <col min="8" max="8" width="9.33203125" bestFit="1" customWidth="1"/>
    <col min="11" max="11" width="12.1640625" bestFit="1" customWidth="1"/>
  </cols>
  <sheetData>
    <row r="2" spans="1:17">
      <c r="H2" t="s">
        <v>117</v>
      </c>
      <c r="I2" t="s">
        <v>118</v>
      </c>
      <c r="J2" t="s">
        <v>47</v>
      </c>
      <c r="L2" t="s">
        <v>119</v>
      </c>
      <c r="M2">
        <v>36</v>
      </c>
      <c r="O2" t="s">
        <v>120</v>
      </c>
    </row>
    <row r="3" spans="1:17">
      <c r="A3" t="s">
        <v>114</v>
      </c>
      <c r="B3">
        <f>'2 years-0.1'!C24</f>
        <v>70365476.0079166</v>
      </c>
      <c r="L3" t="s">
        <v>121</v>
      </c>
      <c r="Q3">
        <v>1000000</v>
      </c>
    </row>
    <row r="4" spans="1:17">
      <c r="A4" t="s">
        <v>115</v>
      </c>
      <c r="B4" s="134">
        <f>'2 years-0.1'!F28</f>
        <v>39.477237367006772</v>
      </c>
      <c r="E4" t="s">
        <v>116</v>
      </c>
      <c r="H4" s="49">
        <f>Summary!D14</f>
        <v>39764.703681774801</v>
      </c>
      <c r="I4">
        <f>'2 years-0.1'!E3-Imports!B3</f>
        <v>247118994.79208264</v>
      </c>
      <c r="J4">
        <f>('Gas Gen'!G12*0.456)/1000</f>
        <v>0.57266301219512206</v>
      </c>
      <c r="M4" t="s">
        <v>70</v>
      </c>
    </row>
    <row r="5" spans="1:17">
      <c r="A5" t="s">
        <v>115</v>
      </c>
      <c r="B5" s="134">
        <f>Summary!E$6</f>
        <v>53.958281527367298</v>
      </c>
      <c r="C5">
        <v>-0.3</v>
      </c>
      <c r="E5">
        <f>$B$3/($B$4^C5)</f>
        <v>211964756.14400128</v>
      </c>
      <c r="F5">
        <f>E5*(($B$4-(B5-$B$4))^C5)</f>
        <v>80705195.513020396</v>
      </c>
      <c r="H5" s="49">
        <f>Summary!$E$14</f>
        <v>36398.6437666848</v>
      </c>
      <c r="I5">
        <f>'2 years-0.1'!E4-B3</f>
        <v>239257257.86401674</v>
      </c>
      <c r="J5">
        <f>(H5*1000)/I5</f>
        <v>0.15213182702015327</v>
      </c>
      <c r="L5">
        <f>(F5-$B$3)*($J$4-J5)</f>
        <v>4348174.497858041</v>
      </c>
      <c r="M5">
        <f>L5*$M$2</f>
        <v>156534281.92288947</v>
      </c>
      <c r="O5" s="49">
        <f>Summary!$E$17</f>
        <v>862.80309695313508</v>
      </c>
      <c r="Q5" s="135">
        <f>(M5/$Q$3)/O5</f>
        <v>0.1814252666404047</v>
      </c>
    </row>
    <row r="6" spans="1:17">
      <c r="B6" s="134">
        <f>Summary!F$6</f>
        <v>52.413521148302792</v>
      </c>
      <c r="C6">
        <v>-0.3</v>
      </c>
      <c r="E6">
        <f t="shared" ref="E6:E8" si="0">$B$3/($B$4^C6)</f>
        <v>211964756.14400128</v>
      </c>
      <c r="F6">
        <f t="shared" ref="F6:F8" si="1">E6*(($B$4-(B6-$B$4))^C6)</f>
        <v>79266320.521164492</v>
      </c>
      <c r="H6" s="49">
        <f>Summary!$F$14</f>
        <v>31105.510373197201</v>
      </c>
      <c r="I6">
        <f>'2 years-0.3'!E4-B3</f>
        <v>226443495.73874208</v>
      </c>
      <c r="J6">
        <f t="shared" ref="J6:J8" si="2">(H6*1000)/I6</f>
        <v>0.1373654397611182</v>
      </c>
      <c r="L6">
        <f t="shared" ref="L6:L8" si="3">(F6-$B$3)*($J$4-J6)</f>
        <v>3874516.0092293303</v>
      </c>
      <c r="M6">
        <f t="shared" ref="M6:M8" si="4">L6*$M$2</f>
        <v>139482576.3322559</v>
      </c>
      <c r="O6" s="49">
        <f>Summary!$F$17</f>
        <v>1636.713858387548</v>
      </c>
      <c r="Q6" s="135">
        <f t="shared" ref="Q6:Q8" si="5">(M6/$Q$3)/O6</f>
        <v>8.5221112791010911E-2</v>
      </c>
    </row>
    <row r="7" spans="1:17">
      <c r="B7" s="134">
        <f>Summary!G$6</f>
        <v>51.010136794931839</v>
      </c>
      <c r="C7">
        <v>-0.3</v>
      </c>
      <c r="E7">
        <f t="shared" si="0"/>
        <v>211964756.14400128</v>
      </c>
      <c r="F7">
        <f t="shared" si="1"/>
        <v>78050467.444822639</v>
      </c>
      <c r="H7" s="49">
        <f>Summary!$G$14</f>
        <v>27261.7292464411</v>
      </c>
      <c r="I7">
        <f>'2 years-0.5'!E4-B3</f>
        <v>216560815.78633103</v>
      </c>
      <c r="J7">
        <f t="shared" si="2"/>
        <v>0.125884865862986</v>
      </c>
      <c r="L7">
        <f t="shared" si="3"/>
        <v>3433486.2287592194</v>
      </c>
      <c r="M7">
        <f t="shared" si="4"/>
        <v>123605504.23533189</v>
      </c>
      <c r="O7" s="49">
        <f>Summary!$G$17</f>
        <v>2240.2439613379129</v>
      </c>
      <c r="Q7" s="135">
        <f t="shared" si="5"/>
        <v>5.5175019492748695E-2</v>
      </c>
    </row>
    <row r="8" spans="1:17">
      <c r="B8" s="134">
        <f>Summary!H$6</f>
        <v>46.169778718296698</v>
      </c>
      <c r="C8">
        <v>-0.3</v>
      </c>
      <c r="E8">
        <f t="shared" si="0"/>
        <v>211964756.14400128</v>
      </c>
      <c r="F8">
        <f t="shared" si="1"/>
        <v>74398179.299778298</v>
      </c>
      <c r="H8" s="49">
        <f>Summary!$H$14</f>
        <v>22443.6375727255</v>
      </c>
      <c r="I8">
        <f>'2 years-1'!E4-B3</f>
        <v>199542448.23672739</v>
      </c>
      <c r="J8">
        <f t="shared" si="2"/>
        <v>0.11247550469110948</v>
      </c>
      <c r="L8">
        <f t="shared" si="3"/>
        <v>1855799.6763850616</v>
      </c>
      <c r="M8">
        <f t="shared" si="4"/>
        <v>66808788.349862218</v>
      </c>
      <c r="O8" s="49">
        <f>Summary!$H$17</f>
        <v>3332.4102373830938</v>
      </c>
      <c r="Q8" s="135">
        <f t="shared" si="5"/>
        <v>2.0048188425422206E-2</v>
      </c>
    </row>
    <row r="10" spans="1:17">
      <c r="F10" s="21">
        <f>(F5-$B$3)/$B$3</f>
        <v>0.14694307623159555</v>
      </c>
    </row>
    <row r="11" spans="1:17">
      <c r="F11" s="21">
        <f t="shared" ref="F11:F13" si="6">(F6-$B$3)/$B$3</f>
        <v>0.12649448306505431</v>
      </c>
    </row>
    <row r="12" spans="1:17">
      <c r="F12" s="21">
        <f t="shared" si="6"/>
        <v>0.10921536913985241</v>
      </c>
    </row>
    <row r="13" spans="1:17">
      <c r="F13" s="21">
        <f t="shared" si="6"/>
        <v>5.7310822304506133E-2</v>
      </c>
    </row>
    <row r="15" spans="1:17" ht="51">
      <c r="C15" s="158" t="s">
        <v>141</v>
      </c>
      <c r="D15" s="147" t="s">
        <v>128</v>
      </c>
      <c r="E15" s="146" t="s">
        <v>129</v>
      </c>
      <c r="F15" s="146" t="s">
        <v>130</v>
      </c>
      <c r="G15" s="157" t="s">
        <v>124</v>
      </c>
      <c r="H15" s="158"/>
    </row>
    <row r="16" spans="1:17">
      <c r="A16" s="50"/>
      <c r="B16" s="50"/>
      <c r="C16" s="163"/>
      <c r="D16" s="162" t="s">
        <v>127</v>
      </c>
      <c r="E16" s="150" t="s">
        <v>125</v>
      </c>
      <c r="F16" s="151" t="s">
        <v>126</v>
      </c>
      <c r="G16" s="153" t="s">
        <v>125</v>
      </c>
      <c r="H16" s="152" t="s">
        <v>34</v>
      </c>
    </row>
    <row r="17" spans="3:18">
      <c r="C17" s="144" t="s">
        <v>107</v>
      </c>
      <c r="D17" s="145">
        <f>B4</f>
        <v>39.477237367006772</v>
      </c>
      <c r="E17" s="144" t="s">
        <v>97</v>
      </c>
      <c r="F17" s="144" t="s">
        <v>97</v>
      </c>
      <c r="G17" s="154" t="s">
        <v>97</v>
      </c>
      <c r="H17" s="144" t="s">
        <v>97</v>
      </c>
    </row>
    <row r="18" spans="3:18">
      <c r="C18" s="39">
        <v>-0.1</v>
      </c>
      <c r="D18" s="142">
        <f t="shared" ref="D18:D21" si="7">B5</f>
        <v>53.958281527367298</v>
      </c>
      <c r="E18" s="137">
        <f>F10</f>
        <v>0.14694307623159555</v>
      </c>
      <c r="F18" s="53">
        <f>J5</f>
        <v>0.15213182702015327</v>
      </c>
      <c r="G18" s="155">
        <f>Q5</f>
        <v>0.1814252666404047</v>
      </c>
      <c r="H18" s="138">
        <f>G18*O5</f>
        <v>156.53428192288948</v>
      </c>
    </row>
    <row r="19" spans="3:18">
      <c r="C19" s="39">
        <v>-0.3</v>
      </c>
      <c r="D19" s="142">
        <f t="shared" si="7"/>
        <v>52.413521148302792</v>
      </c>
      <c r="E19" s="137">
        <f>F11</f>
        <v>0.12649448306505431</v>
      </c>
      <c r="F19" s="53">
        <f t="shared" ref="F19:F21" si="8">J6</f>
        <v>0.1373654397611182</v>
      </c>
      <c r="G19" s="155">
        <f t="shared" ref="G19:G21" si="9">Q6</f>
        <v>8.5221112791010911E-2</v>
      </c>
      <c r="H19" s="138">
        <f t="shared" ref="H19:H21" si="10">G19*O6</f>
        <v>139.48257633225589</v>
      </c>
    </row>
    <row r="20" spans="3:18">
      <c r="C20" s="39">
        <v>-0.5</v>
      </c>
      <c r="D20" s="142">
        <f t="shared" si="7"/>
        <v>51.010136794931839</v>
      </c>
      <c r="E20" s="137">
        <f>F12</f>
        <v>0.10921536913985241</v>
      </c>
      <c r="F20" s="53">
        <f t="shared" si="8"/>
        <v>0.125884865862986</v>
      </c>
      <c r="G20" s="155">
        <f t="shared" si="9"/>
        <v>5.5175019492748695E-2</v>
      </c>
      <c r="H20" s="138">
        <f t="shared" si="10"/>
        <v>123.60550423533189</v>
      </c>
    </row>
    <row r="21" spans="3:18">
      <c r="C21" s="35">
        <v>-1</v>
      </c>
      <c r="D21" s="143">
        <f t="shared" si="7"/>
        <v>46.169778718296698</v>
      </c>
      <c r="E21" s="140">
        <f>F13</f>
        <v>5.7310822304506133E-2</v>
      </c>
      <c r="F21" s="139">
        <f t="shared" si="8"/>
        <v>0.11247550469110948</v>
      </c>
      <c r="G21" s="156">
        <f t="shared" si="9"/>
        <v>2.0048188425422206E-2</v>
      </c>
      <c r="H21" s="141">
        <f t="shared" si="10"/>
        <v>66.808788349862212</v>
      </c>
    </row>
    <row r="22" spans="3:18">
      <c r="E22" s="136"/>
    </row>
    <row r="23" spans="3:18">
      <c r="E23" s="160" t="s">
        <v>123</v>
      </c>
      <c r="F23" s="161">
        <f>J4</f>
        <v>0.57266301219512206</v>
      </c>
      <c r="G23" s="159" t="str">
        <f>F16</f>
        <v>[CO2 ton/MWh]</v>
      </c>
    </row>
    <row r="24" spans="3:18">
      <c r="E24" s="160"/>
      <c r="F24" s="161"/>
      <c r="G24" s="159"/>
      <c r="L24" t="s">
        <v>24</v>
      </c>
      <c r="O24" t="s">
        <v>131</v>
      </c>
    </row>
    <row r="25" spans="3:18">
      <c r="D25" t="s">
        <v>134</v>
      </c>
      <c r="E25" s="160"/>
      <c r="F25" s="161" t="s">
        <v>135</v>
      </c>
      <c r="G25" s="159"/>
      <c r="J25" t="s">
        <v>139</v>
      </c>
      <c r="K25" t="s">
        <v>138</v>
      </c>
      <c r="L25" t="s">
        <v>140</v>
      </c>
      <c r="M25" t="s">
        <v>134</v>
      </c>
      <c r="N25" t="s">
        <v>138</v>
      </c>
      <c r="O25" t="s">
        <v>140</v>
      </c>
      <c r="P25" t="s">
        <v>134</v>
      </c>
    </row>
    <row r="26" spans="3:18">
      <c r="C26" s="33" t="s">
        <v>24</v>
      </c>
      <c r="D26">
        <v>1624</v>
      </c>
      <c r="E26" t="s">
        <v>132</v>
      </c>
      <c r="F26" s="113">
        <v>0.35</v>
      </c>
      <c r="G26" t="s">
        <v>136</v>
      </c>
      <c r="I26" s="49">
        <f>D26/F26</f>
        <v>4640</v>
      </c>
      <c r="J26" s="49">
        <f>I26*1000</f>
        <v>4640000</v>
      </c>
      <c r="K26">
        <v>1</v>
      </c>
      <c r="L26" s="49">
        <f>$K$26*(24*365)*$D32</f>
        <v>472674.54617973755</v>
      </c>
      <c r="M26" s="49">
        <f>((((((K26-1)*1.1)+2)/2)*(K26-1))+1)*$J$26</f>
        <v>4640000</v>
      </c>
      <c r="N26">
        <v>1</v>
      </c>
      <c r="O26" s="49">
        <f>$N$26*(24*365)*$D32</f>
        <v>472674.54617973755</v>
      </c>
      <c r="P26" s="49">
        <f>((((((N26-1)*1.1)+2)/2)*(N26-1))+1)*$J$27</f>
        <v>7132000</v>
      </c>
      <c r="R26">
        <f>(L26-M26)+(O26-P26)</f>
        <v>-10826650.907640524</v>
      </c>
    </row>
    <row r="27" spans="3:18">
      <c r="C27" s="33" t="s">
        <v>133</v>
      </c>
      <c r="D27">
        <v>1783</v>
      </c>
      <c r="E27" t="s">
        <v>132</v>
      </c>
      <c r="F27" s="113">
        <v>0.25</v>
      </c>
      <c r="G27" t="s">
        <v>137</v>
      </c>
      <c r="I27" s="49">
        <f>D27/F27</f>
        <v>7132</v>
      </c>
      <c r="J27" s="49">
        <f>I27*1000</f>
        <v>7132000</v>
      </c>
      <c r="K27">
        <v>1</v>
      </c>
      <c r="L27" s="49">
        <f>$K$27*(24*365)*$D33</f>
        <v>459142.44525913248</v>
      </c>
      <c r="M27" s="49">
        <f t="shared" ref="M27:M29" si="11">((((((K27-1)*1.1)+2)/2)*(K27-1))+1)*$J$26</f>
        <v>4640000</v>
      </c>
      <c r="N27">
        <v>1</v>
      </c>
      <c r="O27" s="49">
        <f>$N$27*(24*365)*$D33</f>
        <v>459142.44525913248</v>
      </c>
      <c r="P27" s="49">
        <f t="shared" ref="P27:P29" si="12">((((((N27-1)*1.1)+2)/2)*(N27-1))+1)*$J$27</f>
        <v>7132000</v>
      </c>
    </row>
    <row r="28" spans="3:18">
      <c r="K28">
        <v>1</v>
      </c>
      <c r="L28" s="49">
        <f>$K$28*(24*365)*$D34</f>
        <v>446848.79832360288</v>
      </c>
      <c r="M28" s="49">
        <f t="shared" si="11"/>
        <v>4640000</v>
      </c>
      <c r="N28">
        <v>1</v>
      </c>
      <c r="O28" s="49">
        <f>$N$28*(24*365)*$D34</f>
        <v>446848.79832360288</v>
      </c>
      <c r="P28" s="49">
        <f t="shared" si="12"/>
        <v>7132000</v>
      </c>
    </row>
    <row r="29" spans="3:18" ht="34">
      <c r="C29" s="148" t="s">
        <v>122</v>
      </c>
      <c r="D29" s="147" t="s">
        <v>128</v>
      </c>
      <c r="K29">
        <v>1</v>
      </c>
      <c r="L29" s="49">
        <f>$K$29*(24*365)*$D35</f>
        <v>404447.26157227909</v>
      </c>
      <c r="M29" s="49">
        <f t="shared" si="11"/>
        <v>4640000</v>
      </c>
      <c r="N29">
        <v>1</v>
      </c>
      <c r="O29" s="49">
        <f>$N$29*(24*365)*$D35</f>
        <v>404447.26157227909</v>
      </c>
      <c r="P29" s="49">
        <f t="shared" si="12"/>
        <v>7132000</v>
      </c>
    </row>
    <row r="30" spans="3:18">
      <c r="C30" s="149"/>
      <c r="D30" s="162" t="s">
        <v>127</v>
      </c>
    </row>
    <row r="31" spans="3:18">
      <c r="C31" s="144" t="s">
        <v>107</v>
      </c>
      <c r="D31" s="145">
        <f>D17</f>
        <v>39.477237367006772</v>
      </c>
    </row>
    <row r="32" spans="3:18">
      <c r="C32" s="39">
        <v>-0.1</v>
      </c>
      <c r="D32" s="142">
        <f>D18</f>
        <v>53.958281527367298</v>
      </c>
    </row>
    <row r="33" spans="3:4">
      <c r="C33" s="39">
        <v>-0.3</v>
      </c>
      <c r="D33" s="142">
        <f>D19</f>
        <v>52.413521148302792</v>
      </c>
    </row>
    <row r="34" spans="3:4">
      <c r="C34" s="39">
        <v>-0.5</v>
      </c>
      <c r="D34" s="142">
        <f t="shared" ref="D34:D35" si="13">D20</f>
        <v>51.010136794931839</v>
      </c>
    </row>
    <row r="35" spans="3:4">
      <c r="C35" s="35">
        <v>-1</v>
      </c>
      <c r="D35" s="142">
        <f t="shared" si="13"/>
        <v>46.169778718296698</v>
      </c>
    </row>
  </sheetData>
  <mergeCells count="3">
    <mergeCell ref="G15:H15"/>
    <mergeCell ref="C15:C16"/>
    <mergeCell ref="C29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73D-36B3-FC4D-87E7-8C3944305392}">
  <dimension ref="A3:P47"/>
  <sheetViews>
    <sheetView showGridLines="0" workbookViewId="0">
      <selection activeCell="E3" sqref="E3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3966.3914371952415</v>
      </c>
      <c r="E4">
        <f>C5+C9+C13+C17+C24</f>
        <v>309622733.87193334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52490961.826840103</v>
      </c>
      <c r="M5">
        <v>52490961.826840103</v>
      </c>
    </row>
    <row r="6" spans="1:13">
      <c r="A6" t="s">
        <v>3</v>
      </c>
      <c r="C6">
        <v>2770881752.8281999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2770881752.8281999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M8">
        <v>297678734.11507899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406525598.121687</v>
      </c>
      <c r="M10">
        <v>406525598.121687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4345651693.9685802</v>
      </c>
      <c r="M14">
        <v>4345651693.9685802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M16">
        <v>634840178.06518304</v>
      </c>
    </row>
    <row r="17" spans="1:16">
      <c r="A17" t="s">
        <v>14</v>
      </c>
      <c r="C17">
        <v>96729973.084366202</v>
      </c>
      <c r="M17">
        <v>96729973.084366202</v>
      </c>
    </row>
    <row r="18" spans="1:16">
      <c r="A18" t="s">
        <v>15</v>
      </c>
      <c r="C18">
        <v>781030793.82804501</v>
      </c>
      <c r="G18" s="1">
        <f>G19*1000000</f>
        <v>702466729.35444081</v>
      </c>
      <c r="M18">
        <v>781030793.82804501</v>
      </c>
    </row>
    <row r="19" spans="1:16">
      <c r="A19" t="s">
        <v>16</v>
      </c>
      <c r="C19">
        <v>39764703.681774803</v>
      </c>
      <c r="G19" s="24">
        <f>G20-F20</f>
        <v>702.46672935444076</v>
      </c>
      <c r="M19">
        <v>39764703.681774803</v>
      </c>
    </row>
    <row r="20" spans="1:16">
      <c r="A20" t="s">
        <v>17</v>
      </c>
      <c r="C20">
        <v>36398643.7666848</v>
      </c>
      <c r="F20" s="24">
        <f>F37-F30</f>
        <v>6389.8028978332986</v>
      </c>
      <c r="G20" s="24">
        <f>G37-G30-G39</f>
        <v>7092.2696271877394</v>
      </c>
      <c r="M20">
        <v>36398643.7666848</v>
      </c>
    </row>
    <row r="21" spans="1:16">
      <c r="A21" t="s">
        <v>18</v>
      </c>
      <c r="C21">
        <v>12533409814.1101</v>
      </c>
      <c r="M21">
        <v>12533409814.1101</v>
      </c>
    </row>
    <row r="22" spans="1:16">
      <c r="A22" t="s">
        <v>19</v>
      </c>
      <c r="C22">
        <v>16706710641.534901</v>
      </c>
      <c r="G22" s="67">
        <f>G28-F28</f>
        <v>14.481044160360526</v>
      </c>
      <c r="M22">
        <v>16706710641.534901</v>
      </c>
    </row>
    <row r="23" spans="1:16">
      <c r="A23" t="s">
        <v>20</v>
      </c>
      <c r="C23">
        <v>1310351175.6006501</v>
      </c>
      <c r="M23">
        <v>1310351175.6006501</v>
      </c>
    </row>
    <row r="24" spans="1:16">
      <c r="A24" t="s">
        <v>92</v>
      </c>
      <c r="C24">
        <f>M24</f>
        <v>70365476.0079166</v>
      </c>
      <c r="M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2" t="s">
        <v>43</v>
      </c>
    </row>
    <row r="27" spans="1:16" ht="10" customHeight="1">
      <c r="E27" s="4"/>
      <c r="F27" s="7"/>
      <c r="G27" s="7"/>
      <c r="J27" s="124" t="s">
        <v>44</v>
      </c>
      <c r="K27" s="25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53.958281527367298</v>
      </c>
      <c r="H28" s="18" t="s">
        <v>33</v>
      </c>
      <c r="I28" s="18"/>
      <c r="J28" s="124"/>
      <c r="M28" t="s">
        <v>39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24"/>
    </row>
    <row r="30" spans="1:16">
      <c r="E30" s="9" t="s">
        <v>22</v>
      </c>
      <c r="F30" s="43">
        <f>SUM(F31:F34)</f>
        <v>6143.6069162768017</v>
      </c>
      <c r="G30" s="44">
        <f>SUM(G31:G34)</f>
        <v>8304.0898387465113</v>
      </c>
      <c r="H30" s="18"/>
      <c r="I30" s="18"/>
      <c r="J30" s="14">
        <f>(G30-F30)*1000000/E3</f>
        <v>6.805003460565211</v>
      </c>
      <c r="M30" t="s">
        <v>27</v>
      </c>
      <c r="N30" s="49">
        <f>F37-G37</f>
        <v>-4173.3008274248004</v>
      </c>
    </row>
    <row r="31" spans="1:16">
      <c r="E31" s="15" t="s">
        <v>24</v>
      </c>
      <c r="F31" s="45">
        <f>C8/C28</f>
        <v>297.67873411507901</v>
      </c>
      <c r="G31" s="46">
        <f>C10/C28</f>
        <v>406.52559812168698</v>
      </c>
      <c r="H31" s="125" t="s">
        <v>34</v>
      </c>
      <c r="I31" s="18"/>
      <c r="J31" s="16">
        <f>(G31-F31)*1000000/C7</f>
        <v>14.131976548513762</v>
      </c>
      <c r="M31" t="s">
        <v>22</v>
      </c>
      <c r="N31" s="49">
        <f>G30-F30</f>
        <v>2160.4829224697096</v>
      </c>
      <c r="P31">
        <f>G31/F31</f>
        <v>1.3656521327604447</v>
      </c>
    </row>
    <row r="32" spans="1:16">
      <c r="E32" s="15" t="s">
        <v>25</v>
      </c>
      <c r="F32" s="45">
        <f>C12/C28</f>
        <v>3182.10735349166</v>
      </c>
      <c r="G32" s="46">
        <f>C14/C28</f>
        <v>4345.6516939685798</v>
      </c>
      <c r="H32" s="125"/>
      <c r="I32" s="18"/>
      <c r="J32" s="16">
        <f>(G32-F32)*1000000/C11</f>
        <v>14.131976548513764</v>
      </c>
      <c r="M32" t="s">
        <v>29</v>
      </c>
      <c r="N32" s="49">
        <f>G39</f>
        <v>1310.3511756006501</v>
      </c>
      <c r="P32">
        <f>G32/F32</f>
        <v>1.3656521327604447</v>
      </c>
    </row>
    <row r="33" spans="5:16">
      <c r="E33" s="15" t="s">
        <v>23</v>
      </c>
      <c r="F33" s="45">
        <f>C4/C28</f>
        <v>2028.9806506048801</v>
      </c>
      <c r="G33" s="46">
        <f>C6/C28</f>
        <v>2770.8817528281998</v>
      </c>
      <c r="H33" s="125"/>
      <c r="I33" s="18"/>
      <c r="J33" s="16">
        <f>(G33-F33)*1000000/C3</f>
        <v>14.132814871913855</v>
      </c>
      <c r="M33" t="s">
        <v>62</v>
      </c>
      <c r="N33" s="49">
        <f>G40</f>
        <v>1444.091669364336</v>
      </c>
      <c r="P33">
        <f>G33/F33</f>
        <v>1.3656521327604303</v>
      </c>
    </row>
    <row r="34" spans="5:16">
      <c r="E34" s="15" t="s">
        <v>26</v>
      </c>
      <c r="F34" s="45">
        <f>C16/C28</f>
        <v>634.84017806518307</v>
      </c>
      <c r="G34" s="46">
        <f>C18/C28</f>
        <v>781.03079382804503</v>
      </c>
      <c r="H34" s="125"/>
      <c r="I34" s="18"/>
      <c r="J34" s="27">
        <f>(G34-F34)*1000000/C15</f>
        <v>1.397779612615293</v>
      </c>
      <c r="N34" s="49"/>
      <c r="P34">
        <f>G34/F34</f>
        <v>1.2302794007279287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121.17815694323986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16706.710641534901</v>
      </c>
      <c r="H37" s="3" t="s">
        <v>34</v>
      </c>
      <c r="I37" s="3"/>
      <c r="J37" s="13"/>
      <c r="M37" t="s">
        <v>90</v>
      </c>
      <c r="N37" s="49">
        <f>SUM(N30:N35)</f>
        <v>862.80309695313508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1310.3511756006501</v>
      </c>
      <c r="H39" s="3" t="s">
        <v>34</v>
      </c>
      <c r="I39" s="3"/>
      <c r="J39" s="13"/>
    </row>
    <row r="40" spans="5:16">
      <c r="E40" s="9" t="s">
        <v>61</v>
      </c>
      <c r="F40" s="43"/>
      <c r="G40" s="44">
        <f>17.5394*C11/C28</f>
        <v>1444.091669364336</v>
      </c>
      <c r="H40" s="3"/>
      <c r="I40" s="3"/>
      <c r="J40" s="13"/>
      <c r="N40" s="21">
        <f>N37/G37</f>
        <v>5.1644103705735009E-2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36398.6437666848</v>
      </c>
      <c r="H42" s="18" t="s">
        <v>37</v>
      </c>
      <c r="I42" s="18"/>
      <c r="N42" s="21">
        <f>(G37-F37)/F37</f>
        <v>0.3329740979766338</v>
      </c>
    </row>
    <row r="43" spans="5:16">
      <c r="E43" s="9" t="s">
        <v>36</v>
      </c>
      <c r="F43" s="43">
        <f>F42*36/C29</f>
        <v>1431.5293325438927</v>
      </c>
      <c r="G43" s="44">
        <f>G42*36/C29</f>
        <v>1310.3511756006528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158.74223539999963</v>
      </c>
      <c r="G45" s="44">
        <f>E4/(2*C28)</f>
        <v>154.81136693596667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dimension ref="A3:P50"/>
  <sheetViews>
    <sheetView showGridLines="0" workbookViewId="0">
      <selection activeCell="E11" sqref="E11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57721.467162594199</v>
      </c>
      <c r="E4">
        <f>C5+C9+C13+C17+C24</f>
        <v>296808971.74665868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52437206.751114704</v>
      </c>
      <c r="M5">
        <v>52437206.751114704</v>
      </c>
    </row>
    <row r="6" spans="1:13">
      <c r="A6" t="s">
        <v>3</v>
      </c>
      <c r="C6">
        <v>2684501986.4249802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2684501986.4249802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E8">
        <f>E3</f>
        <v>317484470.79999924</v>
      </c>
      <c r="M8">
        <v>297678734.11507899</v>
      </c>
    </row>
    <row r="9" spans="1:13">
      <c r="A9" t="s">
        <v>6</v>
      </c>
      <c r="C9">
        <v>7702168.4569703899</v>
      </c>
      <c r="E9">
        <f>E8-C15</f>
        <v>212896727.17900425</v>
      </c>
      <c r="M9">
        <v>7702168.4569703899</v>
      </c>
    </row>
    <row r="10" spans="1:13">
      <c r="A10" t="s">
        <v>7</v>
      </c>
      <c r="C10">
        <v>393852525.31133801</v>
      </c>
      <c r="E10">
        <f>1-(E9/E8)</f>
        <v>0.32942632865618326</v>
      </c>
      <c r="M10">
        <v>393852525.31133801</v>
      </c>
    </row>
    <row r="11" spans="1:13">
      <c r="A11" t="s">
        <v>8</v>
      </c>
      <c r="C11">
        <v>82334154.495839998</v>
      </c>
      <c r="E11" s="20">
        <f>C24/E8</f>
        <v>0.22163438681145337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4210179879.6952801</v>
      </c>
      <c r="M14">
        <v>4210179879.6952801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D16">
        <f>C15-C17</f>
        <v>20617777.586178005</v>
      </c>
      <c r="M16">
        <v>634840178.06518304</v>
      </c>
    </row>
    <row r="17" spans="1:16">
      <c r="A17" t="s">
        <v>14</v>
      </c>
      <c r="C17">
        <v>83969966.034816995</v>
      </c>
      <c r="M17">
        <v>83969966.034816995</v>
      </c>
    </row>
    <row r="18" spans="1:16">
      <c r="A18" t="s">
        <v>15</v>
      </c>
      <c r="C18">
        <v>639558884.86393094</v>
      </c>
      <c r="G18" s="1">
        <f>G19*1000000</f>
        <v>119108770.08558145</v>
      </c>
      <c r="M18">
        <v>639558884.86393094</v>
      </c>
    </row>
    <row r="19" spans="1:16">
      <c r="A19" t="s">
        <v>16</v>
      </c>
      <c r="C19">
        <v>39764703.681774803</v>
      </c>
      <c r="G19" s="24">
        <f>G20-F20</f>
        <v>119.10877008558145</v>
      </c>
      <c r="M19">
        <v>39764703.681774803</v>
      </c>
    </row>
    <row r="20" spans="1:16">
      <c r="A20" t="s">
        <v>17</v>
      </c>
      <c r="C20">
        <v>31105510.373197202</v>
      </c>
      <c r="F20" s="24">
        <f>F37-F30</f>
        <v>6389.8028978332986</v>
      </c>
      <c r="G20" s="24">
        <f>G37-G30-G39</f>
        <v>6508.9116679188801</v>
      </c>
      <c r="M20">
        <v>31105510.373197202</v>
      </c>
    </row>
    <row r="21" spans="1:16">
      <c r="A21" t="s">
        <v>18</v>
      </c>
      <c r="C21">
        <v>12533409814.1101</v>
      </c>
      <c r="M21">
        <v>12533409814.1101</v>
      </c>
    </row>
    <row r="22" spans="1:16">
      <c r="A22" t="s">
        <v>19</v>
      </c>
      <c r="C22">
        <v>15556803317.6495</v>
      </c>
      <c r="G22" s="67">
        <f>G28-F28</f>
        <v>12.936283781296019</v>
      </c>
      <c r="M22">
        <v>15556803317.6495</v>
      </c>
    </row>
    <row r="23" spans="1:16">
      <c r="A23" t="s">
        <v>20</v>
      </c>
      <c r="C23">
        <v>1119798373.4350901</v>
      </c>
      <c r="M23">
        <v>1119798373.4350901</v>
      </c>
    </row>
    <row r="24" spans="1:16">
      <c r="A24" t="s">
        <v>92</v>
      </c>
      <c r="C24">
        <f>M24</f>
        <v>70365476.0079166</v>
      </c>
      <c r="M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8"/>
      <c r="I26" s="8"/>
      <c r="J26" s="62" t="s">
        <v>43</v>
      </c>
    </row>
    <row r="27" spans="1:16" ht="10" customHeight="1">
      <c r="E27" s="4"/>
      <c r="F27" s="7"/>
      <c r="G27" s="7"/>
      <c r="J27" s="124" t="s">
        <v>44</v>
      </c>
      <c r="K27" s="8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52.413521148302792</v>
      </c>
      <c r="H28" s="12" t="s">
        <v>33</v>
      </c>
      <c r="I28" s="12"/>
      <c r="J28" s="124"/>
      <c r="M28" t="s">
        <v>39</v>
      </c>
    </row>
    <row r="29" spans="1:16" ht="10" customHeight="1">
      <c r="C29">
        <v>1000</v>
      </c>
      <c r="E29" s="4"/>
      <c r="F29" s="13"/>
      <c r="G29" s="13"/>
      <c r="H29" s="12"/>
      <c r="I29" s="12"/>
      <c r="J29" s="124"/>
    </row>
    <row r="30" spans="1:16">
      <c r="E30" s="9" t="s">
        <v>22</v>
      </c>
      <c r="F30" s="43">
        <f>SUM(F31:F34)</f>
        <v>6143.6069162768017</v>
      </c>
      <c r="G30" s="44">
        <f>SUM(G31:G34)</f>
        <v>7928.093276295529</v>
      </c>
      <c r="H30" s="12"/>
      <c r="I30" s="12"/>
      <c r="J30" s="10">
        <f>(G30-F30)*1000000/E3</f>
        <v>5.6207043938941901</v>
      </c>
      <c r="M30" t="s">
        <v>27</v>
      </c>
      <c r="N30" s="49">
        <f>F37-G37</f>
        <v>-3023.3935035393988</v>
      </c>
    </row>
    <row r="31" spans="1:16">
      <c r="E31" s="15" t="s">
        <v>24</v>
      </c>
      <c r="F31" s="45">
        <f>C8/C28</f>
        <v>297.67873411507901</v>
      </c>
      <c r="G31" s="46">
        <f>C10/C28</f>
        <v>393.85252531133801</v>
      </c>
      <c r="H31" s="125" t="s">
        <v>34</v>
      </c>
      <c r="I31" s="12"/>
      <c r="J31" s="97">
        <f>(G31-F31)*1000000/C7</f>
        <v>12.486586307940673</v>
      </c>
      <c r="M31" t="s">
        <v>22</v>
      </c>
      <c r="N31" s="49">
        <f>G30-F30</f>
        <v>1784.4863600187273</v>
      </c>
      <c r="P31">
        <f>G31/F31</f>
        <v>1.3230791459865567</v>
      </c>
    </row>
    <row r="32" spans="1:16">
      <c r="E32" s="15" t="s">
        <v>25</v>
      </c>
      <c r="F32" s="45">
        <f>C12/C28</f>
        <v>3182.10735349166</v>
      </c>
      <c r="G32" s="46">
        <f>C14/C28</f>
        <v>4210.1798796952799</v>
      </c>
      <c r="H32" s="125"/>
      <c r="I32" s="12"/>
      <c r="J32" s="97">
        <f>(G32-F32)*1000000/C11</f>
        <v>12.486586307940577</v>
      </c>
      <c r="M32" t="s">
        <v>29</v>
      </c>
      <c r="N32" s="49">
        <f>G39</f>
        <v>1119.7983734350901</v>
      </c>
      <c r="P32">
        <f>G32/F32</f>
        <v>1.3230791459865543</v>
      </c>
    </row>
    <row r="33" spans="5:16">
      <c r="E33" s="15" t="s">
        <v>23</v>
      </c>
      <c r="F33" s="45">
        <f>C4/C28</f>
        <v>2028.9806506048801</v>
      </c>
      <c r="G33" s="46">
        <f>C6/C28</f>
        <v>2684.5019864249803</v>
      </c>
      <c r="H33" s="125"/>
      <c r="I33" s="12"/>
      <c r="J33" s="97">
        <f>(G33-F33)*1000000/C3</f>
        <v>12.487327025087074</v>
      </c>
      <c r="M33" t="s">
        <v>96</v>
      </c>
      <c r="N33" s="49">
        <f>G40</f>
        <v>1444.091669364336</v>
      </c>
      <c r="P33">
        <f>G33/F33</f>
        <v>1.3230791459862745</v>
      </c>
    </row>
    <row r="34" spans="5:16">
      <c r="E34" s="15" t="s">
        <v>26</v>
      </c>
      <c r="F34" s="45">
        <f>C16/C28</f>
        <v>634.84017806518307</v>
      </c>
      <c r="G34" s="46">
        <f>C18/C28</f>
        <v>639.55888486393098</v>
      </c>
      <c r="H34" s="125"/>
      <c r="I34" s="12"/>
      <c r="J34" s="96">
        <f>(G34-F34)*1000000/C15</f>
        <v>4.5117206236397672E-2</v>
      </c>
      <c r="N34" s="49"/>
      <c r="P34">
        <f>G34/F34</f>
        <v>1.007432905102398</v>
      </c>
    </row>
    <row r="35" spans="5:16" ht="10" customHeight="1">
      <c r="E35" s="4"/>
      <c r="F35" s="47"/>
      <c r="G35" s="47"/>
      <c r="H35" s="12"/>
      <c r="I35" s="12"/>
      <c r="J35" s="13"/>
      <c r="M35" t="s">
        <v>35</v>
      </c>
      <c r="N35" s="49">
        <f>F43-G43</f>
        <v>311.73095910879351</v>
      </c>
    </row>
    <row r="36" spans="5:16" ht="10" customHeight="1">
      <c r="E36" s="4"/>
      <c r="F36" s="47"/>
      <c r="G36" s="47"/>
      <c r="H36" s="12"/>
      <c r="I36" s="12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15556.803317649499</v>
      </c>
      <c r="H37" s="3" t="s">
        <v>34</v>
      </c>
      <c r="I37" s="3"/>
      <c r="M37" t="s">
        <v>90</v>
      </c>
      <c r="N37" s="49">
        <f>SUM(N30:N35)</f>
        <v>1636.713858387548</v>
      </c>
    </row>
    <row r="38" spans="5:16" ht="10" customHeight="1">
      <c r="E38" s="4"/>
      <c r="F38" s="47"/>
      <c r="G38" s="47"/>
      <c r="H38" s="12"/>
      <c r="I38" s="12"/>
    </row>
    <row r="39" spans="5:16">
      <c r="E39" s="4" t="s">
        <v>29</v>
      </c>
      <c r="F39" s="47"/>
      <c r="G39" s="48">
        <f>C23/C28</f>
        <v>1119.7983734350901</v>
      </c>
      <c r="H39" s="3" t="s">
        <v>34</v>
      </c>
      <c r="I39" s="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N40" s="21">
        <f>N37/G37</f>
        <v>0.10520888031866187</v>
      </c>
    </row>
    <row r="41" spans="5:16" ht="10" customHeight="1">
      <c r="E41" s="4"/>
      <c r="F41" s="47"/>
      <c r="G41" s="47"/>
      <c r="H41" s="12"/>
      <c r="I41" s="12"/>
    </row>
    <row r="42" spans="5:16">
      <c r="E42" s="4" t="s">
        <v>30</v>
      </c>
      <c r="F42" s="47">
        <f>C19/C29</f>
        <v>39764.703681774801</v>
      </c>
      <c r="G42" s="48">
        <f>C20/C29</f>
        <v>31105.510373197201</v>
      </c>
      <c r="H42" s="12" t="s">
        <v>37</v>
      </c>
      <c r="I42" s="12"/>
      <c r="N42" s="21">
        <f>(G37-F37)/F37</f>
        <v>0.24122673305836256</v>
      </c>
    </row>
    <row r="43" spans="5:16">
      <c r="E43" s="9" t="s">
        <v>36</v>
      </c>
      <c r="F43" s="43">
        <f>F42*36/C29</f>
        <v>1431.5293325438927</v>
      </c>
      <c r="G43" s="44">
        <f>G42*36/C29</f>
        <v>1119.7983734350992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158.74223539999963</v>
      </c>
      <c r="G45" s="44">
        <f>E4/(2*C28)</f>
        <v>148.40448587332935</v>
      </c>
      <c r="H45" s="3" t="s">
        <v>94</v>
      </c>
      <c r="I45" s="2"/>
      <c r="J45" s="17"/>
      <c r="N45" s="111">
        <f>(G28-F28)/F28</f>
        <v>0.32768969269636788</v>
      </c>
    </row>
    <row r="46" spans="5:16">
      <c r="H46" s="2"/>
      <c r="I46" s="2"/>
      <c r="N46" s="13"/>
    </row>
    <row r="47" spans="5:16">
      <c r="H47" s="2"/>
      <c r="I47" s="2"/>
      <c r="N47" s="13"/>
    </row>
    <row r="48" spans="5:16">
      <c r="N48" s="13"/>
    </row>
    <row r="49" spans="14:14">
      <c r="N49" s="26"/>
    </row>
    <row r="50" spans="14:14">
      <c r="N50" s="112">
        <f>(F42-G42)/F42</f>
        <v>0.21776079052102515</v>
      </c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9377-AABF-0142-9064-1C1BB7A645F0}">
  <dimension ref="A3:P47"/>
  <sheetViews>
    <sheetView showGridLines="0" workbookViewId="0">
      <selection activeCell="F23" sqref="F23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265278.11272490025</v>
      </c>
      <c r="E4">
        <f>C5+C9+C13+C17+C24</f>
        <v>286926291.79424763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52229650.105552398</v>
      </c>
      <c r="M5">
        <v>52229650.105552398</v>
      </c>
    </row>
    <row r="6" spans="1:13">
      <c r="A6" t="s">
        <v>3</v>
      </c>
      <c r="C6">
        <v>2590407614.7005701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2590407614.7005701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M8">
        <v>297678734.11507899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380047616.20424098</v>
      </c>
      <c r="M10">
        <v>380047616.20424098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4062609033.17658</v>
      </c>
      <c r="M14">
        <v>4062609033.17658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D16">
        <f>C15-C17</f>
        <v>30292900.893026799</v>
      </c>
      <c r="M16">
        <v>634840178.06518304</v>
      </c>
    </row>
    <row r="17" spans="1:16">
      <c r="A17" t="s">
        <v>14</v>
      </c>
      <c r="C17">
        <v>74294842.727968201</v>
      </c>
      <c r="M17">
        <v>74294842.727968201</v>
      </c>
    </row>
    <row r="18" spans="1:16">
      <c r="A18" t="s">
        <v>15</v>
      </c>
      <c r="C18">
        <v>577905192.002092</v>
      </c>
      <c r="G18" s="1">
        <f>G19*1000000</f>
        <v>-346045212.30156386</v>
      </c>
      <c r="M18">
        <v>577905192.002092</v>
      </c>
    </row>
    <row r="19" spans="1:16">
      <c r="A19" t="s">
        <v>16</v>
      </c>
      <c r="C19">
        <v>39764703.681774803</v>
      </c>
      <c r="G19" s="24">
        <f>G20-F20</f>
        <v>-346.04521230156388</v>
      </c>
      <c r="M19">
        <v>39764703.681774803</v>
      </c>
    </row>
    <row r="20" spans="1:16">
      <c r="A20" t="s">
        <v>17</v>
      </c>
      <c r="C20">
        <v>27261729.2464411</v>
      </c>
      <c r="F20" s="24">
        <f>F37-F30</f>
        <v>6389.8028978332986</v>
      </c>
      <c r="G20" s="24">
        <f>G37-G30-G39</f>
        <v>6043.7576855317348</v>
      </c>
      <c r="M20">
        <v>27261729.2464411</v>
      </c>
    </row>
    <row r="21" spans="1:16">
      <c r="A21" t="s">
        <v>18</v>
      </c>
      <c r="C21">
        <v>12533409814.1101</v>
      </c>
      <c r="M21">
        <v>12533409814.1101</v>
      </c>
    </row>
    <row r="22" spans="1:16">
      <c r="A22" t="s">
        <v>19</v>
      </c>
      <c r="C22">
        <v>14636149394.487101</v>
      </c>
      <c r="G22" s="67">
        <f>G28-F28</f>
        <v>11.532899427925067</v>
      </c>
      <c r="M22">
        <v>14636149394.487101</v>
      </c>
    </row>
    <row r="23" spans="1:16">
      <c r="A23" t="s">
        <v>20</v>
      </c>
      <c r="C23">
        <v>981422252.87188196</v>
      </c>
      <c r="M23">
        <v>981422252.87188196</v>
      </c>
    </row>
    <row r="24" spans="1:16">
      <c r="A24" t="s">
        <v>92</v>
      </c>
      <c r="C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2" t="s">
        <v>43</v>
      </c>
    </row>
    <row r="27" spans="1:16" ht="10" customHeight="1">
      <c r="E27" s="4"/>
      <c r="F27" s="7"/>
      <c r="G27" s="7"/>
      <c r="J27" s="124" t="s">
        <v>44</v>
      </c>
      <c r="K27" s="25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51.010136794931839</v>
      </c>
      <c r="H28" s="18" t="s">
        <v>33</v>
      </c>
      <c r="I28" s="18"/>
      <c r="J28" s="124"/>
      <c r="M28" t="s">
        <v>39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24"/>
    </row>
    <row r="30" spans="1:16">
      <c r="E30" s="9" t="s">
        <v>22</v>
      </c>
      <c r="F30" s="43">
        <f>SUM(F31:F34)</f>
        <v>6143.6069162768017</v>
      </c>
      <c r="G30" s="44">
        <f>SUM(G31:G34)</f>
        <v>7610.9694560834832</v>
      </c>
      <c r="H30" s="18"/>
      <c r="I30" s="18"/>
      <c r="J30" s="10">
        <f>(G30-F30)*1000000/E3</f>
        <v>4.6218403568187538</v>
      </c>
      <c r="M30" t="s">
        <v>27</v>
      </c>
      <c r="N30" s="49">
        <f>F37-G37</f>
        <v>-2102.7395803769996</v>
      </c>
    </row>
    <row r="31" spans="1:16">
      <c r="E31" s="15" t="s">
        <v>24</v>
      </c>
      <c r="F31" s="45">
        <f>C8/C28</f>
        <v>297.67873411507901</v>
      </c>
      <c r="G31" s="46">
        <f>C10/C28</f>
        <v>380.04761620424097</v>
      </c>
      <c r="H31" s="125" t="s">
        <v>34</v>
      </c>
      <c r="I31" s="18"/>
      <c r="J31" s="97">
        <f>(G31-F31)*1000000/C7</f>
        <v>10.694245724347784</v>
      </c>
      <c r="M31" t="s">
        <v>22</v>
      </c>
      <c r="N31" s="49">
        <f>G30-F30</f>
        <v>1467.3625398066815</v>
      </c>
      <c r="P31">
        <f>G31/F31</f>
        <v>1.2767039517754706</v>
      </c>
    </row>
    <row r="32" spans="1:16">
      <c r="E32" s="15" t="s">
        <v>25</v>
      </c>
      <c r="F32" s="45">
        <f>C12/C28</f>
        <v>3182.10735349166</v>
      </c>
      <c r="G32" s="46">
        <f>C14/C28</f>
        <v>4062.6090331765799</v>
      </c>
      <c r="H32" s="125"/>
      <c r="I32" s="18"/>
      <c r="J32" s="97">
        <f>(G32-F32)*1000000/C11</f>
        <v>10.6942457243477</v>
      </c>
      <c r="M32" t="s">
        <v>29</v>
      </c>
      <c r="N32" s="49">
        <f>G39</f>
        <v>981.42225287188194</v>
      </c>
      <c r="P32">
        <f>G32/F32</f>
        <v>1.2767039517754686</v>
      </c>
    </row>
    <row r="33" spans="5:16">
      <c r="E33" s="15" t="s">
        <v>23</v>
      </c>
      <c r="F33" s="45">
        <f>C4/C28</f>
        <v>2028.9806506048801</v>
      </c>
      <c r="G33" s="46">
        <f>C6/C28</f>
        <v>2590.4076147005703</v>
      </c>
      <c r="H33" s="125"/>
      <c r="I33" s="18"/>
      <c r="J33" s="97">
        <f>(G33-F33)*1000000/C3</f>
        <v>10.694880117965695</v>
      </c>
      <c r="M33" t="s">
        <v>96</v>
      </c>
      <c r="N33" s="49">
        <f>G40</f>
        <v>1444.091669364336</v>
      </c>
      <c r="P33">
        <f>G33/F33</f>
        <v>1.2767039517741667</v>
      </c>
    </row>
    <row r="34" spans="5:16">
      <c r="E34" s="15" t="s">
        <v>26</v>
      </c>
      <c r="F34" s="45">
        <f>C16/C28</f>
        <v>634.84017806518307</v>
      </c>
      <c r="G34" s="46">
        <f>C18/C28</f>
        <v>577.90519200209201</v>
      </c>
      <c r="H34" s="125"/>
      <c r="I34" s="18"/>
      <c r="J34" s="96">
        <f>(G34-F34)*1000000/C15</f>
        <v>-0.54437531676189543</v>
      </c>
      <c r="N34" s="49"/>
      <c r="P34">
        <f>G34/F34</f>
        <v>0.91031603223883351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450.10707967201301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14636.1493944871</v>
      </c>
      <c r="H37" s="3" t="s">
        <v>34</v>
      </c>
      <c r="I37" s="3"/>
      <c r="J37" s="13"/>
      <c r="M37" t="s">
        <v>90</v>
      </c>
      <c r="N37" s="49">
        <f>SUM(N30:N35)</f>
        <v>2240.2439613379129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981.42225287188194</v>
      </c>
      <c r="H39" s="3" t="s">
        <v>34</v>
      </c>
      <c r="I39" s="3"/>
      <c r="J39" s="1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J40" s="13"/>
      <c r="N40" s="21">
        <f>N37/G37</f>
        <v>0.15306238689950313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27261.7292464411</v>
      </c>
      <c r="H42" s="18" t="s">
        <v>37</v>
      </c>
      <c r="I42" s="18"/>
      <c r="N42" s="21">
        <f>(G37-F37)/F37</f>
        <v>0.16777075126114024</v>
      </c>
    </row>
    <row r="43" spans="5:16">
      <c r="E43" s="9" t="s">
        <v>36</v>
      </c>
      <c r="F43" s="43">
        <f>F42*36/C29</f>
        <v>1431.5293325438927</v>
      </c>
      <c r="G43" s="44">
        <f>G42*36/C29</f>
        <v>981.42225287187966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158.74223539999963</v>
      </c>
      <c r="G45" s="44">
        <f>E4/(2*C28)</f>
        <v>143.46314589712381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D1E-6167-E04B-98DD-A22D888D6537}">
  <dimension ref="A3:P47"/>
  <sheetViews>
    <sheetView showGridLines="0" workbookViewId="0">
      <selection activeCell="L28" sqref="L28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3" spans="1:15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  <c r="O3" s="115"/>
    </row>
    <row r="4" spans="1:15">
      <c r="A4" t="s">
        <v>1</v>
      </c>
      <c r="C4">
        <v>2028980650.6048801</v>
      </c>
      <c r="D4">
        <f>C3-C5</f>
        <v>3310985.9076875001</v>
      </c>
      <c r="E4">
        <f>C5+C9+C13+C17+C24</f>
        <v>269907924.24464399</v>
      </c>
      <c r="G4" s="1">
        <f>F42/2</f>
        <v>19882.351840887401</v>
      </c>
      <c r="M4">
        <v>2028980650.6048801</v>
      </c>
      <c r="O4" s="115"/>
    </row>
    <row r="5" spans="1:15">
      <c r="A5" t="s">
        <v>2</v>
      </c>
      <c r="C5">
        <v>49183942.310589798</v>
      </c>
      <c r="M5">
        <v>49183942.310589798</v>
      </c>
      <c r="O5" s="115"/>
    </row>
    <row r="6" spans="1:15">
      <c r="A6" t="s">
        <v>3</v>
      </c>
      <c r="C6">
        <v>2197250410.3793702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2197250410.3793702</v>
      </c>
      <c r="O6" s="115"/>
    </row>
    <row r="7" spans="1:15">
      <c r="A7" t="s">
        <v>4</v>
      </c>
      <c r="C7">
        <v>7702168.4569703899</v>
      </c>
      <c r="J7" s="21">
        <f>J6/H6</f>
        <v>-0.36090965768927602</v>
      </c>
      <c r="M7">
        <v>7702168.4569703899</v>
      </c>
      <c r="O7" s="115"/>
    </row>
    <row r="8" spans="1:15">
      <c r="A8" t="s">
        <v>5</v>
      </c>
      <c r="C8">
        <v>297678734.11507899</v>
      </c>
      <c r="D8">
        <f>C7-C9</f>
        <v>0</v>
      </c>
      <c r="M8">
        <v>297678734.11507899</v>
      </c>
      <c r="O8" s="115"/>
    </row>
    <row r="9" spans="1:15">
      <c r="A9" t="s">
        <v>6</v>
      </c>
      <c r="C9">
        <v>7702168.4569703899</v>
      </c>
      <c r="M9">
        <v>7702168.4569703899</v>
      </c>
      <c r="O9" s="115"/>
    </row>
    <row r="10" spans="1:15">
      <c r="A10" t="s">
        <v>7</v>
      </c>
      <c r="C10">
        <v>322366169.68743998</v>
      </c>
      <c r="M10">
        <v>322366169.68743998</v>
      </c>
      <c r="O10" s="115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  <c r="O11" s="115"/>
    </row>
    <row r="12" spans="1:15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  <c r="O12" s="115"/>
    </row>
    <row r="13" spans="1:15">
      <c r="A13" t="s">
        <v>10</v>
      </c>
      <c r="C13">
        <v>82334154.495839998</v>
      </c>
      <c r="M13">
        <v>82334154.495839998</v>
      </c>
      <c r="O13" s="115"/>
    </row>
    <row r="14" spans="1:15">
      <c r="A14" t="s">
        <v>11</v>
      </c>
      <c r="C14">
        <v>3446009544.9169002</v>
      </c>
      <c r="M14">
        <v>3446009544.9169002</v>
      </c>
      <c r="O14" s="115"/>
    </row>
    <row r="15" spans="1:15">
      <c r="A15" t="s">
        <v>12</v>
      </c>
      <c r="C15">
        <v>104587743.620995</v>
      </c>
      <c r="M15">
        <v>104587743.620995</v>
      </c>
      <c r="O15" s="115"/>
    </row>
    <row r="16" spans="1:15">
      <c r="A16" t="s">
        <v>13</v>
      </c>
      <c r="C16">
        <v>634840178.06518304</v>
      </c>
      <c r="D16">
        <f>C15-C17</f>
        <v>44265560.647667803</v>
      </c>
      <c r="M16">
        <v>634840178.06518304</v>
      </c>
      <c r="O16" s="115"/>
    </row>
    <row r="17" spans="1:16">
      <c r="A17" t="s">
        <v>14</v>
      </c>
      <c r="C17">
        <v>60322182.973327197</v>
      </c>
      <c r="M17">
        <v>60322182.973327197</v>
      </c>
      <c r="O17" s="115"/>
    </row>
    <row r="18" spans="1:16">
      <c r="A18" t="s">
        <v>15</v>
      </c>
      <c r="C18">
        <v>562949349.347857</v>
      </c>
      <c r="G18" s="1">
        <f>G19*1000000</f>
        <v>-1264760188.0929823</v>
      </c>
      <c r="M18">
        <v>562949349.347857</v>
      </c>
      <c r="O18" s="115"/>
    </row>
    <row r="19" spans="1:16">
      <c r="A19" t="s">
        <v>16</v>
      </c>
      <c r="C19">
        <v>39764703.681774803</v>
      </c>
      <c r="G19" s="24">
        <f>G20-F20</f>
        <v>-1264.7601880929824</v>
      </c>
      <c r="M19">
        <v>39764703.681774803</v>
      </c>
      <c r="O19" s="115"/>
    </row>
    <row r="20" spans="1:16">
      <c r="A20" t="s">
        <v>17</v>
      </c>
      <c r="C20">
        <v>22443637.572725501</v>
      </c>
      <c r="F20" s="24">
        <f>F37-F30</f>
        <v>6389.8028978332986</v>
      </c>
      <c r="G20" s="24">
        <f>G37-G30-G39</f>
        <v>5125.0427097403162</v>
      </c>
      <c r="M20">
        <v>22443637.572725501</v>
      </c>
      <c r="O20" s="115"/>
    </row>
    <row r="21" spans="1:16">
      <c r="A21" t="s">
        <v>18</v>
      </c>
      <c r="C21">
        <v>12533409814.1101</v>
      </c>
      <c r="M21">
        <v>12533409814.1101</v>
      </c>
      <c r="O21" s="115"/>
    </row>
    <row r="22" spans="1:16">
      <c r="A22" t="s">
        <v>19</v>
      </c>
      <c r="C22">
        <v>12461589136.690001</v>
      </c>
      <c r="G22" s="67">
        <f>G28-F28</f>
        <v>6.6925413512899254</v>
      </c>
      <c r="M22">
        <v>12461589136.690001</v>
      </c>
      <c r="O22" s="115"/>
    </row>
    <row r="23" spans="1:16">
      <c r="A23" t="s">
        <v>20</v>
      </c>
      <c r="C23">
        <v>807970952.61811805</v>
      </c>
      <c r="M23">
        <v>807970952.61811805</v>
      </c>
      <c r="O23" s="115"/>
    </row>
    <row r="24" spans="1:16">
      <c r="A24" t="s">
        <v>92</v>
      </c>
      <c r="C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43</v>
      </c>
    </row>
    <row r="27" spans="1:16" ht="10" customHeight="1">
      <c r="E27" s="4"/>
      <c r="F27" s="7"/>
      <c r="G27" s="7"/>
      <c r="J27" s="124" t="s">
        <v>44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46.169778718296698</v>
      </c>
      <c r="H28" s="63" t="s">
        <v>33</v>
      </c>
      <c r="I28" s="63"/>
      <c r="J28" s="124"/>
      <c r="M28" t="s">
        <v>39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24"/>
    </row>
    <row r="30" spans="1:16">
      <c r="E30" s="9" t="s">
        <v>22</v>
      </c>
      <c r="F30" s="43">
        <f>SUM(F31:F34)</f>
        <v>6143.6069162768017</v>
      </c>
      <c r="G30" s="44">
        <f>SUM(G31:G34)</f>
        <v>6528.5754743315674</v>
      </c>
      <c r="H30" s="63"/>
      <c r="I30" s="63"/>
      <c r="J30" s="132">
        <f>(G30-F30)*1000000/E3</f>
        <v>1.2125587027444829</v>
      </c>
      <c r="M30" t="s">
        <v>27</v>
      </c>
      <c r="N30" s="49">
        <f>F37-G37</f>
        <v>71.820677420098946</v>
      </c>
    </row>
    <row r="31" spans="1:16">
      <c r="E31" s="15" t="s">
        <v>24</v>
      </c>
      <c r="F31" s="45">
        <f>C8/C28</f>
        <v>297.67873411507901</v>
      </c>
      <c r="G31" s="46">
        <f>C10/C28</f>
        <v>322.36616968743999</v>
      </c>
      <c r="H31" s="125" t="s">
        <v>34</v>
      </c>
      <c r="I31" s="63"/>
      <c r="J31" s="133">
        <f>(G31-F31)*1000000/C7</f>
        <v>3.2052578063284352</v>
      </c>
      <c r="M31" t="s">
        <v>22</v>
      </c>
      <c r="N31" s="49">
        <f>G30-F30</f>
        <v>384.96855805476571</v>
      </c>
      <c r="P31">
        <f>G31/F31</f>
        <v>1.082933151559349</v>
      </c>
    </row>
    <row r="32" spans="1:16">
      <c r="E32" s="15" t="s">
        <v>25</v>
      </c>
      <c r="F32" s="45">
        <f>C12/C28</f>
        <v>3182.10735349166</v>
      </c>
      <c r="G32" s="46">
        <f>C14/C28</f>
        <v>3446.0095449169003</v>
      </c>
      <c r="H32" s="125"/>
      <c r="I32" s="63"/>
      <c r="J32" s="133">
        <f>(G32-F32)*1000000/C11</f>
        <v>3.2052578063284072</v>
      </c>
      <c r="M32" t="s">
        <v>29</v>
      </c>
      <c r="N32" s="49">
        <f>G39</f>
        <v>807.97095261811808</v>
      </c>
      <c r="P32">
        <f>G32/F32</f>
        <v>1.0829331515593483</v>
      </c>
    </row>
    <row r="33" spans="5:16">
      <c r="E33" s="15" t="s">
        <v>23</v>
      </c>
      <c r="F33" s="45">
        <f>C4/C28</f>
        <v>2028.9806506048801</v>
      </c>
      <c r="G33" s="46">
        <f>C6/C28</f>
        <v>2197.2504103793704</v>
      </c>
      <c r="H33" s="125"/>
      <c r="I33" s="63"/>
      <c r="J33" s="133">
        <f>(G33-F33)*1000000/C3</f>
        <v>3.2054479448912421</v>
      </c>
      <c r="M33" t="s">
        <v>96</v>
      </c>
      <c r="N33" s="49">
        <f>G40</f>
        <v>1444.091669364336</v>
      </c>
      <c r="P33">
        <f>G33/F33</f>
        <v>1.08293315154303</v>
      </c>
    </row>
    <row r="34" spans="5:16">
      <c r="E34" s="15" t="s">
        <v>26</v>
      </c>
      <c r="F34" s="45">
        <f>C16/C28</f>
        <v>634.84017806518307</v>
      </c>
      <c r="G34" s="46">
        <f>C18/C28</f>
        <v>562.94934934785704</v>
      </c>
      <c r="H34" s="125"/>
      <c r="I34" s="63"/>
      <c r="J34" s="131">
        <f>(G34-F34)*1000000/C15</f>
        <v>-0.68737335971071301</v>
      </c>
      <c r="N34" s="49"/>
      <c r="P34">
        <f>G34/F34</f>
        <v>0.88675759474387816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623.5583799257746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12461.589136690001</v>
      </c>
      <c r="H37" s="3" t="s">
        <v>34</v>
      </c>
      <c r="I37" s="3"/>
      <c r="J37" s="13"/>
      <c r="M37" t="s">
        <v>90</v>
      </c>
      <c r="N37" s="49">
        <f>SUM(N30:N35)</f>
        <v>3332.4102373830938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807.97095261811808</v>
      </c>
      <c r="H39" s="3" t="s">
        <v>34</v>
      </c>
      <c r="I39" s="3"/>
      <c r="J39" s="1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J40" s="13"/>
      <c r="N40" s="21">
        <f>N37/G37</f>
        <v>0.26741454888539484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22443.6375727255</v>
      </c>
      <c r="H42" s="63" t="s">
        <v>37</v>
      </c>
      <c r="I42" s="63"/>
      <c r="N42" s="21">
        <f>(G37-F37)/F37</f>
        <v>-5.7303382308015894E-3</v>
      </c>
    </row>
    <row r="43" spans="5:16">
      <c r="E43" s="9" t="s">
        <v>36</v>
      </c>
      <c r="F43" s="43">
        <f>F42*36/C29</f>
        <v>1431.5293325438927</v>
      </c>
      <c r="G43" s="44">
        <f>G42*36/C29</f>
        <v>807.97095261811808</v>
      </c>
      <c r="H43" s="3" t="s">
        <v>38</v>
      </c>
      <c r="I43" s="3"/>
    </row>
    <row r="44" spans="5:16" ht="10" customHeight="1">
      <c r="H44" s="2"/>
      <c r="I44" s="2"/>
      <c r="L44">
        <f>K45-L45</f>
        <v>35910338.710049629</v>
      </c>
    </row>
    <row r="45" spans="5:16">
      <c r="E45" s="9" t="s">
        <v>93</v>
      </c>
      <c r="F45" s="43">
        <f>E3/(2*C28)</f>
        <v>158.74223539999963</v>
      </c>
      <c r="G45" s="44">
        <f>E4/(2*C28)</f>
        <v>134.953962122322</v>
      </c>
      <c r="H45" s="3" t="s">
        <v>94</v>
      </c>
      <c r="I45" s="2"/>
      <c r="J45" s="17"/>
      <c r="K45">
        <f>F28*1000000*F45</f>
        <v>6266704907.0550508</v>
      </c>
      <c r="L45">
        <f>G28*1000000*G45</f>
        <v>6230794568.3450012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5635-4DBB-2D41-B63B-16C69E269B92}">
  <dimension ref="A3:P47"/>
  <sheetViews>
    <sheetView showGridLines="0" topLeftCell="A21" workbookViewId="0">
      <selection activeCell="D27" sqref="D2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2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2">
      <c r="A4" t="s">
        <v>1</v>
      </c>
      <c r="C4">
        <v>2028980650.6048801</v>
      </c>
      <c r="D4">
        <f>C3-C5</f>
        <v>2690.3989097997546</v>
      </c>
      <c r="E4">
        <f>C5+C9+C13+C17+C24</f>
        <v>310973534.87158388</v>
      </c>
      <c r="G4" s="1">
        <f>F42/2</f>
        <v>19882.351840887401</v>
      </c>
      <c r="L4">
        <v>52494928.218277298</v>
      </c>
    </row>
    <row r="5" spans="1:12">
      <c r="A5" t="s">
        <v>2</v>
      </c>
      <c r="C5">
        <v>52492237.819367498</v>
      </c>
      <c r="L5">
        <v>2028980650.6048801</v>
      </c>
    </row>
    <row r="6" spans="1:12">
      <c r="A6" t="s">
        <v>3</v>
      </c>
      <c r="C6">
        <v>2624604424.9444199</v>
      </c>
      <c r="G6" s="1">
        <v>31110393.202</v>
      </c>
      <c r="H6" s="1">
        <f>G6/1000</f>
        <v>31110.393201999999</v>
      </c>
      <c r="J6">
        <f>G4-H6</f>
        <v>-11228.041361112599</v>
      </c>
      <c r="L6">
        <v>52492237.819367498</v>
      </c>
    </row>
    <row r="7" spans="1:12">
      <c r="A7" t="s">
        <v>4</v>
      </c>
      <c r="C7">
        <v>7702168.4569703899</v>
      </c>
      <c r="J7" s="21">
        <f>J6/H6</f>
        <v>-0.36090965768927602</v>
      </c>
      <c r="L7">
        <v>2624604424.9444199</v>
      </c>
    </row>
    <row r="8" spans="1:12">
      <c r="A8" t="s">
        <v>5</v>
      </c>
      <c r="C8">
        <v>297678734.11507899</v>
      </c>
      <c r="D8">
        <f>C7-C9</f>
        <v>0</v>
      </c>
      <c r="L8">
        <v>7702168.4569703899</v>
      </c>
    </row>
    <row r="9" spans="1:12">
      <c r="A9" t="s">
        <v>6</v>
      </c>
      <c r="C9">
        <v>7702168.4569703899</v>
      </c>
      <c r="L9">
        <v>297678734.11507899</v>
      </c>
    </row>
    <row r="10" spans="1:12">
      <c r="A10" t="s">
        <v>7</v>
      </c>
      <c r="C10">
        <v>385064747.92521</v>
      </c>
      <c r="L10">
        <v>7702168.4569703899</v>
      </c>
    </row>
    <row r="11" spans="1:12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L11">
        <v>385064747.92521</v>
      </c>
    </row>
    <row r="12" spans="1:12">
      <c r="A12" t="s">
        <v>9</v>
      </c>
      <c r="C12">
        <v>3182107353.4916601</v>
      </c>
      <c r="D12">
        <f>C11-C13</f>
        <v>0</v>
      </c>
      <c r="H12" s="1">
        <v>42.141114695835299</v>
      </c>
      <c r="L12">
        <v>82334154.495839998</v>
      </c>
    </row>
    <row r="13" spans="1:12">
      <c r="A13" t="s">
        <v>10</v>
      </c>
      <c r="C13">
        <v>82334154.495839998</v>
      </c>
      <c r="L13">
        <v>3182107353.4916601</v>
      </c>
    </row>
    <row r="14" spans="1:12">
      <c r="A14" t="s">
        <v>11</v>
      </c>
      <c r="C14">
        <v>4116240851.3519502</v>
      </c>
      <c r="L14">
        <v>82334154.495839998</v>
      </c>
    </row>
    <row r="15" spans="1:12">
      <c r="A15" t="s">
        <v>12</v>
      </c>
      <c r="C15">
        <v>104587743.620995</v>
      </c>
      <c r="L15">
        <v>4116240851.3519502</v>
      </c>
    </row>
    <row r="16" spans="1:12">
      <c r="A16" t="s">
        <v>13</v>
      </c>
      <c r="C16">
        <v>634840178.06518304</v>
      </c>
      <c r="D16">
        <f>C15-C17</f>
        <v>6508245.5295055956</v>
      </c>
      <c r="L16">
        <v>104587743.620995</v>
      </c>
    </row>
    <row r="17" spans="1:16">
      <c r="A17" t="s">
        <v>14</v>
      </c>
      <c r="C17">
        <v>98079498.091489404</v>
      </c>
      <c r="L17">
        <v>634840178.06518304</v>
      </c>
    </row>
    <row r="18" spans="1:16">
      <c r="A18" t="s">
        <v>15</v>
      </c>
      <c r="C18">
        <v>489174555.256989</v>
      </c>
      <c r="G18" s="1">
        <f>G19*1000000</f>
        <v>556446109.58669186</v>
      </c>
      <c r="L18">
        <v>98079498.091489404</v>
      </c>
    </row>
    <row r="19" spans="1:16">
      <c r="A19" t="s">
        <v>16</v>
      </c>
      <c r="C19">
        <v>39764703.681774803</v>
      </c>
      <c r="G19" s="24">
        <f>G20-F20</f>
        <v>556.44610958669182</v>
      </c>
      <c r="L19">
        <v>489174555.256989</v>
      </c>
    </row>
    <row r="20" spans="1:16">
      <c r="A20" t="s">
        <v>17</v>
      </c>
      <c r="C20">
        <v>36970418.5042319</v>
      </c>
      <c r="F20" s="24">
        <f>F37-F30</f>
        <v>6389.8028978332986</v>
      </c>
      <c r="G20" s="24">
        <f>G37-G30-G39</f>
        <v>6946.2490074199904</v>
      </c>
      <c r="L20">
        <v>39764703.681774803</v>
      </c>
    </row>
    <row r="21" spans="1:16">
      <c r="A21" t="s">
        <v>18</v>
      </c>
      <c r="C21">
        <v>12533409814.1101</v>
      </c>
      <c r="L21">
        <v>36970418.5042319</v>
      </c>
    </row>
    <row r="22" spans="1:16">
      <c r="A22" t="s">
        <v>19</v>
      </c>
      <c r="C22">
        <v>15892268653.0509</v>
      </c>
      <c r="G22" s="67">
        <f>G28-F28</f>
        <v>11.627653792344105</v>
      </c>
      <c r="L22">
        <v>12533409814.1101</v>
      </c>
    </row>
    <row r="23" spans="1:16">
      <c r="A23" t="s">
        <v>20</v>
      </c>
      <c r="C23">
        <v>1330935066.1523399</v>
      </c>
      <c r="L23">
        <v>15892268653.0509</v>
      </c>
    </row>
    <row r="24" spans="1:16">
      <c r="A24" t="s">
        <v>92</v>
      </c>
      <c r="C24">
        <v>70365476.0079166</v>
      </c>
      <c r="L24">
        <v>1330935066.1523399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43</v>
      </c>
    </row>
    <row r="27" spans="1:16" ht="10" customHeight="1">
      <c r="E27" s="4"/>
      <c r="F27" s="7"/>
      <c r="G27" s="7"/>
      <c r="J27" s="124" t="s">
        <v>44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51.104891159350878</v>
      </c>
      <c r="H28" s="63" t="s">
        <v>33</v>
      </c>
      <c r="I28" s="63"/>
      <c r="J28" s="124"/>
      <c r="M28" t="s">
        <v>39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24"/>
    </row>
    <row r="30" spans="1:16">
      <c r="E30" s="9" t="s">
        <v>22</v>
      </c>
      <c r="F30" s="43">
        <f>SUM(F31:F34)</f>
        <v>6143.6069162768017</v>
      </c>
      <c r="G30" s="44">
        <f>SUM(G31:G34)</f>
        <v>7615.08457947857</v>
      </c>
      <c r="H30" s="63"/>
      <c r="I30" s="63"/>
      <c r="J30" s="14">
        <f>(G30-F30)*1000000/E3</f>
        <v>4.634802009351608</v>
      </c>
      <c r="M30" t="s">
        <v>27</v>
      </c>
      <c r="N30" s="49">
        <f>F37-G37</f>
        <v>-3358.8588389407996</v>
      </c>
    </row>
    <row r="31" spans="1:16">
      <c r="E31" s="15" t="s">
        <v>24</v>
      </c>
      <c r="F31" s="45">
        <f>C8/C28</f>
        <v>297.67873411507901</v>
      </c>
      <c r="G31" s="46">
        <f>C10/C28</f>
        <v>385.06474792520999</v>
      </c>
      <c r="H31" s="125" t="s">
        <v>34</v>
      </c>
      <c r="I31" s="63"/>
      <c r="J31" s="16">
        <f>(G31-F31)*1000000/C7</f>
        <v>11.345637828921731</v>
      </c>
      <c r="M31" t="s">
        <v>22</v>
      </c>
      <c r="N31" s="49">
        <f>G30-F30</f>
        <v>1471.4776632017683</v>
      </c>
      <c r="P31">
        <f>G31/F31</f>
        <v>1.2935581343084743</v>
      </c>
    </row>
    <row r="32" spans="1:16">
      <c r="E32" s="15" t="s">
        <v>25</v>
      </c>
      <c r="F32" s="45">
        <f>C12/C28</f>
        <v>3182.10735349166</v>
      </c>
      <c r="G32" s="46">
        <f>C14/C28</f>
        <v>4116.2408513519504</v>
      </c>
      <c r="H32" s="125"/>
      <c r="I32" s="63"/>
      <c r="J32" s="16">
        <f>(G32-F32)*1000000/C11</f>
        <v>11.345637828921754</v>
      </c>
      <c r="M32" t="s">
        <v>29</v>
      </c>
      <c r="N32" s="49">
        <f>G39</f>
        <v>1330.9350661523399</v>
      </c>
      <c r="P32">
        <f>G32/F32</f>
        <v>1.293558134308475</v>
      </c>
    </row>
    <row r="33" spans="5:16">
      <c r="E33" s="15" t="s">
        <v>23</v>
      </c>
      <c r="F33" s="45">
        <f>C4/C28</f>
        <v>2028.9806506048801</v>
      </c>
      <c r="G33" s="46">
        <f>C6/C28</f>
        <v>2624.6044249444199</v>
      </c>
      <c r="H33" s="125"/>
      <c r="I33" s="63"/>
      <c r="J33" s="16">
        <f>(G33-F33)*1000000/C3</f>
        <v>11.346310863839983</v>
      </c>
      <c r="M33" t="s">
        <v>96</v>
      </c>
      <c r="N33" s="49">
        <f>G40</f>
        <v>1444.091669364336</v>
      </c>
      <c r="P33">
        <f>G33/F33</f>
        <v>1.2935581343084628</v>
      </c>
    </row>
    <row r="34" spans="5:16">
      <c r="E34" s="15" t="s">
        <v>26</v>
      </c>
      <c r="F34" s="45">
        <f>C16/C28</f>
        <v>634.84017806518307</v>
      </c>
      <c r="G34" s="46">
        <f>C18/C28</f>
        <v>489.17455525698898</v>
      </c>
      <c r="H34" s="125"/>
      <c r="I34" s="63"/>
      <c r="J34" s="27">
        <f>(G34-F34)*1000000/C15</f>
        <v>-1.3927599713409737</v>
      </c>
      <c r="N34" s="49"/>
      <c r="P34">
        <f>G34/F34</f>
        <v>0.770547567968772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100.59426639154435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15892.2686530509</v>
      </c>
      <c r="H37" s="3" t="s">
        <v>34</v>
      </c>
      <c r="I37" s="3"/>
      <c r="J37" s="13"/>
      <c r="M37" t="s">
        <v>90</v>
      </c>
      <c r="N37" s="49">
        <f>SUM(N30:N35)</f>
        <v>988.23982616918897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1330.9350661523399</v>
      </c>
      <c r="H39" s="3" t="s">
        <v>34</v>
      </c>
      <c r="I39" s="3"/>
      <c r="J39" s="1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J40" s="13"/>
      <c r="N40" s="21">
        <f>N37/G37</f>
        <v>6.2183684893816135E-2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36970.4185042319</v>
      </c>
      <c r="H42" s="63" t="s">
        <v>37</v>
      </c>
      <c r="I42" s="63"/>
      <c r="N42" s="21">
        <f>(G37-F37)/F37</f>
        <v>0.26799242095789444</v>
      </c>
    </row>
    <row r="43" spans="5:16">
      <c r="E43" s="9" t="s">
        <v>36</v>
      </c>
      <c r="F43" s="43">
        <f>F42*36/C29</f>
        <v>1431.5293325438927</v>
      </c>
      <c r="G43" s="44">
        <f>G42*36/C29</f>
        <v>1330.9350661523483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158.74223539999963</v>
      </c>
      <c r="G45" s="44">
        <f>E4/(2*C28)</f>
        <v>155.48676743579193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0546-842C-2243-BB9C-C8CF68EA710C}">
  <dimension ref="A3:P47"/>
  <sheetViews>
    <sheetView showGridLines="0" workbookViewId="0">
      <selection activeCell="F20" sqref="F2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3" ht="19">
      <c r="A4" t="s">
        <v>1</v>
      </c>
      <c r="C4">
        <v>2028980650.6048801</v>
      </c>
      <c r="D4">
        <f>C3-C5</f>
        <v>34936.507285200059</v>
      </c>
      <c r="E4">
        <f>C5+C9+C13+C17+C24</f>
        <v>300329101.430435</v>
      </c>
      <c r="G4" s="1">
        <f>F42/2</f>
        <v>19882.351840887401</v>
      </c>
      <c r="L4">
        <v>52494928.218277298</v>
      </c>
      <c r="M4" s="68"/>
    </row>
    <row r="5" spans="1:13">
      <c r="A5" t="s">
        <v>2</v>
      </c>
      <c r="C5">
        <v>52459991.710992098</v>
      </c>
      <c r="L5">
        <v>2028980650.6048801</v>
      </c>
    </row>
    <row r="6" spans="1:13">
      <c r="A6" t="s">
        <v>3</v>
      </c>
      <c r="C6">
        <v>2560913030.8568401</v>
      </c>
      <c r="G6" s="1">
        <v>31110393.202</v>
      </c>
      <c r="H6" s="1">
        <f>G6/1000</f>
        <v>31110.393201999999</v>
      </c>
      <c r="J6">
        <f>G4-H6</f>
        <v>-11228.041361112599</v>
      </c>
      <c r="L6">
        <v>52459991.710992098</v>
      </c>
    </row>
    <row r="7" spans="1:13">
      <c r="A7" t="s">
        <v>4</v>
      </c>
      <c r="C7">
        <v>7702168.4569703899</v>
      </c>
      <c r="J7" s="21">
        <f>J6/H6</f>
        <v>-0.36090965768927602</v>
      </c>
      <c r="L7">
        <v>2560913030.8568401</v>
      </c>
    </row>
    <row r="8" spans="1:13">
      <c r="A8" t="s">
        <v>5</v>
      </c>
      <c r="C8">
        <v>297678734.11507899</v>
      </c>
      <c r="D8">
        <f>C7-C9</f>
        <v>0</v>
      </c>
      <c r="L8">
        <v>7702168.4569703899</v>
      </c>
    </row>
    <row r="9" spans="1:13">
      <c r="A9" t="s">
        <v>6</v>
      </c>
      <c r="C9">
        <v>7702168.4569703899</v>
      </c>
      <c r="L9">
        <v>297678734.11507899</v>
      </c>
    </row>
    <row r="10" spans="1:13">
      <c r="A10" t="s">
        <v>7</v>
      </c>
      <c r="C10">
        <v>375720364.30071998</v>
      </c>
      <c r="L10">
        <v>7702168.4569703899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L11">
        <v>375720364.30071998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L12">
        <v>82334154.495839998</v>
      </c>
    </row>
    <row r="13" spans="1:13">
      <c r="A13" t="s">
        <v>10</v>
      </c>
      <c r="C13">
        <v>82334154.495839998</v>
      </c>
      <c r="L13">
        <v>3182107353.4916601</v>
      </c>
    </row>
    <row r="14" spans="1:13">
      <c r="A14" t="s">
        <v>11</v>
      </c>
      <c r="C14">
        <v>4016351848.7541299</v>
      </c>
      <c r="L14">
        <v>82334154.495839998</v>
      </c>
    </row>
    <row r="15" spans="1:13">
      <c r="A15" t="s">
        <v>12</v>
      </c>
      <c r="C15">
        <v>104587743.620995</v>
      </c>
      <c r="L15">
        <v>4016351848.7541299</v>
      </c>
    </row>
    <row r="16" spans="1:13">
      <c r="A16" t="s">
        <v>13</v>
      </c>
      <c r="C16">
        <v>634840178.06518304</v>
      </c>
      <c r="D16">
        <f>C15-C17</f>
        <v>17120432.862279102</v>
      </c>
      <c r="L16">
        <v>104587743.620995</v>
      </c>
    </row>
    <row r="17" spans="1:16">
      <c r="A17" t="s">
        <v>14</v>
      </c>
      <c r="C17">
        <v>87467310.758715898</v>
      </c>
      <c r="L17">
        <v>634840178.06518304</v>
      </c>
    </row>
    <row r="18" spans="1:16">
      <c r="A18" t="s">
        <v>15</v>
      </c>
      <c r="C18">
        <v>409557719.97801501</v>
      </c>
      <c r="G18" s="1">
        <f>G19*1000000</f>
        <v>80955954.940635815</v>
      </c>
      <c r="L18">
        <v>87467310.758715898</v>
      </c>
    </row>
    <row r="19" spans="1:16">
      <c r="A19" t="s">
        <v>16</v>
      </c>
      <c r="C19">
        <v>39764703.681774803</v>
      </c>
      <c r="G19" s="24">
        <f>G20-F20</f>
        <v>80.95595494063582</v>
      </c>
      <c r="L19">
        <v>409557719.97801501</v>
      </c>
    </row>
    <row r="20" spans="1:16">
      <c r="A20" t="s">
        <v>17</v>
      </c>
      <c r="C20">
        <v>32543334.4029545</v>
      </c>
      <c r="F20" s="24">
        <f>F37-F30</f>
        <v>6389.8028978332986</v>
      </c>
      <c r="G20" s="24">
        <f>G37-G30-G39</f>
        <v>6470.7588527739344</v>
      </c>
      <c r="L20">
        <v>39764703.681774803</v>
      </c>
    </row>
    <row r="21" spans="1:16">
      <c r="A21" t="s">
        <v>18</v>
      </c>
      <c r="C21">
        <v>12533409814.1101</v>
      </c>
      <c r="L21">
        <v>32543334.4029545</v>
      </c>
    </row>
    <row r="22" spans="1:16">
      <c r="A22" t="s">
        <v>19</v>
      </c>
      <c r="C22">
        <v>15004861855.17</v>
      </c>
      <c r="G22" s="67">
        <f>G28-F28</f>
        <v>10.484160924745403</v>
      </c>
      <c r="L22">
        <v>12533409814.1101</v>
      </c>
    </row>
    <row r="23" spans="1:16">
      <c r="A23" t="s">
        <v>20</v>
      </c>
      <c r="C23">
        <v>1171560038.5063601</v>
      </c>
      <c r="L23">
        <v>15004861855.17</v>
      </c>
    </row>
    <row r="24" spans="1:16">
      <c r="A24" t="s">
        <v>92</v>
      </c>
      <c r="C24">
        <v>70365476.0079166</v>
      </c>
      <c r="L24">
        <v>1171560038.5063601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2" t="s">
        <v>43</v>
      </c>
    </row>
    <row r="27" spans="1:16" ht="10" customHeight="1">
      <c r="E27" s="4"/>
      <c r="F27" s="7"/>
      <c r="G27" s="7"/>
      <c r="J27" s="124" t="s">
        <v>44</v>
      </c>
      <c r="K27" s="25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49.961398291752175</v>
      </c>
      <c r="H28" s="18" t="s">
        <v>33</v>
      </c>
      <c r="I28" s="18"/>
      <c r="J28" s="124"/>
      <c r="M28" t="s">
        <v>39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24"/>
    </row>
    <row r="30" spans="1:16">
      <c r="E30" s="9" t="s">
        <v>22</v>
      </c>
      <c r="F30" s="43">
        <f>SUM(F31:F34)</f>
        <v>6143.6069162768017</v>
      </c>
      <c r="G30" s="44">
        <f>SUM(G31:G34)</f>
        <v>7362.5429638897058</v>
      </c>
      <c r="H30" s="18"/>
      <c r="I30" s="18"/>
      <c r="J30" s="14">
        <f>(G30-F30)*1000000/E3</f>
        <v>3.8393564401478342</v>
      </c>
      <c r="M30" t="s">
        <v>27</v>
      </c>
      <c r="N30" s="49">
        <f>F37-G37</f>
        <v>-2471.4520410598998</v>
      </c>
    </row>
    <row r="31" spans="1:16">
      <c r="E31" s="15" t="s">
        <v>24</v>
      </c>
      <c r="F31" s="45">
        <f>C8/C28</f>
        <v>297.67873411507901</v>
      </c>
      <c r="G31" s="46">
        <f>C10/C28</f>
        <v>375.72036430071995</v>
      </c>
      <c r="H31" s="125" t="s">
        <v>34</v>
      </c>
      <c r="I31" s="18"/>
      <c r="J31" s="16">
        <f>(G31-F31)*1000000/C7</f>
        <v>10.132423176880012</v>
      </c>
      <c r="M31" t="s">
        <v>22</v>
      </c>
      <c r="N31" s="49">
        <f>G30-F30</f>
        <v>1218.9360476129041</v>
      </c>
      <c r="P31">
        <f>G31/F31</f>
        <v>1.262167300655985</v>
      </c>
    </row>
    <row r="32" spans="1:16">
      <c r="E32" s="15" t="s">
        <v>25</v>
      </c>
      <c r="F32" s="45">
        <f>C12/C28</f>
        <v>3182.10735349166</v>
      </c>
      <c r="G32" s="46">
        <f>C14/C28</f>
        <v>4016.3518487541301</v>
      </c>
      <c r="H32" s="125"/>
      <c r="I32" s="18"/>
      <c r="J32" s="16">
        <f>(G32-F32)*1000000/C11</f>
        <v>10.132423176880028</v>
      </c>
      <c r="M32" t="s">
        <v>29</v>
      </c>
      <c r="N32" s="49">
        <f>G39</f>
        <v>1171.5600385063601</v>
      </c>
      <c r="P32">
        <f>G32/F32</f>
        <v>1.2621673006559855</v>
      </c>
    </row>
    <row r="33" spans="5:16">
      <c r="E33" s="15" t="s">
        <v>23</v>
      </c>
      <c r="F33" s="45">
        <f>C4/C28</f>
        <v>2028.9806506048801</v>
      </c>
      <c r="G33" s="46">
        <f>C6/C28</f>
        <v>2560.9130308568401</v>
      </c>
      <c r="H33" s="125"/>
      <c r="I33" s="18"/>
      <c r="J33" s="16">
        <f>(G33-F33)*1000000/C3</f>
        <v>10.133024242649707</v>
      </c>
      <c r="M33" t="s">
        <v>96</v>
      </c>
      <c r="N33" s="49">
        <f>G40</f>
        <v>1444.091669364336</v>
      </c>
      <c r="P33">
        <f>G33/F33</f>
        <v>1.2621673006558147</v>
      </c>
    </row>
    <row r="34" spans="5:16">
      <c r="E34" s="15" t="s">
        <v>26</v>
      </c>
      <c r="F34" s="45">
        <f>C16/C28</f>
        <v>634.84017806518307</v>
      </c>
      <c r="G34" s="46">
        <f>C18/C28</f>
        <v>409.55771997801503</v>
      </c>
      <c r="H34" s="125"/>
      <c r="I34" s="18"/>
      <c r="J34" s="96">
        <f>(G34-F34)*1000000/C15</f>
        <v>-2.1540043822299721</v>
      </c>
      <c r="N34" s="49"/>
      <c r="P34">
        <f>G34/F34</f>
        <v>0.64513516020084527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259.96929403753052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15004.86185517</v>
      </c>
      <c r="H37" s="3" t="s">
        <v>34</v>
      </c>
      <c r="I37" s="3"/>
      <c r="J37" s="13"/>
      <c r="M37" t="s">
        <v>90</v>
      </c>
      <c r="N37" s="49">
        <f>SUM(N30:N35)</f>
        <v>1623.1050084612309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1171.5600385063601</v>
      </c>
      <c r="H39" s="3" t="s">
        <v>34</v>
      </c>
      <c r="I39" s="3"/>
      <c r="J39" s="13"/>
    </row>
    <row r="40" spans="5:16">
      <c r="E40" s="9" t="s">
        <v>95</v>
      </c>
      <c r="F40" s="43"/>
      <c r="G40" s="44">
        <f>17.5394*C11/C28</f>
        <v>1444.091669364336</v>
      </c>
      <c r="H40" s="3"/>
      <c r="I40" s="3"/>
      <c r="J40" s="13"/>
      <c r="N40" s="21">
        <f>N37/G37</f>
        <v>0.10817193947720231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32543.334402954501</v>
      </c>
      <c r="H42" s="18" t="s">
        <v>37</v>
      </c>
      <c r="I42" s="18"/>
      <c r="N42" s="21">
        <f>(G37-F37)/F37</f>
        <v>0.19718911913959292</v>
      </c>
    </row>
    <row r="43" spans="5:16">
      <c r="E43" s="9" t="s">
        <v>36</v>
      </c>
      <c r="F43" s="43">
        <f>F42*36/C29</f>
        <v>1431.5293325438927</v>
      </c>
      <c r="G43" s="44">
        <f>G42*36/C29</f>
        <v>1171.5600385063622</v>
      </c>
      <c r="H43" s="3" t="s">
        <v>38</v>
      </c>
      <c r="I43" s="3"/>
    </row>
    <row r="44" spans="5:16" ht="10" customHeight="1">
      <c r="H44" s="2"/>
      <c r="I44" s="2"/>
    </row>
    <row r="45" spans="5:16">
      <c r="E45" s="9" t="s">
        <v>93</v>
      </c>
      <c r="F45" s="43">
        <f>E3/(2*C28)</f>
        <v>158.74223539999963</v>
      </c>
      <c r="G45" s="44">
        <f>E4/(2*C28)</f>
        <v>150.1645507152175</v>
      </c>
      <c r="H45" s="3" t="s">
        <v>94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GasProd</vt:lpstr>
      <vt:lpstr>Imports</vt:lpstr>
      <vt:lpstr>2 years-0.1</vt:lpstr>
      <vt:lpstr>2 years-0.3</vt:lpstr>
      <vt:lpstr>2 years-0.5</vt:lpstr>
      <vt:lpstr>2 years-1</vt:lpstr>
      <vt:lpstr>2yr-0.1-8</vt:lpstr>
      <vt:lpstr>2yr-0.3-8</vt:lpstr>
      <vt:lpstr>2yr-0.5-8</vt:lpstr>
      <vt:lpstr>2yr-1-8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2019-06-10T12:34:40Z</dcterms:modified>
</cp:coreProperties>
</file>