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3BBB0E02-EAF4-784B-A07E-CE91348A6BCA}" xr6:coauthVersionLast="43" xr6:coauthVersionMax="43" xr10:uidLastSave="{00000000-0000-0000-0000-000000000000}"/>
  <bookViews>
    <workbookView xWindow="0" yWindow="0" windowWidth="25600" windowHeight="16000" xr2:uid="{392C2453-E47A-3548-8320-C75D9244874E}"/>
  </bookViews>
  <sheets>
    <sheet name="Summary" sheetId="10" r:id="rId1"/>
    <sheet name="GasProd" sheetId="22" r:id="rId2"/>
    <sheet name="Imports" sheetId="23" r:id="rId3"/>
    <sheet name="2 years-0" sheetId="24" r:id="rId4"/>
    <sheet name="2 years-0.1" sheetId="14" r:id="rId5"/>
    <sheet name="2 years-0.3" sheetId="2" r:id="rId6"/>
    <sheet name="2 years-0.5" sheetId="15" r:id="rId7"/>
    <sheet name="2 years-1" sheetId="21" r:id="rId8"/>
    <sheet name="2yr-0-8" sheetId="25" r:id="rId9"/>
    <sheet name="2yr-0.1-8" sheetId="18" r:id="rId10"/>
    <sheet name="2yr-0.3-8" sheetId="17" r:id="rId11"/>
    <sheet name="2yr-0.5-8" sheetId="19" r:id="rId12"/>
    <sheet name="2yr-1-8" sheetId="20" r:id="rId13"/>
    <sheet name="Parameters" sheetId="5" r:id="rId14"/>
    <sheet name="NYCA" sheetId="3" r:id="rId15"/>
    <sheet name="Gas Gen" sheetId="4" r:id="rId16"/>
    <sheet name="Supply Curves" sheetId="6" r:id="rId17"/>
    <sheet name="SupplyCurvesAux" sheetId="7" r:id="rId18"/>
    <sheet name="LoadProf" sheetId="8" r:id="rId19"/>
    <sheet name="DescPricLoad" sheetId="9" r:id="rId20"/>
  </sheets>
  <externalReferences>
    <externalReference r:id="rId21"/>
  </externalReferences>
  <definedNames>
    <definedName name="_2014_eGRID_Subregion_File" localSheetId="3">#REF!</definedName>
    <definedName name="_2014_eGRID_Subregion_File" localSheetId="4">#REF!</definedName>
    <definedName name="_2014_eGRID_Subregion_File" localSheetId="6">#REF!</definedName>
    <definedName name="_2014_eGRID_Subregion_File" localSheetId="7">#REF!</definedName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7">#REF!</definedName>
    <definedName name="_2014_eGRID_Subregion_File">#REF!</definedName>
    <definedName name="_xlnm._FilterDatabase" localSheetId="16" hidden="1">'Supply Curves'!$D$1:$I$1</definedName>
    <definedName name="plant_final" localSheetId="3">#REF!</definedName>
    <definedName name="plant_final" localSheetId="4">#REF!</definedName>
    <definedName name="plant_final" localSheetId="6">#REF!</definedName>
    <definedName name="plant_final" localSheetId="7">#REF!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7">#REF!</definedName>
    <definedName name="plant_final">#REF!</definedName>
    <definedName name="Renewable_and_Non_Renewable_Generation" localSheetId="3">[1]Contents!#REF!</definedName>
    <definedName name="Renewable_and_Non_Renewable_Generation" localSheetId="4">[1]Contents!#REF!</definedName>
    <definedName name="Renewable_and_Non_Renewable_Generation" localSheetId="6">[1]Contents!#REF!</definedName>
    <definedName name="Renewable_and_Non_Renewable_Generation" localSheetId="7">[1]Contents!#REF!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7">[1]Contents!#REF!</definedName>
    <definedName name="Renewable_and_Non_Renewable_Generation">[1]Contents!#REF!</definedName>
    <definedName name="What" localSheetId="3">#REF!</definedName>
    <definedName name="What" localSheetId="7">#REF!</definedName>
    <definedName name="What" localSheetId="8">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>#REF!</definedName>
    <definedName name="what2" localSheetId="3">#REF!</definedName>
    <definedName name="what2" localSheetId="7">#REF!</definedName>
    <definedName name="what2" localSheetId="8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>#REF!</definedName>
    <definedName name="What3" localSheetId="3">[1]Contents!#REF!</definedName>
    <definedName name="What3" localSheetId="7">[1]Contents!#REF!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>[1]Contents!#REF!</definedName>
    <definedName name="what5" localSheetId="3">#REF!</definedName>
    <definedName name="what5" localSheetId="7">#REF!</definedName>
    <definedName name="what5" localSheetId="8">#REF!</definedName>
    <definedName name="what5" localSheetId="9">#REF!</definedName>
    <definedName name="what5" localSheetId="11">#REF!</definedName>
    <definedName name="what5" localSheetId="12">#REF!</definedName>
    <definedName name="what5">#REF!</definedName>
    <definedName name="what6" localSheetId="3">#REF!</definedName>
    <definedName name="what6" localSheetId="7">#REF!</definedName>
    <definedName name="what6" localSheetId="8">#REF!</definedName>
    <definedName name="what6" localSheetId="9">#REF!</definedName>
    <definedName name="what6" localSheetId="11">#REF!</definedName>
    <definedName name="what6" localSheetId="12">#REF!</definedName>
    <definedName name="what6">#REF!</definedName>
    <definedName name="what7" localSheetId="3">[1]Contents!#REF!</definedName>
    <definedName name="what7" localSheetId="7">[1]Contents!#REF!</definedName>
    <definedName name="what7" localSheetId="8">[1]Contents!#REF!</definedName>
    <definedName name="what7" localSheetId="9">[1]Contents!#REF!</definedName>
    <definedName name="what7" localSheetId="11">[1]Contents!#REF!</definedName>
    <definedName name="what7" localSheetId="12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3" l="1"/>
  <c r="D16" i="20"/>
  <c r="G9" i="22"/>
  <c r="E9" i="22" s="1"/>
  <c r="D5" i="22"/>
  <c r="E5" i="22"/>
  <c r="G30" i="2"/>
  <c r="J30" i="2"/>
  <c r="N45" i="14"/>
  <c r="N42" i="14"/>
  <c r="N45" i="2"/>
  <c r="N43" i="14"/>
  <c r="G28" i="14"/>
  <c r="G37" i="14"/>
  <c r="G30" i="14"/>
  <c r="J30" i="14" s="1"/>
  <c r="G30" i="15"/>
  <c r="G30" i="21"/>
  <c r="G30" i="25"/>
  <c r="G30" i="18"/>
  <c r="G30" i="17"/>
  <c r="G30" i="19"/>
  <c r="G30" i="20"/>
  <c r="G39" i="14"/>
  <c r="E11" i="10"/>
  <c r="M19" i="10"/>
  <c r="N19" i="10"/>
  <c r="G31" i="21"/>
  <c r="G37" i="21"/>
  <c r="H12" i="10"/>
  <c r="I12" i="10"/>
  <c r="J12" i="10"/>
  <c r="K12" i="10"/>
  <c r="L12" i="10"/>
  <c r="G40" i="17"/>
  <c r="G42" i="14"/>
  <c r="G43" i="14" s="1"/>
  <c r="G34" i="14"/>
  <c r="G33" i="14"/>
  <c r="G32" i="14"/>
  <c r="G31" i="14"/>
  <c r="G39" i="24"/>
  <c r="G40" i="24"/>
  <c r="C43" i="2"/>
  <c r="G43" i="2"/>
  <c r="G42" i="2"/>
  <c r="M33" i="14"/>
  <c r="G37" i="19" l="1"/>
  <c r="G28" i="19"/>
  <c r="G40" i="20"/>
  <c r="G40" i="19"/>
  <c r="G40" i="18"/>
  <c r="G40" i="25"/>
  <c r="M23" i="10"/>
  <c r="M22" i="10"/>
  <c r="J21" i="10"/>
  <c r="K21" i="10"/>
  <c r="L21" i="10"/>
  <c r="I21" i="10"/>
  <c r="O14" i="10"/>
  <c r="O11" i="10"/>
  <c r="G43" i="25"/>
  <c r="F43" i="25"/>
  <c r="N35" i="25" s="1"/>
  <c r="G42" i="25"/>
  <c r="F42" i="25"/>
  <c r="G39" i="25"/>
  <c r="G37" i="25"/>
  <c r="N42" i="25" s="1"/>
  <c r="F37" i="25"/>
  <c r="N30" i="25" s="1"/>
  <c r="G34" i="25"/>
  <c r="J34" i="25" s="1"/>
  <c r="F34" i="25"/>
  <c r="N33" i="25"/>
  <c r="J33" i="25"/>
  <c r="G33" i="25"/>
  <c r="F33" i="25"/>
  <c r="P33" i="25" s="1"/>
  <c r="N32" i="25"/>
  <c r="G32" i="25"/>
  <c r="J32" i="25" s="1"/>
  <c r="F32" i="25"/>
  <c r="P32" i="25" s="1"/>
  <c r="G31" i="25"/>
  <c r="J31" i="25" s="1"/>
  <c r="F31" i="25"/>
  <c r="P31" i="25" s="1"/>
  <c r="D16" i="25"/>
  <c r="D12" i="25"/>
  <c r="J11" i="25"/>
  <c r="D8" i="25"/>
  <c r="H6" i="25"/>
  <c r="G4" i="25"/>
  <c r="J6" i="25" s="1"/>
  <c r="J7" i="25" s="1"/>
  <c r="E4" i="25"/>
  <c r="G45" i="25" s="1"/>
  <c r="D4" i="25"/>
  <c r="E3" i="25"/>
  <c r="F45" i="25" s="1"/>
  <c r="G43" i="24"/>
  <c r="F43" i="24"/>
  <c r="N35" i="24" s="1"/>
  <c r="G42" i="24"/>
  <c r="F42" i="24"/>
  <c r="N32" i="24"/>
  <c r="G37" i="24"/>
  <c r="N42" i="24" s="1"/>
  <c r="F37" i="24"/>
  <c r="P34" i="24"/>
  <c r="J34" i="24"/>
  <c r="G34" i="24"/>
  <c r="F34" i="24"/>
  <c r="G33" i="24"/>
  <c r="J33" i="24" s="1"/>
  <c r="F33" i="24"/>
  <c r="P33" i="24" s="1"/>
  <c r="G32" i="24"/>
  <c r="J32" i="24" s="1"/>
  <c r="F32" i="24"/>
  <c r="F30" i="24" s="1"/>
  <c r="F20" i="24" s="1"/>
  <c r="G31" i="24"/>
  <c r="P31" i="24" s="1"/>
  <c r="F31" i="24"/>
  <c r="G30" i="24"/>
  <c r="C24" i="24"/>
  <c r="E4" i="24" s="1"/>
  <c r="G45" i="24" s="1"/>
  <c r="D12" i="24"/>
  <c r="J11" i="24"/>
  <c r="D8" i="24"/>
  <c r="H6" i="24"/>
  <c r="G4" i="24"/>
  <c r="J6" i="24" s="1"/>
  <c r="J7" i="24" s="1"/>
  <c r="D4" i="24"/>
  <c r="E3" i="24"/>
  <c r="F45" i="24" s="1"/>
  <c r="G40" i="21"/>
  <c r="J26" i="23"/>
  <c r="I26" i="23"/>
  <c r="M26" i="23"/>
  <c r="I27" i="23"/>
  <c r="J27" i="23" s="1"/>
  <c r="G23" i="23"/>
  <c r="J4" i="23"/>
  <c r="F23" i="23" s="1"/>
  <c r="H4" i="23"/>
  <c r="H8" i="23"/>
  <c r="H7" i="23"/>
  <c r="H6" i="23"/>
  <c r="E3" i="2"/>
  <c r="E8" i="2"/>
  <c r="E11" i="2"/>
  <c r="B8" i="23"/>
  <c r="D21" i="23" s="1"/>
  <c r="D35" i="23" s="1"/>
  <c r="O29" i="23" s="1"/>
  <c r="E8" i="22"/>
  <c r="E7" i="22"/>
  <c r="E6" i="22"/>
  <c r="D9" i="22"/>
  <c r="D8" i="22"/>
  <c r="D7" i="22"/>
  <c r="J5" i="22"/>
  <c r="I5" i="22"/>
  <c r="F9" i="22"/>
  <c r="G8" i="22"/>
  <c r="F8" i="22"/>
  <c r="G7" i="22"/>
  <c r="F7" i="22"/>
  <c r="G6" i="22"/>
  <c r="F6" i="22"/>
  <c r="D6" i="22" s="1"/>
  <c r="H5" i="22"/>
  <c r="G5" i="22"/>
  <c r="F45" i="2"/>
  <c r="E10" i="2"/>
  <c r="E9" i="2"/>
  <c r="L29" i="23" l="1"/>
  <c r="G3" i="25"/>
  <c r="F28" i="25"/>
  <c r="P34" i="25"/>
  <c r="F30" i="25"/>
  <c r="F20" i="25"/>
  <c r="G28" i="25"/>
  <c r="N31" i="24"/>
  <c r="G3" i="24"/>
  <c r="F28" i="24"/>
  <c r="J30" i="24"/>
  <c r="G20" i="24"/>
  <c r="G19" i="24" s="1"/>
  <c r="G18" i="24" s="1"/>
  <c r="G28" i="24"/>
  <c r="N30" i="24"/>
  <c r="P32" i="24"/>
  <c r="J31" i="24"/>
  <c r="P28" i="23"/>
  <c r="P29" i="23"/>
  <c r="P27" i="23"/>
  <c r="P26" i="23"/>
  <c r="M28" i="23"/>
  <c r="M29" i="23"/>
  <c r="M27" i="23"/>
  <c r="C9" i="22"/>
  <c r="C8" i="22"/>
  <c r="C7" i="22"/>
  <c r="C6" i="22"/>
  <c r="B9" i="22"/>
  <c r="B8" i="22"/>
  <c r="B7" i="22"/>
  <c r="B6" i="22"/>
  <c r="N50" i="2"/>
  <c r="I9" i="5"/>
  <c r="I10" i="5"/>
  <c r="I11" i="5"/>
  <c r="D30" i="10"/>
  <c r="D31" i="10"/>
  <c r="F23" i="10"/>
  <c r="G23" i="10"/>
  <c r="H23" i="10"/>
  <c r="E23" i="10"/>
  <c r="L4" i="10"/>
  <c r="K4" i="10"/>
  <c r="G42" i="21"/>
  <c r="H14" i="10" s="1"/>
  <c r="F42" i="21"/>
  <c r="F43" i="21" s="1"/>
  <c r="G39" i="21"/>
  <c r="N32" i="21" s="1"/>
  <c r="F37" i="21"/>
  <c r="G34" i="21"/>
  <c r="P34" i="21" s="1"/>
  <c r="F34" i="21"/>
  <c r="N33" i="21"/>
  <c r="G33" i="21"/>
  <c r="F33" i="21"/>
  <c r="G32" i="21"/>
  <c r="F32" i="21"/>
  <c r="F30" i="21" s="1"/>
  <c r="F20" i="21" s="1"/>
  <c r="F31" i="21"/>
  <c r="D16" i="21"/>
  <c r="D12" i="21"/>
  <c r="J11" i="21"/>
  <c r="D8" i="21"/>
  <c r="H6" i="21"/>
  <c r="G4" i="21"/>
  <c r="J6" i="21" s="1"/>
  <c r="J7" i="21" s="1"/>
  <c r="E4" i="21"/>
  <c r="G45" i="21" s="1"/>
  <c r="H19" i="10" s="1"/>
  <c r="D4" i="21"/>
  <c r="E3" i="21"/>
  <c r="G3" i="21" s="1"/>
  <c r="G42" i="20"/>
  <c r="G43" i="20" s="1"/>
  <c r="L15" i="10" s="1"/>
  <c r="H34" i="10" s="1"/>
  <c r="F42" i="20"/>
  <c r="G4" i="20" s="1"/>
  <c r="J6" i="20" s="1"/>
  <c r="J7" i="20" s="1"/>
  <c r="H31" i="10"/>
  <c r="G39" i="20"/>
  <c r="N32" i="20" s="1"/>
  <c r="G37" i="20"/>
  <c r="L8" i="10" s="1"/>
  <c r="H27" i="10" s="1"/>
  <c r="F37" i="20"/>
  <c r="G34" i="20"/>
  <c r="F34" i="20"/>
  <c r="G33" i="20"/>
  <c r="F33" i="20"/>
  <c r="G32" i="20"/>
  <c r="F32" i="20"/>
  <c r="G31" i="20"/>
  <c r="F31" i="20"/>
  <c r="D12" i="20"/>
  <c r="J11" i="20"/>
  <c r="D8" i="20"/>
  <c r="H6" i="20"/>
  <c r="E4" i="20"/>
  <c r="G45" i="20" s="1"/>
  <c r="L19" i="10" s="1"/>
  <c r="H38" i="10" s="1"/>
  <c r="D4" i="20"/>
  <c r="E3" i="20"/>
  <c r="F28" i="20" s="1"/>
  <c r="G42" i="19"/>
  <c r="G43" i="19" s="1"/>
  <c r="K15" i="10" s="1"/>
  <c r="G34" i="10" s="1"/>
  <c r="F42" i="19"/>
  <c r="F43" i="19" s="1"/>
  <c r="G31" i="10"/>
  <c r="G39" i="19"/>
  <c r="N32" i="19" s="1"/>
  <c r="K8" i="10"/>
  <c r="G27" i="10" s="1"/>
  <c r="F37" i="19"/>
  <c r="G34" i="19"/>
  <c r="P34" i="19" s="1"/>
  <c r="F34" i="19"/>
  <c r="N33" i="19"/>
  <c r="G33" i="19"/>
  <c r="F33" i="19"/>
  <c r="P33" i="19" s="1"/>
  <c r="G32" i="19"/>
  <c r="F32" i="19"/>
  <c r="G31" i="19"/>
  <c r="F31" i="19"/>
  <c r="D16" i="19"/>
  <c r="D12" i="19"/>
  <c r="J11" i="19"/>
  <c r="D8" i="19"/>
  <c r="H6" i="19"/>
  <c r="E4" i="19"/>
  <c r="G45" i="19" s="1"/>
  <c r="K19" i="10" s="1"/>
  <c r="G38" i="10" s="1"/>
  <c r="D4" i="19"/>
  <c r="E3" i="19"/>
  <c r="I19" i="10"/>
  <c r="E38" i="10" s="1"/>
  <c r="G42" i="18"/>
  <c r="G43" i="18" s="1"/>
  <c r="I15" i="10" s="1"/>
  <c r="E34" i="10" s="1"/>
  <c r="F42" i="18"/>
  <c r="F43" i="18" s="1"/>
  <c r="N35" i="18" s="1"/>
  <c r="E31" i="10"/>
  <c r="G39" i="18"/>
  <c r="I11" i="10" s="1"/>
  <c r="E30" i="10" s="1"/>
  <c r="G37" i="18"/>
  <c r="I8" i="10" s="1"/>
  <c r="E27" i="10" s="1"/>
  <c r="F37" i="18"/>
  <c r="G34" i="18"/>
  <c r="P34" i="18" s="1"/>
  <c r="F34" i="18"/>
  <c r="N33" i="18"/>
  <c r="G33" i="18"/>
  <c r="F33" i="18"/>
  <c r="N32" i="18"/>
  <c r="G32" i="18"/>
  <c r="F32" i="18"/>
  <c r="G31" i="18"/>
  <c r="F31" i="18"/>
  <c r="D16" i="18"/>
  <c r="D12" i="18"/>
  <c r="J11" i="18"/>
  <c r="D8" i="18"/>
  <c r="H6" i="18"/>
  <c r="G4" i="18"/>
  <c r="J6" i="18" s="1"/>
  <c r="J7" i="18" s="1"/>
  <c r="E4" i="18"/>
  <c r="G45" i="18" s="1"/>
  <c r="D4" i="18"/>
  <c r="E3" i="18"/>
  <c r="F45" i="18" s="1"/>
  <c r="J4" i="10"/>
  <c r="I4" i="10"/>
  <c r="C24" i="2"/>
  <c r="C24" i="14"/>
  <c r="E4" i="14" l="1"/>
  <c r="E3" i="14"/>
  <c r="B3" i="23"/>
  <c r="N31" i="25"/>
  <c r="N37" i="25" s="1"/>
  <c r="N40" i="25" s="1"/>
  <c r="J30" i="25"/>
  <c r="G20" i="25"/>
  <c r="G19" i="25" s="1"/>
  <c r="G18" i="25" s="1"/>
  <c r="G22" i="25"/>
  <c r="N33" i="24"/>
  <c r="N37" i="24" s="1"/>
  <c r="N40" i="24" s="1"/>
  <c r="G22" i="24"/>
  <c r="K9" i="10"/>
  <c r="G28" i="10" s="1"/>
  <c r="J32" i="19"/>
  <c r="K14" i="10"/>
  <c r="G33" i="10" s="1"/>
  <c r="N35" i="19"/>
  <c r="K11" i="10"/>
  <c r="G30" i="10" s="1"/>
  <c r="N33" i="20"/>
  <c r="P33" i="18"/>
  <c r="I14" i="10"/>
  <c r="E33" i="10" s="1"/>
  <c r="P31" i="21"/>
  <c r="J33" i="21"/>
  <c r="J34" i="21"/>
  <c r="G43" i="21"/>
  <c r="H15" i="10" s="1"/>
  <c r="J32" i="20"/>
  <c r="P33" i="20"/>
  <c r="P34" i="20"/>
  <c r="L14" i="10"/>
  <c r="H33" i="10" s="1"/>
  <c r="L11" i="10"/>
  <c r="H30" i="10" s="1"/>
  <c r="H11" i="10"/>
  <c r="J32" i="21"/>
  <c r="P33" i="21"/>
  <c r="N42" i="21"/>
  <c r="H8" i="10"/>
  <c r="N42" i="20"/>
  <c r="P31" i="20"/>
  <c r="J33" i="20"/>
  <c r="J34" i="20"/>
  <c r="F43" i="20"/>
  <c r="N35" i="20" s="1"/>
  <c r="F30" i="20"/>
  <c r="F20" i="20" s="1"/>
  <c r="P32" i="21"/>
  <c r="F28" i="21"/>
  <c r="G28" i="21"/>
  <c r="L45" i="21" s="1"/>
  <c r="N30" i="21"/>
  <c r="F45" i="21"/>
  <c r="H9" i="10"/>
  <c r="J31" i="21"/>
  <c r="G28" i="20"/>
  <c r="N30" i="20"/>
  <c r="F45" i="20"/>
  <c r="P32" i="20"/>
  <c r="G3" i="20"/>
  <c r="J31" i="20"/>
  <c r="N42" i="19"/>
  <c r="G4" i="19"/>
  <c r="J6" i="19" s="1"/>
  <c r="J7" i="19" s="1"/>
  <c r="P31" i="19"/>
  <c r="J33" i="19"/>
  <c r="J34" i="19"/>
  <c r="F28" i="19"/>
  <c r="F30" i="19"/>
  <c r="F20" i="19" s="1"/>
  <c r="P32" i="19"/>
  <c r="N30" i="19"/>
  <c r="F45" i="19"/>
  <c r="G3" i="19"/>
  <c r="J31" i="19"/>
  <c r="G20" i="19"/>
  <c r="P31" i="18"/>
  <c r="N42" i="18"/>
  <c r="F30" i="18"/>
  <c r="F20" i="18" s="1"/>
  <c r="J33" i="18"/>
  <c r="J34" i="18"/>
  <c r="J32" i="18"/>
  <c r="P32" i="18"/>
  <c r="G3" i="18"/>
  <c r="F28" i="18"/>
  <c r="J31" i="18"/>
  <c r="G28" i="18"/>
  <c r="I6" i="10" s="1"/>
  <c r="E25" i="10" s="1"/>
  <c r="N30" i="18"/>
  <c r="G39" i="17"/>
  <c r="G42" i="17"/>
  <c r="G43" i="17" s="1"/>
  <c r="J15" i="10" s="1"/>
  <c r="F34" i="10" s="1"/>
  <c r="F42" i="17"/>
  <c r="F43" i="17" s="1"/>
  <c r="N33" i="17"/>
  <c r="N32" i="17"/>
  <c r="G37" i="17"/>
  <c r="J8" i="10" s="1"/>
  <c r="F27" i="10" s="1"/>
  <c r="F37" i="17"/>
  <c r="G34" i="17"/>
  <c r="F34" i="17"/>
  <c r="G33" i="17"/>
  <c r="F33" i="17"/>
  <c r="G32" i="17"/>
  <c r="F32" i="17"/>
  <c r="G31" i="17"/>
  <c r="F31" i="17"/>
  <c r="D16" i="17"/>
  <c r="D12" i="17"/>
  <c r="J11" i="17"/>
  <c r="D8" i="17"/>
  <c r="H6" i="17"/>
  <c r="E4" i="17"/>
  <c r="G45" i="17" s="1"/>
  <c r="J19" i="10" s="1"/>
  <c r="F38" i="10" s="1"/>
  <c r="D4" i="17"/>
  <c r="E3" i="17"/>
  <c r="F45" i="17" s="1"/>
  <c r="G11" i="10"/>
  <c r="G42" i="15"/>
  <c r="G43" i="15" s="1"/>
  <c r="G15" i="10" s="1"/>
  <c r="F42" i="15"/>
  <c r="G4" i="15" s="1"/>
  <c r="J6" i="15" s="1"/>
  <c r="J7" i="15" s="1"/>
  <c r="G39" i="15"/>
  <c r="N32" i="15" s="1"/>
  <c r="G37" i="15"/>
  <c r="G8" i="10" s="1"/>
  <c r="F37" i="15"/>
  <c r="G34" i="15"/>
  <c r="P34" i="15" s="1"/>
  <c r="F34" i="15"/>
  <c r="G33" i="15"/>
  <c r="F33" i="15"/>
  <c r="G32" i="15"/>
  <c r="J32" i="15" s="1"/>
  <c r="F32" i="15"/>
  <c r="G31" i="15"/>
  <c r="F31" i="15"/>
  <c r="D16" i="15"/>
  <c r="D12" i="15"/>
  <c r="J11" i="15"/>
  <c r="D8" i="15"/>
  <c r="H6" i="15"/>
  <c r="E4" i="15"/>
  <c r="G45" i="15" s="1"/>
  <c r="G19" i="10" s="1"/>
  <c r="D4" i="15"/>
  <c r="E3" i="15"/>
  <c r="G3" i="15" s="1"/>
  <c r="C19" i="10"/>
  <c r="C38" i="10" s="1"/>
  <c r="C14" i="10"/>
  <c r="C33" i="10" s="1"/>
  <c r="C8" i="10"/>
  <c r="C6" i="10"/>
  <c r="C25" i="10" s="1"/>
  <c r="E15" i="10"/>
  <c r="F42" i="14"/>
  <c r="F43" i="14" s="1"/>
  <c r="N32" i="14"/>
  <c r="E8" i="10"/>
  <c r="F37" i="14"/>
  <c r="N30" i="14" s="1"/>
  <c r="F34" i="14"/>
  <c r="F33" i="14"/>
  <c r="P33" i="14" s="1"/>
  <c r="F32" i="14"/>
  <c r="J32" i="14" s="1"/>
  <c r="F31" i="14"/>
  <c r="E9" i="10"/>
  <c r="D12" i="14"/>
  <c r="J11" i="14"/>
  <c r="D8" i="14"/>
  <c r="H6" i="14"/>
  <c r="D4" i="14"/>
  <c r="F45" i="14"/>
  <c r="D16" i="2"/>
  <c r="D12" i="2"/>
  <c r="D8" i="2"/>
  <c r="D4" i="2"/>
  <c r="E4" i="2"/>
  <c r="G45" i="2" s="1"/>
  <c r="D19" i="10"/>
  <c r="D38" i="10" s="1"/>
  <c r="I4" i="23" l="1"/>
  <c r="I7" i="23"/>
  <c r="J7" i="23" s="1"/>
  <c r="F20" i="23" s="1"/>
  <c r="I8" i="23"/>
  <c r="J8" i="23" s="1"/>
  <c r="F21" i="23" s="1"/>
  <c r="I6" i="23"/>
  <c r="J6" i="23" s="1"/>
  <c r="F19" i="23" s="1"/>
  <c r="G45" i="14"/>
  <c r="E19" i="10" s="1"/>
  <c r="I5" i="23"/>
  <c r="G19" i="19"/>
  <c r="G18" i="19" s="1"/>
  <c r="G22" i="19"/>
  <c r="K6" i="10"/>
  <c r="G25" i="10" s="1"/>
  <c r="J9" i="10"/>
  <c r="F28" i="10" s="1"/>
  <c r="G20" i="18"/>
  <c r="G19" i="18" s="1"/>
  <c r="G18" i="18" s="1"/>
  <c r="I9" i="10"/>
  <c r="E28" i="10" s="1"/>
  <c r="K45" i="21"/>
  <c r="L44" i="21" s="1"/>
  <c r="G20" i="21"/>
  <c r="G19" i="21" s="1"/>
  <c r="G18" i="21" s="1"/>
  <c r="N35" i="21"/>
  <c r="G22" i="20"/>
  <c r="L6" i="10"/>
  <c r="H25" i="10" s="1"/>
  <c r="G20" i="20"/>
  <c r="G19" i="20" s="1"/>
  <c r="G18" i="20" s="1"/>
  <c r="L9" i="10"/>
  <c r="H28" i="10" s="1"/>
  <c r="C15" i="10"/>
  <c r="C17" i="10" s="1"/>
  <c r="C36" i="10" s="1"/>
  <c r="C27" i="10"/>
  <c r="C34" i="10" s="1"/>
  <c r="G22" i="21"/>
  <c r="H6" i="10"/>
  <c r="J30" i="21"/>
  <c r="N31" i="21"/>
  <c r="N31" i="20"/>
  <c r="N37" i="20" s="1"/>
  <c r="N40" i="20" s="1"/>
  <c r="J30" i="20"/>
  <c r="G14" i="10"/>
  <c r="P33" i="15"/>
  <c r="J30" i="19"/>
  <c r="N31" i="19"/>
  <c r="N37" i="19" s="1"/>
  <c r="N40" i="19" s="1"/>
  <c r="J14" i="10"/>
  <c r="F33" i="10" s="1"/>
  <c r="J32" i="17"/>
  <c r="P33" i="17"/>
  <c r="N35" i="17"/>
  <c r="J30" i="18"/>
  <c r="N31" i="18"/>
  <c r="N37" i="18" s="1"/>
  <c r="N40" i="18" s="1"/>
  <c r="G22" i="18"/>
  <c r="E14" i="10"/>
  <c r="H5" i="23" s="1"/>
  <c r="J5" i="23" s="1"/>
  <c r="F18" i="23" s="1"/>
  <c r="P34" i="14"/>
  <c r="N35" i="14"/>
  <c r="F31" i="10"/>
  <c r="P34" i="17"/>
  <c r="J11" i="10"/>
  <c r="F30" i="10" s="1"/>
  <c r="G4" i="17"/>
  <c r="J6" i="17" s="1"/>
  <c r="J7" i="17" s="1"/>
  <c r="N42" i="17"/>
  <c r="P31" i="17"/>
  <c r="J33" i="17"/>
  <c r="J34" i="17"/>
  <c r="F30" i="17"/>
  <c r="F20" i="17" s="1"/>
  <c r="P32" i="17"/>
  <c r="G3" i="17"/>
  <c r="F28" i="17"/>
  <c r="J31" i="17"/>
  <c r="G28" i="17"/>
  <c r="J6" i="10" s="1"/>
  <c r="F25" i="10" s="1"/>
  <c r="N30" i="17"/>
  <c r="F19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G9" i="10"/>
  <c r="G28" i="15"/>
  <c r="G40" i="15" s="1"/>
  <c r="N30" i="15"/>
  <c r="G4" i="14"/>
  <c r="J6" i="14" s="1"/>
  <c r="J7" i="14" s="1"/>
  <c r="J33" i="14"/>
  <c r="J34" i="14"/>
  <c r="P31" i="14"/>
  <c r="F30" i="14"/>
  <c r="J31" i="14"/>
  <c r="P32" i="14"/>
  <c r="G3" i="14"/>
  <c r="F28" i="14"/>
  <c r="B4" i="23" s="1"/>
  <c r="D17" i="23" s="1"/>
  <c r="D31" i="23" s="1"/>
  <c r="E6" i="10"/>
  <c r="B5" i="23" s="1"/>
  <c r="G20" i="14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G12" i="10" l="1"/>
  <c r="N33" i="15"/>
  <c r="E7" i="23"/>
  <c r="E6" i="23"/>
  <c r="F20" i="14"/>
  <c r="G19" i="14" s="1"/>
  <c r="G18" i="14" s="1"/>
  <c r="N31" i="14"/>
  <c r="E8" i="23"/>
  <c r="F8" i="23" s="1"/>
  <c r="G40" i="14"/>
  <c r="N33" i="14" s="1"/>
  <c r="E5" i="23"/>
  <c r="F5" i="23" s="1"/>
  <c r="D18" i="23"/>
  <c r="D32" i="23" s="1"/>
  <c r="G20" i="17"/>
  <c r="G19" i="17" s="1"/>
  <c r="G18" i="17" s="1"/>
  <c r="N37" i="21"/>
  <c r="N40" i="21" s="1"/>
  <c r="G20" i="15"/>
  <c r="G19" i="15" s="1"/>
  <c r="G18" i="15" s="1"/>
  <c r="G22" i="15"/>
  <c r="G6" i="10"/>
  <c r="B7" i="23" s="1"/>
  <c r="D20" i="23" s="1"/>
  <c r="D34" i="23" s="1"/>
  <c r="J30" i="17"/>
  <c r="N31" i="17"/>
  <c r="N37" i="17" s="1"/>
  <c r="N40" i="17" s="1"/>
  <c r="G22" i="17"/>
  <c r="N31" i="15"/>
  <c r="N37" i="15" s="1"/>
  <c r="N40" i="15" s="1"/>
  <c r="J30" i="15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F42" i="2"/>
  <c r="D14" i="10" s="1"/>
  <c r="D33" i="10" s="1"/>
  <c r="H11" i="3"/>
  <c r="L6" i="3" s="1"/>
  <c r="B22" i="3"/>
  <c r="C6" i="3" s="1"/>
  <c r="O28" i="23" l="1"/>
  <c r="L28" i="23"/>
  <c r="F7" i="23"/>
  <c r="L7" i="23" s="1"/>
  <c r="M7" i="23" s="1"/>
  <c r="N37" i="14"/>
  <c r="N40" i="14" s="1"/>
  <c r="E12" i="10"/>
  <c r="E17" i="10" s="1"/>
  <c r="I22" i="10" s="1"/>
  <c r="F13" i="23"/>
  <c r="E21" i="23" s="1"/>
  <c r="L8" i="23"/>
  <c r="M8" i="23" s="1"/>
  <c r="F10" i="23"/>
  <c r="E18" i="23" s="1"/>
  <c r="M5" i="23"/>
  <c r="L26" i="23"/>
  <c r="O26" i="23"/>
  <c r="F14" i="10"/>
  <c r="F15" i="10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N42" i="2" s="1"/>
  <c r="F37" i="2"/>
  <c r="D8" i="10" s="1"/>
  <c r="F12" i="23" l="1"/>
  <c r="E20" i="23" s="1"/>
  <c r="R26" i="23"/>
  <c r="D27" i="10"/>
  <c r="G28" i="2"/>
  <c r="F8" i="10"/>
  <c r="N35" i="2"/>
  <c r="D15" i="10"/>
  <c r="D34" i="10" s="1"/>
  <c r="N32" i="2"/>
  <c r="F11" i="10"/>
  <c r="P31" i="2"/>
  <c r="F28" i="2"/>
  <c r="P34" i="2"/>
  <c r="N30" i="2"/>
  <c r="F9" i="10"/>
  <c r="F30" i="2"/>
  <c r="F6" i="10" l="1"/>
  <c r="B6" i="23" s="1"/>
  <c r="G40" i="2"/>
  <c r="N33" i="2" s="1"/>
  <c r="F20" i="2"/>
  <c r="D9" i="10"/>
  <c r="G22" i="2"/>
  <c r="D6" i="10"/>
  <c r="D25" i="10" s="1"/>
  <c r="G20" i="2"/>
  <c r="G19" i="2" s="1"/>
  <c r="G18" i="2" s="1"/>
  <c r="N31" i="2"/>
  <c r="F12" i="10" l="1"/>
  <c r="N37" i="2"/>
  <c r="N40" i="2" s="1"/>
  <c r="D19" i="23"/>
  <c r="D33" i="23" s="1"/>
  <c r="F6" i="23"/>
  <c r="D28" i="10"/>
  <c r="L17" i="10"/>
  <c r="K17" i="10"/>
  <c r="H17" i="10"/>
  <c r="J17" i="10"/>
  <c r="I17" i="10"/>
  <c r="O5" i="23"/>
  <c r="Q5" i="23" s="1"/>
  <c r="G18" i="23" s="1"/>
  <c r="H18" i="23" s="1"/>
  <c r="G17" i="10"/>
  <c r="F17" i="10"/>
  <c r="L27" i="23" l="1"/>
  <c r="O27" i="23"/>
  <c r="F11" i="23"/>
  <c r="E19" i="23" s="1"/>
  <c r="L6" i="23"/>
  <c r="M6" i="23" s="1"/>
  <c r="O7" i="23"/>
  <c r="Q7" i="23" s="1"/>
  <c r="G20" i="23" s="1"/>
  <c r="H20" i="23" s="1"/>
  <c r="K22" i="10"/>
  <c r="O8" i="23"/>
  <c r="Q8" i="23" s="1"/>
  <c r="G21" i="23" s="1"/>
  <c r="H21" i="23" s="1"/>
  <c r="L22" i="10"/>
  <c r="O6" i="23"/>
  <c r="J22" i="10"/>
  <c r="H36" i="10"/>
  <c r="L23" i="10"/>
  <c r="G36" i="10"/>
  <c r="K23" i="10"/>
  <c r="F36" i="10"/>
  <c r="J23" i="10"/>
  <c r="E36" i="10"/>
  <c r="I23" i="10"/>
  <c r="Q6" i="23" l="1"/>
  <c r="G19" i="23" s="1"/>
  <c r="H19" i="23" s="1"/>
</calcChain>
</file>

<file path=xl/sharedStrings.xml><?xml version="1.0" encoding="utf-8"?>
<sst xmlns="http://schemas.openxmlformats.org/spreadsheetml/2006/main" count="1200" uniqueCount="140">
  <si>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</si>
  <si>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</si>
  <si>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</si>
  <si>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</si>
  <si>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</si>
  <si>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</si>
  <si>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</si>
  <si>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</si>
  <si>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</si>
  <si>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</si>
  <si>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</si>
  <si>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</si>
  <si>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</si>
  <si>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</si>
  <si>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</si>
  <si>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</si>
  <si>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</si>
  <si>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</si>
  <si>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</si>
  <si>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</si>
  <si>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</si>
  <si>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</si>
  <si>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</si>
  <si>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</si>
  <si>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</si>
  <si>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</si>
  <si>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</si>
  <si>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</si>
  <si>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</si>
  <si>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</si>
  <si>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</si>
  <si>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</si>
  <si>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</si>
  <si>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</si>
  <si>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</si>
  <si>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</si>
  <si>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</si>
  <si>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</si>
  <si>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</si>
  <si>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</si>
  <si>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</si>
  <si>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</si>
  <si>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</si>
  <si>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</si>
  <si>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</si>
  <si>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</si>
  <si>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</si>
  <si>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</si>
  <si>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</si>
  <si>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</si>
  <si>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</si>
  <si>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</si>
  <si>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</si>
  <si>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</si>
  <si>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</si>
  <si>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</si>
  <si>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</si>
  <si>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</si>
  <si>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</si>
  <si>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</si>
  <si>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</si>
  <si>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</si>
  <si>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</si>
  <si>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</si>
  <si>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</si>
  <si>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</si>
  <si>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</si>
  <si>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</si>
  <si>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</si>
  <si>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</si>
  <si>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</si>
  <si>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</si>
  <si>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</si>
  <si>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</si>
  <si>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</si>
  <si>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</si>
  <si>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</si>
  <si>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</si>
  <si>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</si>
  <si>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</si>
  <si>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</si>
  <si>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</si>
  <si>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</si>
  <si>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</si>
  <si>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</si>
  <si>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</si>
  <si>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</si>
  <si>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</si>
  <si>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</si>
  <si>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</si>
  <si>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print(Exchange)</t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</si>
  <si>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</si>
  <si>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</si>
  <si>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</si>
  <si>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</si>
  <si>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</si>
  <si>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</si>
  <si>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r>
      <t xml:space="preserve">Pass-Through = 100%
</t>
    </r>
    <r>
      <rPr>
        <b/>
        <i/>
        <sz val="10"/>
        <color theme="1"/>
        <rFont val="Calibri (Body)"/>
      </rPr>
      <t>Elasticity</t>
    </r>
  </si>
  <si>
    <r>
      <t xml:space="preserve">Pass-Through=80%
</t>
    </r>
    <r>
      <rPr>
        <b/>
        <i/>
        <sz val="10"/>
        <color theme="1"/>
        <rFont val="Calibri (Body)"/>
      </rPr>
      <t>Elasticity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</si>
  <si>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</si>
  <si>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</si>
  <si>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</si>
  <si>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</si>
  <si>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</si>
  <si>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</si>
  <si>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</si>
  <si>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</si>
  <si>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</si>
  <si>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Output (100%)</t>
  </si>
  <si>
    <t>Output(80%)</t>
  </si>
  <si>
    <t>∆ Profits (100%)</t>
  </si>
  <si>
    <t>∆ Profits (80%)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</si>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</sst>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%"/>
    <numFmt numFmtId="170" formatCode="0.000000000000%"/>
    <numFmt numFmtId="171" formatCode="0.0"/>
  </numFmts>
  <fonts count="15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sz val="14"/>
      <color rgb="FFD5D5D5"/>
      <name val="Courier New"/>
      <family val="1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/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3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171" fontId="3" fillId="0" borderId="1" xfId="0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Summary!$I$22:$L$22</c:f>
              <c:numCache>
                <c:formatCode>0.00%</c:formatCode>
                <c:ptCount val="4"/>
                <c:pt idx="0">
                  <c:v>3.6571888258481858E-2</c:v>
                </c:pt>
                <c:pt idx="1">
                  <c:v>8.0846954916988595E-2</c:v>
                </c:pt>
                <c:pt idx="2">
                  <c:v>0.11927343512323579</c:v>
                </c:pt>
                <c:pt idx="3">
                  <c:v>0.19574897509849928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Summary!$I$23:$L$23</c:f>
              <c:numCache>
                <c:formatCode>0.00%</c:formatCode>
                <c:ptCount val="4"/>
                <c:pt idx="0">
                  <c:v>3.1556300205859991E-2</c:v>
                </c:pt>
                <c:pt idx="1">
                  <c:v>6.9458677760170798E-2</c:v>
                </c:pt>
                <c:pt idx="2">
                  <c:v>0.10077236963271016</c:v>
                </c:pt>
                <c:pt idx="3">
                  <c:v>0.15112776034896458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'2yr-0.1-8'!$N$30</c:f>
              <c:numCache>
                <c:formatCode>#,##0</c:formatCode>
                <c:ptCount val="1"/>
                <c:pt idx="0">
                  <c:v>-3358.8588389407996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E-BE40-A017-B79CE645388A}"/>
            </c:ext>
          </c:extLst>
        </c:ser>
        <c:ser>
          <c:idx val="1"/>
          <c:order val="1"/>
          <c:tx>
            <c:strRef>
              <c:f>'2yr-0.1-8'!$M$31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'2yr-0.1-8'!$N$31</c:f>
              <c:numCache>
                <c:formatCode>#,##0</c:formatCode>
                <c:ptCount val="1"/>
                <c:pt idx="0">
                  <c:v>1471.4776632017683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E-BE40-A017-B79CE645388A}"/>
            </c:ext>
          </c:extLst>
        </c:ser>
        <c:ser>
          <c:idx val="2"/>
          <c:order val="2"/>
          <c:tx>
            <c:strRef>
              <c:f>'2yr-0.1-8'!$M$32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'2yr-0.1-8'!$N$32</c:f>
              <c:numCache>
                <c:formatCode>#,##0</c:formatCode>
                <c:ptCount val="1"/>
                <c:pt idx="0">
                  <c:v>1330.9350661523399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E-BE40-A017-B79CE645388A}"/>
            </c:ext>
          </c:extLst>
        </c:ser>
        <c:ser>
          <c:idx val="4"/>
          <c:order val="3"/>
          <c:tx>
            <c:strRef>
              <c:f>'2yr-0.1-8'!$E$40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'2yr-0.1-8'!$G$40</c:f>
              <c:numCache>
                <c:formatCode>#,##0</c:formatCode>
                <c:ptCount val="1"/>
                <c:pt idx="0">
                  <c:v>957.35304376299939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E-BE40-A017-B79CE645388A}"/>
            </c:ext>
          </c:extLst>
        </c:ser>
        <c:ser>
          <c:idx val="3"/>
          <c:order val="4"/>
          <c:tx>
            <c:strRef>
              <c:f>'2yr-0.1-8'!$M$35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'2yr-0.1-8'!$N$35</c:f>
              <c:numCache>
                <c:formatCode>#,##0</c:formatCode>
                <c:ptCount val="1"/>
                <c:pt idx="0">
                  <c:v>100.59426639154435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E-BE40-A017-B79CE645388A}"/>
            </c:ext>
          </c:extLst>
        </c:ser>
        <c:ser>
          <c:idx val="5"/>
          <c:order val="5"/>
          <c:tx>
            <c:strRef>
              <c:f>'2yr-0.1-8'!$M$37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'2yr-0.1-8'!$N$37</c:f>
              <c:numCache>
                <c:formatCode>#,##0</c:formatCode>
                <c:ptCount val="1"/>
                <c:pt idx="0">
                  <c:v>501.50120056785238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E-BE40-A017-B79CE6453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'2yr-0.3-8'!$M$30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'2yr-0.3-8'!$M$30:$M$35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'2yr-0.3-8'!$N$30</c:f>
              <c:numCache>
                <c:formatCode>#,##0</c:formatCode>
                <c:ptCount val="1"/>
                <c:pt idx="0">
                  <c:v>-2471.4520410598998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AB40-AAEC-BF68197822C8}"/>
            </c:ext>
          </c:extLst>
        </c:ser>
        <c:ser>
          <c:idx val="1"/>
          <c:order val="1"/>
          <c:tx>
            <c:strRef>
              <c:f>'2yr-0.3-8'!$M$31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'2yr-0.3-8'!$N$31</c:f>
              <c:numCache>
                <c:formatCode>#,##0</c:formatCode>
                <c:ptCount val="1"/>
                <c:pt idx="0">
                  <c:v>1218.9360476129041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6-AB40-AAEC-BF68197822C8}"/>
            </c:ext>
          </c:extLst>
        </c:ser>
        <c:ser>
          <c:idx val="2"/>
          <c:order val="2"/>
          <c:tx>
            <c:strRef>
              <c:f>'2yr-0.3-8'!$M$32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'2yr-0.3-8'!$N$32</c:f>
              <c:numCache>
                <c:formatCode>#,##0</c:formatCode>
                <c:ptCount val="1"/>
                <c:pt idx="0">
                  <c:v>1171.5600385063601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6-AB40-AAEC-BF68197822C8}"/>
            </c:ext>
          </c:extLst>
        </c:ser>
        <c:ser>
          <c:idx val="4"/>
          <c:order val="3"/>
          <c:tx>
            <c:strRef>
              <c:f>'2yr-0.3-8'!$E$40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'2yr-0.3-8'!$G$40</c:f>
              <c:numCache>
                <c:formatCode>#,##0</c:formatCode>
                <c:ptCount val="1"/>
                <c:pt idx="0">
                  <c:v>863.20452533723676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6-AB40-AAEC-BF68197822C8}"/>
            </c:ext>
          </c:extLst>
        </c:ser>
        <c:ser>
          <c:idx val="3"/>
          <c:order val="4"/>
          <c:tx>
            <c:strRef>
              <c:f>'2yr-0.3-8'!$M$35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'2yr-0.3-8'!$N$35</c:f>
              <c:numCache>
                <c:formatCode>#,##0</c:formatCode>
                <c:ptCount val="1"/>
                <c:pt idx="0">
                  <c:v>259.96929403753052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6-AB40-AAEC-BF68197822C8}"/>
            </c:ext>
          </c:extLst>
        </c:ser>
        <c:ser>
          <c:idx val="5"/>
          <c:order val="5"/>
          <c:tx>
            <c:strRef>
              <c:f>'2yr-0.3-8'!$M$37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'2yr-0.3-8'!$N$37</c:f>
              <c:numCache>
                <c:formatCode>#,##0</c:formatCode>
                <c:ptCount val="1"/>
                <c:pt idx="0">
                  <c:v>1042.2178644341316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6-AB40-AAEC-BF6819782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'2yr-0.5-8'!$M$30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'2yr-0.5-8'!$M$30:$M$35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'2yr-0.5-8'!$N$30</c:f>
              <c:numCache>
                <c:formatCode>#,##0</c:formatCode>
                <c:ptCount val="1"/>
                <c:pt idx="0">
                  <c:v>-1811.3841752788012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374B-BB48-8C4A394F6EEB}"/>
            </c:ext>
          </c:extLst>
        </c:ser>
        <c:ser>
          <c:idx val="1"/>
          <c:order val="1"/>
          <c:tx>
            <c:strRef>
              <c:f>'2yr-0.5-8'!$M$31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'2yr-0.5-8'!$N$31</c:f>
              <c:numCache>
                <c:formatCode>#,##0</c:formatCode>
                <c:ptCount val="1"/>
                <c:pt idx="0">
                  <c:v>1034.2644386877391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F-374B-BB48-8C4A394F6EEB}"/>
            </c:ext>
          </c:extLst>
        </c:ser>
        <c:ser>
          <c:idx val="2"/>
          <c:order val="2"/>
          <c:tx>
            <c:strRef>
              <c:f>'2yr-0.5-8'!$M$32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'2yr-0.5-8'!$N$32</c:f>
              <c:numCache>
                <c:formatCode>#,##0</c:formatCode>
                <c:ptCount val="1"/>
                <c:pt idx="0">
                  <c:v>1056.5377361365599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F-374B-BB48-8C4A394F6EEB}"/>
            </c:ext>
          </c:extLst>
        </c:ser>
        <c:ser>
          <c:idx val="4"/>
          <c:order val="3"/>
          <c:tx>
            <c:strRef>
              <c:f>'2yr-0.5-8'!$E$40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'2yr-0.5-8'!$G$40</c:f>
              <c:numCache>
                <c:formatCode>#,##0</c:formatCode>
                <c:ptCount val="1"/>
                <c:pt idx="0">
                  <c:v>791.14928625095126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F-374B-BB48-8C4A394F6EEB}"/>
            </c:ext>
          </c:extLst>
        </c:ser>
        <c:ser>
          <c:idx val="3"/>
          <c:order val="4"/>
          <c:tx>
            <c:strRef>
              <c:f>'2yr-0.5-8'!$M$35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'2yr-0.5-8'!$N$35</c:f>
              <c:numCache>
                <c:formatCode>#,##0</c:formatCode>
                <c:ptCount val="1"/>
                <c:pt idx="0">
                  <c:v>374.99159640732819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F-374B-BB48-8C4A394F6EEB}"/>
            </c:ext>
          </c:extLst>
        </c:ser>
        <c:ser>
          <c:idx val="5"/>
          <c:order val="5"/>
          <c:tx>
            <c:strRef>
              <c:f>'2yr-0.5-8'!$M$37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'2yr-0.5-8'!$N$37</c:f>
              <c:numCache>
                <c:formatCode>#,##0</c:formatCode>
                <c:ptCount val="1"/>
                <c:pt idx="0">
                  <c:v>1445.5588822037773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F-374B-BB48-8C4A394F6E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'2yr-1-8'!$M$30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'2yr-1-8'!$M$30:$M$35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'2yr-1-8'!$N$30</c:f>
              <c:numCache>
                <c:formatCode>#,##0</c:formatCode>
                <c:ptCount val="1"/>
                <c:pt idx="0">
                  <c:v>-491.42859656909968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094D-8703-8BDDC4F01EE2}"/>
            </c:ext>
          </c:extLst>
        </c:ser>
        <c:ser>
          <c:idx val="1"/>
          <c:order val="1"/>
          <c:tx>
            <c:strRef>
              <c:f>'2yr-1-8'!$M$31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'2yr-1-8'!$N$31</c:f>
              <c:numCache>
                <c:formatCode>#,##0</c:formatCode>
                <c:ptCount val="1"/>
                <c:pt idx="0">
                  <c:v>445.91980821823745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3-094D-8703-8BDDC4F01EE2}"/>
            </c:ext>
          </c:extLst>
        </c:ser>
        <c:ser>
          <c:idx val="2"/>
          <c:order val="2"/>
          <c:tx>
            <c:strRef>
              <c:f>'2yr-1-8'!$M$32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'2yr-1-8'!$N$32</c:f>
              <c:numCache>
                <c:formatCode>#,##0</c:formatCode>
                <c:ptCount val="1"/>
                <c:pt idx="0">
                  <c:v>927.37344050381694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3-094D-8703-8BDDC4F01EE2}"/>
            </c:ext>
          </c:extLst>
        </c:ser>
        <c:ser>
          <c:idx val="4"/>
          <c:order val="3"/>
          <c:tx>
            <c:strRef>
              <c:f>'2yr-1-8'!$E$40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'2yr-1-8'!$G$40</c:f>
              <c:numCache>
                <c:formatCode>#,##0</c:formatCode>
                <c:ptCount val="1"/>
                <c:pt idx="0">
                  <c:v>582.3941137200826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3-094D-8703-8BDDC4F01EE2}"/>
            </c:ext>
          </c:extLst>
        </c:ser>
        <c:ser>
          <c:idx val="3"/>
          <c:order val="4"/>
          <c:tx>
            <c:strRef>
              <c:f>'2yr-1-8'!$M$35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'2yr-1-8'!$N$35</c:f>
              <c:numCache>
                <c:formatCode>#,##0</c:formatCode>
                <c:ptCount val="1"/>
                <c:pt idx="0">
                  <c:v>504.15589204007745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3-094D-8703-8BDDC4F01EE2}"/>
            </c:ext>
          </c:extLst>
        </c:ser>
        <c:ser>
          <c:idx val="5"/>
          <c:order val="5"/>
          <c:tx>
            <c:strRef>
              <c:f>'2yr-1-8'!$M$37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'2yr-1-8'!$N$37</c:f>
              <c:numCache>
                <c:formatCode>#,##0</c:formatCode>
                <c:ptCount val="1"/>
                <c:pt idx="0">
                  <c:v>1968.4146579131148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3-094D-8703-8BDDC4F01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Summary!$E$17:$H$17</c:f>
              <c:numCache>
                <c:formatCode>#,##0</c:formatCode>
                <c:ptCount val="4"/>
                <c:pt idx="0">
                  <c:v>610.99595474900411</c:v>
                </c:pt>
                <c:pt idx="1">
                  <c:v>1257.7201764744677</c:v>
                </c:pt>
                <c:pt idx="2">
                  <c:v>1745.7038152573439</c:v>
                </c:pt>
                <c:pt idx="3">
                  <c:v>2439.3433016056601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Summary!$O$8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Summary!$I$17:$L$17</c:f>
              <c:numCache>
                <c:formatCode>#,##0</c:formatCode>
                <c:ptCount val="4"/>
                <c:pt idx="0">
                  <c:v>501.50120056785238</c:v>
                </c:pt>
                <c:pt idx="1">
                  <c:v>1042.2178644341316</c:v>
                </c:pt>
                <c:pt idx="2">
                  <c:v>1445.5588822037773</c:v>
                </c:pt>
                <c:pt idx="3">
                  <c:v>1968.4146579131148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2500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803240832959135"/>
          <c:y val="8.4077876229265366E-2"/>
          <c:w val="0.21801518734893016"/>
          <c:h val="0.187405340138099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31457921904001E-2"/>
          <c:y val="2.4073987272667116E-2"/>
          <c:w val="0.79032823747908709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(100%)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1">
                  <c:v>96729973.084366202</c:v>
                </c:pt>
                <c:pt idx="2">
                  <c:v>83969966.034816995</c:v>
                </c:pt>
                <c:pt idx="3">
                  <c:v>74294842.727968201</c:v>
                </c:pt>
                <c:pt idx="4">
                  <c:v>60322182.973327197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Output(80%)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1">
                  <c:v>98079498.091489404</c:v>
                </c:pt>
                <c:pt idx="2">
                  <c:v>87467310.758715898</c:v>
                </c:pt>
                <c:pt idx="3">
                  <c:v>79501242.103925005</c:v>
                </c:pt>
                <c:pt idx="4">
                  <c:v>68816116.059889793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(100%)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146190615.76286197</c:v>
                </c:pt>
                <c:pt idx="1">
                  <c:v>4718706.7987478971</c:v>
                </c:pt>
                <c:pt idx="2">
                  <c:v>-56934986.06309104</c:v>
                </c:pt>
                <c:pt idx="3">
                  <c:v>-71890828.717326045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(80%)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-145665622.80819404</c:v>
                </c:pt>
                <c:pt idx="1">
                  <c:v>-225282458.08716804</c:v>
                </c:pt>
                <c:pt idx="2">
                  <c:v>-249129890.99443305</c:v>
                </c:pt>
                <c:pt idx="3">
                  <c:v>-205283383.44798207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Output</a:t>
                </a:r>
                <a:endParaRPr lang="en-US" sz="1600" b="1" i="1" baseline="0"/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 baseline="0"/>
                  <a:t>[TWh]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0.92238834739314668"/>
              <c:y val="0.388578549657099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076285067644553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years-0'!$N$30</c:f>
              <c:numCache>
                <c:formatCode>#,##0</c:formatCode>
                <c:ptCount val="1"/>
                <c:pt idx="0">
                  <c:v>-4173.3008274248004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'2 years-0'!$M$31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years-0'!$N$31</c:f>
              <c:numCache>
                <c:formatCode>#,##0</c:formatCode>
                <c:ptCount val="1"/>
                <c:pt idx="0">
                  <c:v>2160.4829224697096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'2 years-0'!$M$32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years-0'!$N$32</c:f>
              <c:numCache>
                <c:formatCode>#,##0</c:formatCode>
                <c:ptCount val="1"/>
                <c:pt idx="0">
                  <c:v>1310.3511756006501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'2 years-0'!$E$40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years-0'!$G$40</c:f>
              <c:numCache>
                <c:formatCode>#,##0</c:formatCode>
                <c:ptCount val="1"/>
                <c:pt idx="0">
                  <c:v>1192.284527160205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'2 years-0'!$M$35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years-0'!$N$35</c:f>
              <c:numCache>
                <c:formatCode>#,##0</c:formatCode>
                <c:ptCount val="1"/>
                <c:pt idx="0">
                  <c:v>121.17815694323986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'2 years-0'!$M$37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years-0'!$N$37</c:f>
              <c:numCache>
                <c:formatCode>#,##0</c:formatCode>
                <c:ptCount val="1"/>
                <c:pt idx="0">
                  <c:v>610.99595474900411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years-0.1'!$N$30</c:f>
              <c:numCache>
                <c:formatCode>#,##0</c:formatCode>
                <c:ptCount val="1"/>
                <c:pt idx="0">
                  <c:v>-4173.3008274248004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'2 years-0.1'!$M$31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years-0.1'!$N$31</c:f>
              <c:numCache>
                <c:formatCode>#,##0</c:formatCode>
                <c:ptCount val="1"/>
                <c:pt idx="0">
                  <c:v>2160.4829224697096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'2 years-0.1'!$M$32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years-0.1'!$N$32</c:f>
              <c:numCache>
                <c:formatCode>#,##0</c:formatCode>
                <c:ptCount val="1"/>
                <c:pt idx="0">
                  <c:v>1310.3511756006501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'2 years-0.1'!$E$40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years-0.1'!$G$40</c:f>
              <c:numCache>
                <c:formatCode>#,##0</c:formatCode>
                <c:ptCount val="1"/>
                <c:pt idx="0">
                  <c:v>1192.284527160205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'2 years-0.1'!$M$35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years-0.1'!$N$35</c:f>
              <c:numCache>
                <c:formatCode>#,##0</c:formatCode>
                <c:ptCount val="1"/>
                <c:pt idx="0">
                  <c:v>121.17815694323986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'2 years-0.1'!$M$37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years-0.1'!$N$37</c:f>
              <c:numCache>
                <c:formatCode>#,##0</c:formatCode>
                <c:ptCount val="1"/>
                <c:pt idx="0">
                  <c:v>610.99595474900411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years-0.3'!$N$30</c:f>
              <c:numCache>
                <c:formatCode>#,##0</c:formatCode>
                <c:ptCount val="1"/>
                <c:pt idx="0">
                  <c:v>-3023.3935035393988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'2 years-0.3'!$M$31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years-0.3'!$N$31</c:f>
              <c:numCache>
                <c:formatCode>#,##0</c:formatCode>
                <c:ptCount val="1"/>
                <c:pt idx="0">
                  <c:v>1784.4863600187273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'2 years-0.3'!$M$32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years-0.3'!$N$32</c:f>
              <c:numCache>
                <c:formatCode>#,##0</c:formatCode>
                <c:ptCount val="1"/>
                <c:pt idx="0">
                  <c:v>1119.7983734350901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'2 years-0.3'!$E$40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years-0.3'!$G$40</c:f>
              <c:numCache>
                <c:formatCode>#,##0</c:formatCode>
                <c:ptCount val="1"/>
                <c:pt idx="0">
                  <c:v>1065.0979874512557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'2 years-0.3'!$M$35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years-0.3'!$N$35</c:f>
              <c:numCache>
                <c:formatCode>#,##0</c:formatCode>
                <c:ptCount val="1"/>
                <c:pt idx="0">
                  <c:v>311.73095910879351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'2 years-0.3'!$M$37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years-0.3'!$N$37</c:f>
              <c:numCache>
                <c:formatCode>#,##0</c:formatCode>
                <c:ptCount val="1"/>
                <c:pt idx="0">
                  <c:v>1257.7201764744677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years-0.5'!$N$30</c:f>
              <c:numCache>
                <c:formatCode>#,##0</c:formatCode>
                <c:ptCount val="1"/>
                <c:pt idx="0">
                  <c:v>-2102.7395803769996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'2 years-0.5'!$M$31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years-0.5'!$N$31</c:f>
              <c:numCache>
                <c:formatCode>#,##0</c:formatCode>
                <c:ptCount val="1"/>
                <c:pt idx="0">
                  <c:v>1467.3625398066815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'2 years-0.5'!$M$32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years-0.5'!$N$32</c:f>
              <c:numCache>
                <c:formatCode>#,##0</c:formatCode>
                <c:ptCount val="1"/>
                <c:pt idx="0">
                  <c:v>981.42225287188194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'2 years-0.5'!$E$40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years-0.5'!$G$40</c:f>
              <c:numCache>
                <c:formatCode>#,##0</c:formatCode>
                <c:ptCount val="1"/>
                <c:pt idx="0">
                  <c:v>949.5515232837671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'2 years-0.5'!$M$35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years-0.5'!$N$35</c:f>
              <c:numCache>
                <c:formatCode>#,##0</c:formatCode>
                <c:ptCount val="1"/>
                <c:pt idx="0">
                  <c:v>450.10707967201301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'2 years-0.5'!$M$37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years-0.5'!$N$37</c:f>
              <c:numCache>
                <c:formatCode>#,##0</c:formatCode>
                <c:ptCount val="1"/>
                <c:pt idx="0">
                  <c:v>1745.7038152573439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years-1'!$M$30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 years-1'!$M$30:$M$35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 years-1'!$N$30</c:f>
              <c:numCache>
                <c:formatCode>#,##0</c:formatCode>
                <c:ptCount val="1"/>
                <c:pt idx="0">
                  <c:v>71.820677420098946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'2 years-1'!$M$31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years-1'!$N$31</c:f>
              <c:numCache>
                <c:formatCode>#,##0</c:formatCode>
                <c:ptCount val="1"/>
                <c:pt idx="0">
                  <c:v>384.96855805476571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'2 years-1'!$M$32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years-1'!$N$32</c:f>
              <c:numCache>
                <c:formatCode>#,##0</c:formatCode>
                <c:ptCount val="1"/>
                <c:pt idx="0">
                  <c:v>807.97095261811808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'2 years-1'!$E$40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years-1'!$G$40</c:f>
              <c:numCache>
                <c:formatCode>#,##0</c:formatCode>
                <c:ptCount val="1"/>
                <c:pt idx="0">
                  <c:v>551.02473358690247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'2 years-1'!$M$35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years-1'!$N$35</c:f>
              <c:numCache>
                <c:formatCode>#,##0</c:formatCode>
                <c:ptCount val="1"/>
                <c:pt idx="0">
                  <c:v>623.5583799257746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'2 years-1'!$M$37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 years-1'!$N$37</c:f>
              <c:numCache>
                <c:formatCode>#,##0</c:formatCode>
                <c:ptCount val="1"/>
                <c:pt idx="0">
                  <c:v>2439.3433016056601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'2yr-0-8'!$M$30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'2yr-0-8'!$M$30:$M$35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'2yr-0-8'!$N$30</c:f>
              <c:numCache>
                <c:formatCode>#,##0</c:formatCode>
                <c:ptCount val="1"/>
                <c:pt idx="0">
                  <c:v>-3358.8588389407996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2-4D43-90A6-B4B31A9C7526}"/>
            </c:ext>
          </c:extLst>
        </c:ser>
        <c:ser>
          <c:idx val="1"/>
          <c:order val="1"/>
          <c:tx>
            <c:strRef>
              <c:f>'2yr-0-8'!$M$31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'2yr-0-8'!$N$31</c:f>
              <c:numCache>
                <c:formatCode>#,##0</c:formatCode>
                <c:ptCount val="1"/>
                <c:pt idx="0">
                  <c:v>1471.4776632017683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2-4D43-90A6-B4B31A9C7526}"/>
            </c:ext>
          </c:extLst>
        </c:ser>
        <c:ser>
          <c:idx val="2"/>
          <c:order val="2"/>
          <c:tx>
            <c:strRef>
              <c:f>'2yr-0-8'!$M$32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'2yr-0-8'!$N$32</c:f>
              <c:numCache>
                <c:formatCode>#,##0</c:formatCode>
                <c:ptCount val="1"/>
                <c:pt idx="0">
                  <c:v>1330.9350661523399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2-4D43-90A6-B4B31A9C7526}"/>
            </c:ext>
          </c:extLst>
        </c:ser>
        <c:ser>
          <c:idx val="4"/>
          <c:order val="3"/>
          <c:tx>
            <c:strRef>
              <c:f>'2yr-0-8'!$E$40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'2yr-0-8'!$G$40</c:f>
              <c:numCache>
                <c:formatCode>#,##0</c:formatCode>
                <c:ptCount val="1"/>
                <c:pt idx="0">
                  <c:v>957.35304376299939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2-4D43-90A6-B4B31A9C7526}"/>
            </c:ext>
          </c:extLst>
        </c:ser>
        <c:ser>
          <c:idx val="3"/>
          <c:order val="4"/>
          <c:tx>
            <c:strRef>
              <c:f>'2yr-0-8'!$M$35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'2yr-0-8'!$N$35</c:f>
              <c:numCache>
                <c:formatCode>#,##0</c:formatCode>
                <c:ptCount val="1"/>
                <c:pt idx="0">
                  <c:v>100.59426639154435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2-4D43-90A6-B4B31A9C7526}"/>
            </c:ext>
          </c:extLst>
        </c:ser>
        <c:ser>
          <c:idx val="5"/>
          <c:order val="5"/>
          <c:tx>
            <c:strRef>
              <c:f>'2yr-0-8'!$M$37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'2yr-0-8'!$N$37</c:f>
              <c:numCache>
                <c:formatCode>#,##0</c:formatCode>
                <c:ptCount val="1"/>
                <c:pt idx="0">
                  <c:v>501.50120056785238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2-4D43-90A6-B4B31A9C7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45</xdr:row>
      <xdr:rowOff>194505</xdr:rowOff>
    </xdr:from>
    <xdr:to>
      <xdr:col>11</xdr:col>
      <xdr:colOff>22884</xdr:colOff>
      <xdr:row>64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205945</xdr:rowOff>
    </xdr:from>
    <xdr:to>
      <xdr:col>11</xdr:col>
      <xdr:colOff>263153</xdr:colOff>
      <xdr:row>89</xdr:row>
      <xdr:rowOff>22883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9F98B-2CBB-8447-88AB-F3531C8D8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3861-E704-9A4D-9846-E1744E09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38EB1-1D30-604A-9DDC-3B2FB2E44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3473-EDB5-C540-AB9E-7721F6875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14</xdr:row>
      <xdr:rowOff>139700</xdr:rowOff>
    </xdr:from>
    <xdr:to>
      <xdr:col>16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70D0C-961F-FB4B-93CD-69C69ED5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dimension ref="B3:O38"/>
  <sheetViews>
    <sheetView showGridLines="0" tabSelected="1" zoomScale="86" workbookViewId="0">
      <selection activeCell="P57" sqref="P57"/>
    </sheetView>
  </sheetViews>
  <sheetFormatPr baseColWidth="10" defaultRowHeight="16"/>
  <cols>
    <col min="2" max="2" width="20.5" bestFit="1" customWidth="1"/>
    <col min="3" max="3" width="10.83203125" style="69"/>
    <col min="4" max="9" width="10.5" style="1" customWidth="1"/>
    <col min="10" max="12" width="10.5" customWidth="1"/>
    <col min="13" max="13" width="15.5" customWidth="1"/>
  </cols>
  <sheetData>
    <row r="3" spans="2:15" ht="30" customHeight="1">
      <c r="B3" s="26"/>
      <c r="C3" s="71"/>
      <c r="D3" s="149" t="s">
        <v>21</v>
      </c>
      <c r="E3" s="151" t="s">
        <v>97</v>
      </c>
      <c r="F3" s="152"/>
      <c r="G3" s="152"/>
      <c r="H3" s="153"/>
      <c r="I3" s="151" t="s">
        <v>98</v>
      </c>
      <c r="J3" s="152"/>
      <c r="K3" s="152"/>
      <c r="L3" s="152"/>
    </row>
    <row r="4" spans="2:15">
      <c r="B4" s="29"/>
      <c r="C4" s="72"/>
      <c r="D4" s="150"/>
      <c r="E4" s="75">
        <v>-0.1</v>
      </c>
      <c r="F4" s="76">
        <v>-0.3</v>
      </c>
      <c r="G4" s="76">
        <v>-0.5</v>
      </c>
      <c r="H4" s="92">
        <v>-1</v>
      </c>
      <c r="I4" s="76">
        <f>E4</f>
        <v>-0.1</v>
      </c>
      <c r="J4" s="76">
        <f t="shared" ref="J4:L4" si="0">F4</f>
        <v>-0.3</v>
      </c>
      <c r="K4" s="76">
        <f t="shared" si="0"/>
        <v>-0.5</v>
      </c>
      <c r="L4" s="76">
        <f t="shared" si="0"/>
        <v>-1</v>
      </c>
    </row>
    <row r="5" spans="2:15" ht="10" customHeight="1">
      <c r="C5" s="71"/>
      <c r="D5" s="79"/>
      <c r="E5" s="80"/>
      <c r="F5" s="39"/>
      <c r="G5" s="39"/>
      <c r="H5" s="93"/>
      <c r="I5" s="39"/>
      <c r="J5" s="39"/>
      <c r="K5" s="39"/>
      <c r="L5" s="39"/>
    </row>
    <row r="6" spans="2:15">
      <c r="B6" s="70" t="s">
        <v>32</v>
      </c>
      <c r="C6" s="73" t="str">
        <f>'2 years-0.3'!H28</f>
        <v>[$/MWh]</v>
      </c>
      <c r="D6" s="81">
        <f>'2 years-0.3'!F28</f>
        <v>39.477237367006772</v>
      </c>
      <c r="E6" s="82">
        <f>'2 years-0.1'!$G28</f>
        <v>53.958281527367298</v>
      </c>
      <c r="F6" s="83">
        <f>'2 years-0.3'!$G28</f>
        <v>52.413521148302792</v>
      </c>
      <c r="G6" s="83">
        <f>'2 years-0.5'!$G28</f>
        <v>51.010136794931839</v>
      </c>
      <c r="H6" s="94">
        <f>'2 years-1'!$G28</f>
        <v>46.169778718296698</v>
      </c>
      <c r="I6" s="83">
        <f>'2yr-0.1-8'!$G28</f>
        <v>51.104891159350878</v>
      </c>
      <c r="J6" s="83">
        <f>'2yr-0.3-8'!$G28</f>
        <v>49.961398291752175</v>
      </c>
      <c r="K6" s="83">
        <f>'2yr-0.5-8'!$G28</f>
        <v>49.086242173036872</v>
      </c>
      <c r="L6" s="83">
        <f>'2yr-1-8'!$G28</f>
        <v>46.550779535336304</v>
      </c>
      <c r="O6" t="s">
        <v>99</v>
      </c>
    </row>
    <row r="7" spans="2:15" ht="10" customHeight="1">
      <c r="C7" s="71"/>
      <c r="D7" s="79"/>
      <c r="E7" s="80"/>
      <c r="F7" s="39"/>
      <c r="G7" s="39"/>
      <c r="H7" s="93"/>
      <c r="I7" s="39"/>
      <c r="J7" s="39"/>
      <c r="K7" s="39"/>
      <c r="L7" s="39"/>
    </row>
    <row r="8" spans="2:15">
      <c r="B8" t="s">
        <v>28</v>
      </c>
      <c r="C8" s="146" t="str">
        <f>'2 years-0.3'!H31</f>
        <v>[MMUSD]</v>
      </c>
      <c r="D8" s="84">
        <f>'2 years-0.3'!F37</f>
        <v>12533.4098141101</v>
      </c>
      <c r="E8" s="85">
        <f>'2 years-0.1'!$G37</f>
        <v>16706.710641534901</v>
      </c>
      <c r="F8" s="38">
        <f>'2 years-0.3'!$G37</f>
        <v>15556.803317649499</v>
      </c>
      <c r="G8" s="38">
        <f>'2 years-0.5'!$G37</f>
        <v>14636.1493944871</v>
      </c>
      <c r="H8" s="95">
        <f>'2 years-1'!$G37</f>
        <v>12461.589136690001</v>
      </c>
      <c r="I8" s="38">
        <f>'2yr-0.1-8'!$G37</f>
        <v>15892.2686530509</v>
      </c>
      <c r="J8" s="38">
        <f>'2yr-0.3-8'!$G37</f>
        <v>15004.86185517</v>
      </c>
      <c r="K8" s="38">
        <f>'2yr-0.5-8'!$G37</f>
        <v>14344.793989388902</v>
      </c>
      <c r="L8" s="38">
        <f>'2yr-1-8'!$G37</f>
        <v>13024.8384106792</v>
      </c>
      <c r="O8" t="s">
        <v>100</v>
      </c>
    </row>
    <row r="9" spans="2:15">
      <c r="B9" t="s">
        <v>22</v>
      </c>
      <c r="C9" s="147"/>
      <c r="D9" s="84">
        <f>'2 years-0.3'!F30</f>
        <v>6143.6069162768017</v>
      </c>
      <c r="E9" s="85">
        <f>'2 years-0.1'!$G30</f>
        <v>8304.0898387465113</v>
      </c>
      <c r="F9" s="38">
        <f>'2 years-0.3'!$G30</f>
        <v>7928.093276295529</v>
      </c>
      <c r="G9" s="38">
        <f>'2 years-0.5'!$G30</f>
        <v>7610.9694560834832</v>
      </c>
      <c r="H9" s="95">
        <f>'2 years-1'!$G30</f>
        <v>6528.5754743315674</v>
      </c>
      <c r="I9" s="38">
        <f>'2yr-0.1-8'!$G30</f>
        <v>7615.08457947857</v>
      </c>
      <c r="J9" s="38">
        <f>'2yr-0.3-8'!$G30</f>
        <v>7362.5429638897058</v>
      </c>
      <c r="K9" s="38">
        <f>'2yr-0.5-8'!$G30</f>
        <v>7177.8713549645408</v>
      </c>
      <c r="L9" s="38">
        <f>'2yr-1-8'!$G30</f>
        <v>6589.5267244950392</v>
      </c>
    </row>
    <row r="10" spans="2:15" ht="10" customHeight="1">
      <c r="C10" s="147"/>
      <c r="D10" s="79"/>
      <c r="E10" s="80"/>
      <c r="F10" s="39"/>
      <c r="G10" s="39"/>
      <c r="H10" s="93"/>
      <c r="I10" s="39"/>
      <c r="J10" s="39"/>
      <c r="K10" s="39"/>
      <c r="L10" s="39"/>
    </row>
    <row r="11" spans="2:15">
      <c r="B11" t="s">
        <v>29</v>
      </c>
      <c r="C11" s="147"/>
      <c r="D11" s="84" t="s">
        <v>95</v>
      </c>
      <c r="E11" s="85">
        <f>'2 years-0.1'!$G39</f>
        <v>1310.3511756006501</v>
      </c>
      <c r="F11" s="38">
        <f>'2 years-0.3'!$G39</f>
        <v>1119.7983734350901</v>
      </c>
      <c r="G11" s="38">
        <f>'2 years-0.5'!$G39</f>
        <v>981.42225287188194</v>
      </c>
      <c r="H11" s="95">
        <f>'2 years-1'!$G39</f>
        <v>807.97095261811808</v>
      </c>
      <c r="I11" s="38">
        <f>'2yr-0.1-8'!$G39</f>
        <v>1330.9350661523399</v>
      </c>
      <c r="J11" s="38">
        <f>'2yr-0.3-8'!$G39</f>
        <v>1171.5600385063601</v>
      </c>
      <c r="K11" s="38">
        <f>'2yr-0.5-8'!$G39</f>
        <v>1056.5377361365599</v>
      </c>
      <c r="L11" s="38">
        <f>'2yr-1-8'!$G39</f>
        <v>927.37344050381694</v>
      </c>
      <c r="O11" t="str">
        <f>O6</f>
        <v>100% Pass-through</v>
      </c>
    </row>
    <row r="12" spans="2:15">
      <c r="B12" t="s">
        <v>93</v>
      </c>
      <c r="C12" s="148"/>
      <c r="D12" s="79" t="s">
        <v>95</v>
      </c>
      <c r="E12" s="85">
        <f>'2 years-0.1'!$G40</f>
        <v>1192.284527160205</v>
      </c>
      <c r="F12" s="38">
        <f>'2 years-0.3'!$G40</f>
        <v>1065.0979874512557</v>
      </c>
      <c r="G12" s="38">
        <f>'2 years-0.5'!$G40</f>
        <v>949.5515232837671</v>
      </c>
      <c r="H12" s="95">
        <f>'2 years-1'!$G40</f>
        <v>551.02473358690247</v>
      </c>
      <c r="I12" s="38">
        <f>'2yr-0.1-8'!$G40</f>
        <v>957.35304376299939</v>
      </c>
      <c r="J12" s="38">
        <f>'2yr-0.3-8'!$G40</f>
        <v>863.20452533723676</v>
      </c>
      <c r="K12" s="38">
        <f>'2yr-0.5-8'!$G40</f>
        <v>791.14928625095126</v>
      </c>
      <c r="L12" s="38">
        <f>'2yr-1-8'!$G40</f>
        <v>582.3941137200826</v>
      </c>
    </row>
    <row r="13" spans="2:15" ht="10" customHeight="1">
      <c r="C13" s="71"/>
      <c r="D13" s="79"/>
      <c r="E13" s="80"/>
      <c r="F13" s="39"/>
      <c r="G13" s="39"/>
      <c r="H13" s="93"/>
      <c r="I13" s="39"/>
      <c r="J13" s="39"/>
      <c r="K13" s="39"/>
      <c r="L13" s="39"/>
    </row>
    <row r="14" spans="2:15">
      <c r="B14" t="s">
        <v>30</v>
      </c>
      <c r="C14" s="71" t="str">
        <f>'2 years-0.3'!H42</f>
        <v>[000 ton CO2]</v>
      </c>
      <c r="D14" s="84">
        <f>'2 years-0.3'!F42</f>
        <v>39764.703681774801</v>
      </c>
      <c r="E14" s="85">
        <f>'2 years-0.1'!$G42</f>
        <v>36398.6437666848</v>
      </c>
      <c r="F14" s="38">
        <f>'2 years-0.3'!$G42</f>
        <v>31105.510373197201</v>
      </c>
      <c r="G14" s="38">
        <f>'2 years-0.5'!$G42</f>
        <v>27261.7292464411</v>
      </c>
      <c r="H14" s="95">
        <f>'2 years-1'!$G42</f>
        <v>22443.6375727255</v>
      </c>
      <c r="I14" s="38">
        <f>'2yr-0.1-8'!$G42</f>
        <v>36970.4185042319</v>
      </c>
      <c r="J14" s="38">
        <f>'2yr-0.3-8'!$G42</f>
        <v>32543.334402954501</v>
      </c>
      <c r="K14" s="38">
        <f>'2yr-0.5-8'!$G42</f>
        <v>29348.270448237901</v>
      </c>
      <c r="L14" s="38">
        <f>'2yr-1-8'!$G42</f>
        <v>25760.373347328201</v>
      </c>
      <c r="O14" t="str">
        <f>O8</f>
        <v>80% Pass-through</v>
      </c>
    </row>
    <row r="15" spans="2:15">
      <c r="B15" t="s">
        <v>36</v>
      </c>
      <c r="C15" s="71" t="str">
        <f>C8</f>
        <v>[MMUSD]</v>
      </c>
      <c r="D15" s="84">
        <f>'2 years-0.3'!F43</f>
        <v>1431.5293325438927</v>
      </c>
      <c r="E15" s="85">
        <f>'2 years-0.1'!$G43</f>
        <v>1310.3511756006528</v>
      </c>
      <c r="F15" s="38">
        <f>'2 years-0.3'!$G43</f>
        <v>1119.7983734350992</v>
      </c>
      <c r="G15" s="38">
        <f>'2 years-0.5'!$G43</f>
        <v>981.42225287187966</v>
      </c>
      <c r="H15" s="95">
        <f>'2 years-1'!$G43</f>
        <v>807.97095261811808</v>
      </c>
      <c r="I15" s="38">
        <f>'2yr-0.1-8'!$G43</f>
        <v>1330.9350661523483</v>
      </c>
      <c r="J15" s="38">
        <f>'2yr-0.3-8'!$G43</f>
        <v>1171.5600385063622</v>
      </c>
      <c r="K15" s="38">
        <f>'2yr-0.5-8'!$G43</f>
        <v>1056.5377361365645</v>
      </c>
      <c r="L15" s="38">
        <f>'2yr-1-8'!$G43</f>
        <v>927.37344050381523</v>
      </c>
    </row>
    <row r="16" spans="2:15" ht="10" customHeight="1">
      <c r="C16" s="71"/>
      <c r="D16" s="79"/>
      <c r="E16" s="80"/>
      <c r="F16" s="39"/>
      <c r="G16" s="39"/>
      <c r="H16" s="93"/>
      <c r="I16" s="39"/>
      <c r="J16" s="39"/>
      <c r="K16" s="39"/>
      <c r="L16" s="39"/>
    </row>
    <row r="17" spans="2:14">
      <c r="B17" s="77" t="s">
        <v>88</v>
      </c>
      <c r="C17" s="78" t="str">
        <f>C15</f>
        <v>[MMUSD]</v>
      </c>
      <c r="D17" s="86" t="s">
        <v>95</v>
      </c>
      <c r="E17" s="87">
        <f>($D$8-E8)-($D$9-E9)+E11+E12+($D$15-E15)</f>
        <v>610.99595474900411</v>
      </c>
      <c r="F17" s="88">
        <f t="shared" ref="F17:L17" si="1">($D$8-F8)-($D$9-F9)+F11+F12+($D$15-F15)</f>
        <v>1257.7201764744677</v>
      </c>
      <c r="G17" s="88">
        <f t="shared" si="1"/>
        <v>1745.7038152573439</v>
      </c>
      <c r="H17" s="96">
        <f t="shared" si="1"/>
        <v>2439.3433016056601</v>
      </c>
      <c r="I17" s="88">
        <f t="shared" si="1"/>
        <v>501.50120056785238</v>
      </c>
      <c r="J17" s="88">
        <f t="shared" si="1"/>
        <v>1042.2178644341316</v>
      </c>
      <c r="K17" s="88">
        <f t="shared" si="1"/>
        <v>1445.5588822037773</v>
      </c>
      <c r="L17" s="88">
        <f t="shared" si="1"/>
        <v>1968.4146579131148</v>
      </c>
    </row>
    <row r="18" spans="2:14" ht="10" customHeight="1">
      <c r="C18" s="71"/>
      <c r="D18" s="79"/>
      <c r="E18" s="80"/>
      <c r="F18" s="39"/>
      <c r="G18" s="39"/>
      <c r="H18" s="93"/>
      <c r="I18" s="39"/>
      <c r="J18" s="39"/>
      <c r="K18" s="39"/>
      <c r="L18" s="39"/>
    </row>
    <row r="19" spans="2:14">
      <c r="B19" t="s">
        <v>91</v>
      </c>
      <c r="C19" s="71" t="str">
        <f>'2 years-0.3'!H45</f>
        <v>[TWh/year]</v>
      </c>
      <c r="D19" s="84">
        <f>'2 years-0.3'!F45</f>
        <v>158.74223539999963</v>
      </c>
      <c r="E19" s="85">
        <f>'2 years-0.1'!$G45</f>
        <v>154.81136693596667</v>
      </c>
      <c r="F19" s="38">
        <f>'2 years-0.3'!$G45</f>
        <v>148.40448587332935</v>
      </c>
      <c r="G19" s="38">
        <f>'2 years-0.5'!$G45</f>
        <v>143.46314589712381</v>
      </c>
      <c r="H19" s="95">
        <f>'2 years-1'!$G45</f>
        <v>134.953962122322</v>
      </c>
      <c r="I19" s="38">
        <f>'2yr-0.1-8'!$G45</f>
        <v>155.48676743579193</v>
      </c>
      <c r="J19" s="38">
        <f>'2yr-0.3-8'!$G45</f>
        <v>150.1645507152175</v>
      </c>
      <c r="K19" s="38">
        <f>'2yr-0.5-8'!$G45</f>
        <v>146.11827422866475</v>
      </c>
      <c r="L19" s="38">
        <f>'2yr-1-8'!$G45</f>
        <v>139.89925131964927</v>
      </c>
      <c r="M19">
        <f>D19*D6</f>
        <v>6266.7049070550502</v>
      </c>
      <c r="N19">
        <f>H19*H6</f>
        <v>6230.7945683450007</v>
      </c>
    </row>
    <row r="21" spans="2:14">
      <c r="I21" s="1">
        <f>I4</f>
        <v>-0.1</v>
      </c>
      <c r="J21" s="1">
        <f t="shared" ref="J21:L21" si="2">J4</f>
        <v>-0.3</v>
      </c>
      <c r="K21" s="1">
        <f t="shared" si="2"/>
        <v>-0.5</v>
      </c>
      <c r="L21" s="1">
        <f t="shared" si="2"/>
        <v>-1</v>
      </c>
    </row>
    <row r="22" spans="2:14" ht="30" customHeight="1">
      <c r="B22" s="26"/>
      <c r="C22" s="74"/>
      <c r="D22" s="149" t="s">
        <v>21</v>
      </c>
      <c r="E22" s="151" t="s">
        <v>96</v>
      </c>
      <c r="F22" s="152"/>
      <c r="G22" s="152"/>
      <c r="H22" s="152"/>
      <c r="I22" s="145">
        <f>E17/E8</f>
        <v>3.6571888258481858E-2</v>
      </c>
      <c r="J22" s="145">
        <f>F17/F8</f>
        <v>8.0846954916988595E-2</v>
      </c>
      <c r="K22" s="145">
        <f>G17/G8</f>
        <v>0.11927343512323579</v>
      </c>
      <c r="L22" s="145">
        <f>H17/H8</f>
        <v>0.19574897509849928</v>
      </c>
      <c r="M22" s="145" t="str">
        <f>O6</f>
        <v>100% Pass-through</v>
      </c>
    </row>
    <row r="23" spans="2:14">
      <c r="B23" s="29"/>
      <c r="C23" s="72"/>
      <c r="D23" s="150"/>
      <c r="E23" s="75">
        <f>I4</f>
        <v>-0.1</v>
      </c>
      <c r="F23" s="76">
        <f t="shared" ref="F23:H23" si="3">J4</f>
        <v>-0.3</v>
      </c>
      <c r="G23" s="76">
        <f t="shared" si="3"/>
        <v>-0.5</v>
      </c>
      <c r="H23" s="76">
        <f t="shared" si="3"/>
        <v>-1</v>
      </c>
      <c r="I23" s="145">
        <f>I17/I8</f>
        <v>3.1556300205859991E-2</v>
      </c>
      <c r="J23" s="145">
        <f>J17/J8</f>
        <v>6.9458677760170798E-2</v>
      </c>
      <c r="K23" s="145">
        <f>K17/K8</f>
        <v>0.10077236963271016</v>
      </c>
      <c r="L23" s="145">
        <f>L17/L8</f>
        <v>0.15112776034896458</v>
      </c>
      <c r="M23" s="145" t="str">
        <f>O8</f>
        <v>80% Pass-through</v>
      </c>
    </row>
    <row r="24" spans="2:14" ht="10" customHeight="1">
      <c r="C24" s="74"/>
      <c r="D24" s="79"/>
      <c r="E24" s="80"/>
      <c r="F24" s="39"/>
      <c r="G24" s="39"/>
      <c r="H24" s="39"/>
      <c r="I24" s="39"/>
      <c r="J24" s="39"/>
      <c r="K24" s="39"/>
      <c r="L24" s="39"/>
    </row>
    <row r="25" spans="2:14">
      <c r="B25" s="70" t="s">
        <v>32</v>
      </c>
      <c r="C25" s="89" t="str">
        <f>C6</f>
        <v>[$/MWh]</v>
      </c>
      <c r="D25" s="81">
        <f>D6</f>
        <v>39.477237367006772</v>
      </c>
      <c r="E25" s="82">
        <f t="shared" ref="E25:E38" si="4">I6</f>
        <v>51.104891159350878</v>
      </c>
      <c r="F25" s="83">
        <f t="shared" ref="F25:F38" si="5">J6</f>
        <v>49.961398291752175</v>
      </c>
      <c r="G25" s="83">
        <f t="shared" ref="G25:G38" si="6">K6</f>
        <v>49.086242173036872</v>
      </c>
      <c r="H25" s="83">
        <f t="shared" ref="H25:H38" si="7">L6</f>
        <v>46.550779535336304</v>
      </c>
      <c r="I25" s="53"/>
      <c r="J25" s="53"/>
      <c r="K25" s="53"/>
      <c r="L25" s="53"/>
    </row>
    <row r="26" spans="2:14" ht="10" customHeight="1">
      <c r="C26" s="74"/>
      <c r="D26" s="79"/>
      <c r="E26" s="80"/>
      <c r="F26" s="39"/>
      <c r="G26" s="39"/>
      <c r="H26" s="39"/>
      <c r="I26" s="39"/>
      <c r="J26" s="39"/>
      <c r="K26" s="39"/>
      <c r="L26" s="39"/>
    </row>
    <row r="27" spans="2:14">
      <c r="B27" t="s">
        <v>28</v>
      </c>
      <c r="C27" s="146" t="str">
        <f>C8</f>
        <v>[MMUSD]</v>
      </c>
      <c r="D27" s="84">
        <f t="shared" ref="D27:D38" si="8">D8</f>
        <v>12533.4098141101</v>
      </c>
      <c r="E27" s="85">
        <f t="shared" si="4"/>
        <v>15892.2686530509</v>
      </c>
      <c r="F27" s="38">
        <f t="shared" si="5"/>
        <v>15004.86185517</v>
      </c>
      <c r="G27" s="38">
        <f t="shared" si="6"/>
        <v>14344.793989388902</v>
      </c>
      <c r="H27" s="38">
        <f t="shared" si="7"/>
        <v>13024.8384106792</v>
      </c>
      <c r="I27" s="38"/>
      <c r="J27" s="38"/>
      <c r="K27" s="38"/>
      <c r="L27" s="38"/>
    </row>
    <row r="28" spans="2:14">
      <c r="B28" t="s">
        <v>22</v>
      </c>
      <c r="C28" s="147"/>
      <c r="D28" s="84">
        <f t="shared" si="8"/>
        <v>6143.6069162768017</v>
      </c>
      <c r="E28" s="85">
        <f t="shared" si="4"/>
        <v>7615.08457947857</v>
      </c>
      <c r="F28" s="38">
        <f t="shared" si="5"/>
        <v>7362.5429638897058</v>
      </c>
      <c r="G28" s="38">
        <f t="shared" si="6"/>
        <v>7177.8713549645408</v>
      </c>
      <c r="H28" s="38">
        <f t="shared" si="7"/>
        <v>6589.5267244950392</v>
      </c>
      <c r="I28" s="38"/>
      <c r="J28" s="38"/>
      <c r="K28" s="38"/>
      <c r="L28" s="38"/>
    </row>
    <row r="29" spans="2:14" ht="10" customHeight="1">
      <c r="C29" s="147"/>
      <c r="D29" s="79"/>
      <c r="E29" s="80"/>
      <c r="F29" s="39"/>
      <c r="G29" s="39"/>
      <c r="H29" s="39"/>
      <c r="I29" s="39"/>
      <c r="J29" s="39"/>
      <c r="K29" s="39"/>
      <c r="L29" s="39"/>
    </row>
    <row r="30" spans="2:14">
      <c r="B30" t="s">
        <v>29</v>
      </c>
      <c r="C30" s="147"/>
      <c r="D30" s="84" t="str">
        <f t="shared" si="8"/>
        <v>-</v>
      </c>
      <c r="E30" s="85">
        <f t="shared" si="4"/>
        <v>1330.9350661523399</v>
      </c>
      <c r="F30" s="38">
        <f t="shared" si="5"/>
        <v>1171.5600385063601</v>
      </c>
      <c r="G30" s="38">
        <f t="shared" si="6"/>
        <v>1056.5377361365599</v>
      </c>
      <c r="H30" s="38">
        <f t="shared" si="7"/>
        <v>927.37344050381694</v>
      </c>
      <c r="I30" s="38"/>
      <c r="J30" s="38"/>
      <c r="K30" s="38"/>
      <c r="L30" s="38"/>
    </row>
    <row r="31" spans="2:14">
      <c r="B31" t="s">
        <v>93</v>
      </c>
      <c r="C31" s="148"/>
      <c r="D31" s="79" t="str">
        <f t="shared" si="8"/>
        <v>-</v>
      </c>
      <c r="E31" s="85">
        <f t="shared" si="4"/>
        <v>957.35304376299939</v>
      </c>
      <c r="F31" s="38">
        <f t="shared" si="5"/>
        <v>863.20452533723676</v>
      </c>
      <c r="G31" s="38">
        <f t="shared" si="6"/>
        <v>791.14928625095126</v>
      </c>
      <c r="H31" s="38">
        <f t="shared" si="7"/>
        <v>582.3941137200826</v>
      </c>
      <c r="I31" s="38"/>
      <c r="J31" s="38"/>
      <c r="K31" s="38"/>
      <c r="L31" s="38"/>
    </row>
    <row r="32" spans="2:14" ht="10" customHeight="1">
      <c r="C32" s="74"/>
      <c r="D32" s="79"/>
      <c r="E32" s="80"/>
      <c r="F32" s="39"/>
      <c r="G32" s="39"/>
      <c r="H32" s="39"/>
      <c r="I32" s="39"/>
      <c r="J32" s="39"/>
      <c r="K32" s="39"/>
      <c r="L32" s="39"/>
    </row>
    <row r="33" spans="2:12">
      <c r="B33" t="s">
        <v>30</v>
      </c>
      <c r="C33" s="74" t="str">
        <f>C14</f>
        <v>[000 ton CO2]</v>
      </c>
      <c r="D33" s="84">
        <f t="shared" si="8"/>
        <v>39764.703681774801</v>
      </c>
      <c r="E33" s="85">
        <f t="shared" si="4"/>
        <v>36970.4185042319</v>
      </c>
      <c r="F33" s="38">
        <f t="shared" si="5"/>
        <v>32543.334402954501</v>
      </c>
      <c r="G33" s="38">
        <f t="shared" si="6"/>
        <v>29348.270448237901</v>
      </c>
      <c r="H33" s="38">
        <f t="shared" si="7"/>
        <v>25760.373347328201</v>
      </c>
      <c r="I33" s="38"/>
      <c r="J33" s="38"/>
      <c r="K33" s="38"/>
      <c r="L33" s="38"/>
    </row>
    <row r="34" spans="2:12">
      <c r="B34" t="s">
        <v>36</v>
      </c>
      <c r="C34" s="74" t="str">
        <f>C27</f>
        <v>[MMUSD]</v>
      </c>
      <c r="D34" s="84">
        <f t="shared" si="8"/>
        <v>1431.5293325438927</v>
      </c>
      <c r="E34" s="85">
        <f t="shared" si="4"/>
        <v>1330.9350661523483</v>
      </c>
      <c r="F34" s="38">
        <f t="shared" si="5"/>
        <v>1171.5600385063622</v>
      </c>
      <c r="G34" s="38">
        <f t="shared" si="6"/>
        <v>1056.5377361365645</v>
      </c>
      <c r="H34" s="38">
        <f t="shared" si="7"/>
        <v>927.37344050381523</v>
      </c>
      <c r="I34" s="38"/>
      <c r="J34" s="38"/>
      <c r="K34" s="38"/>
      <c r="L34" s="38"/>
    </row>
    <row r="35" spans="2:12" ht="10" customHeight="1">
      <c r="C35" s="74"/>
      <c r="D35" s="79"/>
      <c r="E35" s="80"/>
      <c r="F35" s="39"/>
      <c r="G35" s="39"/>
      <c r="H35" s="39"/>
      <c r="I35" s="39"/>
      <c r="J35" s="39"/>
      <c r="K35" s="39"/>
      <c r="L35" s="39"/>
    </row>
    <row r="36" spans="2:12">
      <c r="B36" s="77" t="s">
        <v>88</v>
      </c>
      <c r="C36" s="78" t="str">
        <f>C17</f>
        <v>[MMUSD]</v>
      </c>
      <c r="D36" s="86" t="s">
        <v>95</v>
      </c>
      <c r="E36" s="87">
        <f t="shared" si="4"/>
        <v>501.50120056785238</v>
      </c>
      <c r="F36" s="88">
        <f t="shared" si="5"/>
        <v>1042.2178644341316</v>
      </c>
      <c r="G36" s="88">
        <f t="shared" si="6"/>
        <v>1445.5588822037773</v>
      </c>
      <c r="H36" s="88">
        <f t="shared" si="7"/>
        <v>1968.4146579131148</v>
      </c>
      <c r="I36" s="38"/>
      <c r="J36" s="38"/>
      <c r="K36" s="38"/>
      <c r="L36" s="38"/>
    </row>
    <row r="37" spans="2:12" ht="10" customHeight="1">
      <c r="C37" s="74"/>
      <c r="D37" s="79"/>
      <c r="E37" s="80"/>
      <c r="F37" s="39"/>
      <c r="G37" s="39"/>
      <c r="H37" s="39"/>
      <c r="I37" s="39"/>
      <c r="J37" s="39"/>
      <c r="K37" s="39"/>
      <c r="L37" s="39"/>
    </row>
    <row r="38" spans="2:12">
      <c r="B38" t="s">
        <v>91</v>
      </c>
      <c r="C38" s="74" t="str">
        <f>C19</f>
        <v>[TWh/year]</v>
      </c>
      <c r="D38" s="84">
        <f t="shared" si="8"/>
        <v>158.74223539999963</v>
      </c>
      <c r="E38" s="85">
        <f t="shared" si="4"/>
        <v>155.48676743579193</v>
      </c>
      <c r="F38" s="38">
        <f t="shared" si="5"/>
        <v>150.1645507152175</v>
      </c>
      <c r="G38" s="38">
        <f t="shared" si="6"/>
        <v>146.11827422866475</v>
      </c>
      <c r="H38" s="38">
        <f t="shared" si="7"/>
        <v>139.89925131964927</v>
      </c>
      <c r="I38" s="38"/>
      <c r="J38" s="38"/>
      <c r="K38" s="38"/>
      <c r="L38" s="38"/>
    </row>
  </sheetData>
  <mergeCells count="7">
    <mergeCell ref="C27:C31"/>
    <mergeCell ref="C8:C12"/>
    <mergeCell ref="D3:D4"/>
    <mergeCell ref="I3:L3"/>
    <mergeCell ref="E3:H3"/>
    <mergeCell ref="E22:H22"/>
    <mergeCell ref="D22:D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5635-4DBB-2D41-B63B-16C69E269B92}">
  <dimension ref="A3:P47"/>
  <sheetViews>
    <sheetView showGridLines="0" topLeftCell="A21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2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2">
      <c r="A4" t="s">
        <v>1</v>
      </c>
      <c r="C4">
        <v>2028980650.6048801</v>
      </c>
      <c r="D4">
        <f>C3-C5</f>
        <v>2690.3989097997546</v>
      </c>
      <c r="E4">
        <f>C5+C9+C13+C17+C24</f>
        <v>310973534.87158388</v>
      </c>
      <c r="G4" s="1">
        <f>F42/2</f>
        <v>19882.351840887401</v>
      </c>
      <c r="L4">
        <v>52494928.218277298</v>
      </c>
    </row>
    <row r="5" spans="1:12">
      <c r="A5" t="s">
        <v>2</v>
      </c>
      <c r="C5">
        <v>52492237.819367498</v>
      </c>
      <c r="L5">
        <v>2028980650.6048801</v>
      </c>
    </row>
    <row r="6" spans="1:12">
      <c r="A6" t="s">
        <v>3</v>
      </c>
      <c r="C6">
        <v>2624604424.9444199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52492237.819367498</v>
      </c>
    </row>
    <row r="7" spans="1:12">
      <c r="A7" t="s">
        <v>4</v>
      </c>
      <c r="C7">
        <v>7702168.4569703899</v>
      </c>
      <c r="J7" s="21">
        <f>J6/H6</f>
        <v>-0.36090965768927602</v>
      </c>
      <c r="L7">
        <v>2624604424.9444199</v>
      </c>
    </row>
    <row r="8" spans="1:12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2">
      <c r="A9" t="s">
        <v>6</v>
      </c>
      <c r="C9">
        <v>7702168.4569703899</v>
      </c>
      <c r="L9">
        <v>297678734.11507899</v>
      </c>
    </row>
    <row r="10" spans="1:12">
      <c r="A10" t="s">
        <v>7</v>
      </c>
      <c r="C10">
        <v>385064747.92521</v>
      </c>
      <c r="L10">
        <v>7702168.4569703899</v>
      </c>
    </row>
    <row r="11" spans="1:12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385064747.92521</v>
      </c>
    </row>
    <row r="12" spans="1:12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2">
      <c r="A13" t="s">
        <v>10</v>
      </c>
      <c r="C13">
        <v>82334154.495839998</v>
      </c>
      <c r="L13">
        <v>3182107353.4916601</v>
      </c>
    </row>
    <row r="14" spans="1:12">
      <c r="A14" t="s">
        <v>11</v>
      </c>
      <c r="C14">
        <v>4116240851.3519502</v>
      </c>
      <c r="L14">
        <v>82334154.495839998</v>
      </c>
    </row>
    <row r="15" spans="1:12">
      <c r="A15" t="s">
        <v>12</v>
      </c>
      <c r="C15">
        <v>104587743.620995</v>
      </c>
      <c r="L15">
        <v>4116240851.3519502</v>
      </c>
    </row>
    <row r="16" spans="1:12">
      <c r="A16" t="s">
        <v>13</v>
      </c>
      <c r="C16">
        <v>634840178.06518304</v>
      </c>
      <c r="D16">
        <f>C15-C17</f>
        <v>6508245.5295055956</v>
      </c>
      <c r="L16">
        <v>104587743.620995</v>
      </c>
    </row>
    <row r="17" spans="1:16">
      <c r="A17" t="s">
        <v>14</v>
      </c>
      <c r="C17">
        <v>98079498.091489404</v>
      </c>
      <c r="L17">
        <v>634840178.06518304</v>
      </c>
    </row>
    <row r="18" spans="1:16">
      <c r="A18" t="s">
        <v>15</v>
      </c>
      <c r="C18">
        <v>489174555.256989</v>
      </c>
      <c r="G18" s="1">
        <f>G19*1000000</f>
        <v>556446109.58669186</v>
      </c>
      <c r="L18">
        <v>98079498.091489404</v>
      </c>
    </row>
    <row r="19" spans="1:16">
      <c r="A19" t="s">
        <v>16</v>
      </c>
      <c r="C19">
        <v>39764703.681774803</v>
      </c>
      <c r="G19" s="24">
        <f>G20-F20</f>
        <v>556.44610958669182</v>
      </c>
      <c r="L19">
        <v>489174555.256989</v>
      </c>
    </row>
    <row r="20" spans="1:16">
      <c r="A20" t="s">
        <v>17</v>
      </c>
      <c r="C20">
        <v>36970418.5042319</v>
      </c>
      <c r="F20" s="24">
        <f>F37-F30</f>
        <v>6389.8028978332986</v>
      </c>
      <c r="G20" s="24">
        <f>G37-G30-G39</f>
        <v>6946.2490074199904</v>
      </c>
      <c r="L20">
        <v>39764703.681774803</v>
      </c>
    </row>
    <row r="21" spans="1:16">
      <c r="A21" t="s">
        <v>18</v>
      </c>
      <c r="C21">
        <v>12533409814.1101</v>
      </c>
      <c r="L21">
        <v>36970418.5042319</v>
      </c>
    </row>
    <row r="22" spans="1:16">
      <c r="A22" t="s">
        <v>19</v>
      </c>
      <c r="C22">
        <v>15892268653.0509</v>
      </c>
      <c r="G22" s="67">
        <f>G28-F28</f>
        <v>11.627653792344105</v>
      </c>
      <c r="L22">
        <v>12533409814.1101</v>
      </c>
    </row>
    <row r="23" spans="1:16">
      <c r="A23" t="s">
        <v>20</v>
      </c>
      <c r="C23">
        <v>1330935066.1523399</v>
      </c>
      <c r="L23">
        <v>15892268653.0509</v>
      </c>
    </row>
    <row r="24" spans="1:16">
      <c r="A24" t="s">
        <v>90</v>
      </c>
      <c r="C24">
        <v>70365476.0079166</v>
      </c>
      <c r="L24">
        <v>1330935066.1523399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51.104891159350878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7615.08457947857</v>
      </c>
      <c r="H30" s="63"/>
      <c r="I30" s="63"/>
      <c r="J30" s="14">
        <f>(G30-F30)*1000000/E3</f>
        <v>4.634802009351608</v>
      </c>
      <c r="M30" t="s">
        <v>27</v>
      </c>
      <c r="N30" s="49">
        <f>F37-G37</f>
        <v>-3358.8588389407996</v>
      </c>
    </row>
    <row r="31" spans="1:16">
      <c r="E31" s="15" t="s">
        <v>24</v>
      </c>
      <c r="F31" s="45">
        <f>C8/C28</f>
        <v>297.67873411507901</v>
      </c>
      <c r="G31" s="46">
        <f>C10/C28</f>
        <v>385.06474792520999</v>
      </c>
      <c r="H31" s="160" t="s">
        <v>34</v>
      </c>
      <c r="I31" s="63"/>
      <c r="J31" s="16">
        <f>(G31-F31)*1000000/C7</f>
        <v>11.345637828921731</v>
      </c>
      <c r="M31" t="s">
        <v>22</v>
      </c>
      <c r="N31" s="49">
        <f>G30-F30</f>
        <v>1471.4776632017683</v>
      </c>
      <c r="P31">
        <f>G31/F31</f>
        <v>1.2935581343084743</v>
      </c>
    </row>
    <row r="32" spans="1:16">
      <c r="E32" s="15" t="s">
        <v>25</v>
      </c>
      <c r="F32" s="45">
        <f>C12/C28</f>
        <v>3182.10735349166</v>
      </c>
      <c r="G32" s="46">
        <f>C14/C28</f>
        <v>4116.2408513519504</v>
      </c>
      <c r="H32" s="160"/>
      <c r="I32" s="63"/>
      <c r="J32" s="16">
        <f>(G32-F32)*1000000/C11</f>
        <v>11.345637828921754</v>
      </c>
      <c r="M32" t="s">
        <v>29</v>
      </c>
      <c r="N32" s="49">
        <f>G39</f>
        <v>1330.9350661523399</v>
      </c>
      <c r="P32">
        <f>G32/F32</f>
        <v>1.293558134308475</v>
      </c>
    </row>
    <row r="33" spans="5:16">
      <c r="E33" s="15" t="s">
        <v>23</v>
      </c>
      <c r="F33" s="45">
        <f>C4/C28</f>
        <v>2028.9806506048801</v>
      </c>
      <c r="G33" s="46">
        <f>C6/C28</f>
        <v>2624.6044249444199</v>
      </c>
      <c r="H33" s="160"/>
      <c r="I33" s="63"/>
      <c r="J33" s="16">
        <f>(G33-F33)*1000000/C3</f>
        <v>11.346310863839983</v>
      </c>
      <c r="M33" t="s">
        <v>94</v>
      </c>
      <c r="N33" s="49">
        <f>G40</f>
        <v>957.35304376299939</v>
      </c>
      <c r="P33">
        <f>G33/F33</f>
        <v>1.2935581343084628</v>
      </c>
    </row>
    <row r="34" spans="5:16">
      <c r="E34" s="15" t="s">
        <v>26</v>
      </c>
      <c r="F34" s="45">
        <f>C16/C28</f>
        <v>634.84017806518307</v>
      </c>
      <c r="G34" s="46">
        <f>C18/C28</f>
        <v>489.17455525698898</v>
      </c>
      <c r="H34" s="160"/>
      <c r="I34" s="63"/>
      <c r="J34" s="27">
        <f>(G34-F34)*1000000/C15</f>
        <v>-1.3927599713409737</v>
      </c>
      <c r="N34" s="49"/>
      <c r="P34">
        <f>G34/F34</f>
        <v>0.770547567968772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100.59426639154435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15892.2686530509</v>
      </c>
      <c r="H37" s="3" t="s">
        <v>34</v>
      </c>
      <c r="I37" s="3"/>
      <c r="J37" s="13"/>
      <c r="M37" t="s">
        <v>88</v>
      </c>
      <c r="N37" s="49">
        <f>SUM(N30:N35)</f>
        <v>501.50120056785238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1330.9350661523399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957.35304376299939</v>
      </c>
      <c r="H40" s="3"/>
      <c r="I40" s="3"/>
      <c r="J40" s="13"/>
      <c r="N40" s="21">
        <f>N37/G37</f>
        <v>3.1556300205859991E-2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36970.4185042319</v>
      </c>
      <c r="H42" s="63" t="s">
        <v>37</v>
      </c>
      <c r="I42" s="63"/>
      <c r="N42" s="21">
        <f>(G37-F37)/F37</f>
        <v>0.26799242095789444</v>
      </c>
    </row>
    <row r="43" spans="5:16">
      <c r="E43" s="9" t="s">
        <v>36</v>
      </c>
      <c r="F43" s="43">
        <f>F42*36/C29</f>
        <v>1431.5293325438927</v>
      </c>
      <c r="G43" s="44">
        <f>G42*36/C29</f>
        <v>1330.9350661523483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155.48676743579193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46-842C-2243-BB9C-C8CF68EA710C}">
  <dimension ref="A3:P47"/>
  <sheetViews>
    <sheetView showGridLines="0" topLeftCell="A17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 ht="19">
      <c r="A4" t="s">
        <v>1</v>
      </c>
      <c r="C4">
        <v>2028980650.6048801</v>
      </c>
      <c r="D4">
        <f>C3-C5</f>
        <v>34936.507285200059</v>
      </c>
      <c r="E4">
        <f>C5+C9+C13+C17+C24</f>
        <v>300329101.430435</v>
      </c>
      <c r="G4" s="1">
        <f>F42/2</f>
        <v>19882.351840887401</v>
      </c>
      <c r="L4">
        <v>52494928.218277298</v>
      </c>
      <c r="M4" s="68"/>
    </row>
    <row r="5" spans="1:13">
      <c r="A5" t="s">
        <v>2</v>
      </c>
      <c r="C5">
        <v>52459991.710992098</v>
      </c>
      <c r="L5">
        <v>2028980650.6048801</v>
      </c>
    </row>
    <row r="6" spans="1:13">
      <c r="A6" t="s">
        <v>3</v>
      </c>
      <c r="C6">
        <v>2560913030.8568401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52459991.710992098</v>
      </c>
    </row>
    <row r="7" spans="1:13">
      <c r="A7" t="s">
        <v>4</v>
      </c>
      <c r="C7">
        <v>7702168.4569703899</v>
      </c>
      <c r="J7" s="21">
        <f>J6/H6</f>
        <v>-0.36090965768927602</v>
      </c>
      <c r="L7">
        <v>2560913030.8568401</v>
      </c>
    </row>
    <row r="8" spans="1:13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3">
      <c r="A9" t="s">
        <v>6</v>
      </c>
      <c r="C9">
        <v>7702168.4569703899</v>
      </c>
      <c r="L9">
        <v>297678734.11507899</v>
      </c>
    </row>
    <row r="10" spans="1:13">
      <c r="A10" t="s">
        <v>7</v>
      </c>
      <c r="C10">
        <v>375720364.30071998</v>
      </c>
      <c r="L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375720364.30071998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3">
      <c r="A13" t="s">
        <v>10</v>
      </c>
      <c r="C13">
        <v>82334154.495839998</v>
      </c>
      <c r="L13">
        <v>3182107353.4916601</v>
      </c>
    </row>
    <row r="14" spans="1:13">
      <c r="A14" t="s">
        <v>11</v>
      </c>
      <c r="C14">
        <v>4016351848.7541299</v>
      </c>
      <c r="L14">
        <v>82334154.495839998</v>
      </c>
    </row>
    <row r="15" spans="1:13">
      <c r="A15" t="s">
        <v>12</v>
      </c>
      <c r="C15">
        <v>104587743.620995</v>
      </c>
      <c r="L15">
        <v>4016351848.7541299</v>
      </c>
    </row>
    <row r="16" spans="1:13">
      <c r="A16" t="s">
        <v>13</v>
      </c>
      <c r="C16">
        <v>634840178.06518304</v>
      </c>
      <c r="D16">
        <f>C15-C17</f>
        <v>17120432.862279102</v>
      </c>
      <c r="L16">
        <v>104587743.620995</v>
      </c>
    </row>
    <row r="17" spans="1:16">
      <c r="A17" t="s">
        <v>14</v>
      </c>
      <c r="C17">
        <v>87467310.758715898</v>
      </c>
      <c r="L17">
        <v>634840178.06518304</v>
      </c>
    </row>
    <row r="18" spans="1:16">
      <c r="A18" t="s">
        <v>15</v>
      </c>
      <c r="C18">
        <v>409557719.97801501</v>
      </c>
      <c r="G18" s="1">
        <f>G19*1000000</f>
        <v>80955954.940635815</v>
      </c>
      <c r="L18">
        <v>87467310.758715898</v>
      </c>
    </row>
    <row r="19" spans="1:16">
      <c r="A19" t="s">
        <v>16</v>
      </c>
      <c r="C19">
        <v>39764703.681774803</v>
      </c>
      <c r="G19" s="24">
        <f>G20-F20</f>
        <v>80.95595494063582</v>
      </c>
      <c r="L19">
        <v>409557719.97801501</v>
      </c>
    </row>
    <row r="20" spans="1:16">
      <c r="A20" t="s">
        <v>17</v>
      </c>
      <c r="C20">
        <v>32543334.4029545</v>
      </c>
      <c r="F20" s="24">
        <f>F37-F30</f>
        <v>6389.8028978332986</v>
      </c>
      <c r="G20" s="24">
        <f>G37-G30-G39</f>
        <v>6470.7588527739344</v>
      </c>
      <c r="L20">
        <v>39764703.681774803</v>
      </c>
    </row>
    <row r="21" spans="1:16">
      <c r="A21" t="s">
        <v>18</v>
      </c>
      <c r="C21">
        <v>12533409814.1101</v>
      </c>
      <c r="L21">
        <v>32543334.4029545</v>
      </c>
    </row>
    <row r="22" spans="1:16">
      <c r="A22" t="s">
        <v>19</v>
      </c>
      <c r="C22">
        <v>15004861855.17</v>
      </c>
      <c r="G22" s="67">
        <f>G28-F28</f>
        <v>10.484160924745403</v>
      </c>
      <c r="L22">
        <v>12533409814.1101</v>
      </c>
    </row>
    <row r="23" spans="1:16">
      <c r="A23" t="s">
        <v>20</v>
      </c>
      <c r="C23">
        <v>1171560038.5063601</v>
      </c>
      <c r="L23">
        <v>15004861855.17</v>
      </c>
    </row>
    <row r="24" spans="1:16">
      <c r="A24" t="s">
        <v>90</v>
      </c>
      <c r="C24">
        <v>70365476.0079166</v>
      </c>
      <c r="L24">
        <v>1171560038.5063601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49.961398291752175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7362.5429638897058</v>
      </c>
      <c r="H30" s="18"/>
      <c r="I30" s="18"/>
      <c r="J30" s="14">
        <f>(G30-F30)*1000000/E3</f>
        <v>3.8393564401478342</v>
      </c>
      <c r="M30" t="s">
        <v>27</v>
      </c>
      <c r="N30" s="49">
        <f>F37-G37</f>
        <v>-2471.4520410598998</v>
      </c>
    </row>
    <row r="31" spans="1:16">
      <c r="E31" s="15" t="s">
        <v>24</v>
      </c>
      <c r="F31" s="45">
        <f>C8/C28</f>
        <v>297.67873411507901</v>
      </c>
      <c r="G31" s="46">
        <f>C10/C28</f>
        <v>375.72036430071995</v>
      </c>
      <c r="H31" s="160" t="s">
        <v>34</v>
      </c>
      <c r="I31" s="18"/>
      <c r="J31" s="16">
        <f>(G31-F31)*1000000/C7</f>
        <v>10.132423176880012</v>
      </c>
      <c r="M31" t="s">
        <v>22</v>
      </c>
      <c r="N31" s="49">
        <f>G30-F30</f>
        <v>1218.9360476129041</v>
      </c>
      <c r="P31">
        <f>G31/F31</f>
        <v>1.262167300655985</v>
      </c>
    </row>
    <row r="32" spans="1:16">
      <c r="E32" s="15" t="s">
        <v>25</v>
      </c>
      <c r="F32" s="45">
        <f>C12/C28</f>
        <v>3182.10735349166</v>
      </c>
      <c r="G32" s="46">
        <f>C14/C28</f>
        <v>4016.3518487541301</v>
      </c>
      <c r="H32" s="160"/>
      <c r="I32" s="18"/>
      <c r="J32" s="16">
        <f>(G32-F32)*1000000/C11</f>
        <v>10.132423176880028</v>
      </c>
      <c r="M32" t="s">
        <v>29</v>
      </c>
      <c r="N32" s="49">
        <f>G39</f>
        <v>1171.5600385063601</v>
      </c>
      <c r="P32">
        <f>G32/F32</f>
        <v>1.2621673006559855</v>
      </c>
    </row>
    <row r="33" spans="5:16">
      <c r="E33" s="15" t="s">
        <v>23</v>
      </c>
      <c r="F33" s="45">
        <f>C4/C28</f>
        <v>2028.9806506048801</v>
      </c>
      <c r="G33" s="46">
        <f>C6/C28</f>
        <v>2560.9130308568401</v>
      </c>
      <c r="H33" s="160"/>
      <c r="I33" s="18"/>
      <c r="J33" s="16">
        <f>(G33-F33)*1000000/C3</f>
        <v>10.133024242649707</v>
      </c>
      <c r="M33" t="s">
        <v>94</v>
      </c>
      <c r="N33" s="49">
        <f>G40</f>
        <v>863.20452533723676</v>
      </c>
      <c r="P33">
        <f>G33/F33</f>
        <v>1.2621673006558147</v>
      </c>
    </row>
    <row r="34" spans="5:16">
      <c r="E34" s="15" t="s">
        <v>26</v>
      </c>
      <c r="F34" s="45">
        <f>C16/C28</f>
        <v>634.84017806518307</v>
      </c>
      <c r="G34" s="46">
        <f>C18/C28</f>
        <v>409.55771997801503</v>
      </c>
      <c r="H34" s="160"/>
      <c r="I34" s="18"/>
      <c r="J34" s="97">
        <f>(G34-F34)*1000000/C15</f>
        <v>-2.1540043822299721</v>
      </c>
      <c r="N34" s="49"/>
      <c r="P34">
        <f>G34/F34</f>
        <v>0.64513516020084527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259.96929403753052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15004.86185517</v>
      </c>
      <c r="H37" s="3" t="s">
        <v>34</v>
      </c>
      <c r="I37" s="3"/>
      <c r="J37" s="13"/>
      <c r="M37" t="s">
        <v>88</v>
      </c>
      <c r="N37" s="49">
        <f>SUM(N30:N35)</f>
        <v>1042.2178644341316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1171.5600385063601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863.20452533723676</v>
      </c>
      <c r="H40" s="3"/>
      <c r="I40" s="3"/>
      <c r="J40" s="13"/>
      <c r="N40" s="21">
        <f>N37/G37</f>
        <v>6.9458677760170798E-2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32543.334402954501</v>
      </c>
      <c r="H42" s="18" t="s">
        <v>37</v>
      </c>
      <c r="I42" s="18"/>
      <c r="N42" s="21">
        <f>(G37-F37)/F37</f>
        <v>0.19718911913959292</v>
      </c>
    </row>
    <row r="43" spans="5:16">
      <c r="E43" s="9" t="s">
        <v>36</v>
      </c>
      <c r="F43" s="43">
        <f>F42*36/C29</f>
        <v>1431.5293325438927</v>
      </c>
      <c r="G43" s="44">
        <f>G42*36/C29</f>
        <v>1171.5600385063622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150.1645507152175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8BC3-C1C1-934D-BE6D-262DC7C31F70}">
  <dimension ref="A3:P47"/>
  <sheetViews>
    <sheetView showGridLines="0" topLeftCell="A14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3">
      <c r="A4" t="s">
        <v>1</v>
      </c>
      <c r="C4">
        <v>2028980650.6048801</v>
      </c>
      <c r="D4">
        <f>C3-C5</f>
        <v>161420.82559979707</v>
      </c>
      <c r="E4">
        <f>C5+C9+C13+C17+C24</f>
        <v>292236548.45732951</v>
      </c>
      <c r="G4" s="1">
        <f>F42/2</f>
        <v>19882.351840887401</v>
      </c>
      <c r="M4">
        <v>52494928.218277298</v>
      </c>
    </row>
    <row r="5" spans="1:13">
      <c r="A5" t="s">
        <v>2</v>
      </c>
      <c r="C5">
        <v>52333507.392677501</v>
      </c>
      <c r="M5">
        <v>2028980650.6048801</v>
      </c>
    </row>
    <row r="6" spans="1:13">
      <c r="A6" t="s">
        <v>3</v>
      </c>
      <c r="C6">
        <v>2501678513.07798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52333507.392677501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2501678513.07798</v>
      </c>
    </row>
    <row r="8" spans="1:13">
      <c r="A8" t="s">
        <v>5</v>
      </c>
      <c r="C8">
        <v>297678734.11507899</v>
      </c>
      <c r="D8">
        <f>C7-C9</f>
        <v>0</v>
      </c>
      <c r="M8">
        <v>7702168.4569703899</v>
      </c>
    </row>
    <row r="9" spans="1:13">
      <c r="A9" t="s">
        <v>6</v>
      </c>
      <c r="C9">
        <v>7702168.4569703899</v>
      </c>
      <c r="M9">
        <v>297678734.11507899</v>
      </c>
    </row>
    <row r="10" spans="1:13">
      <c r="A10" t="s">
        <v>7</v>
      </c>
      <c r="C10">
        <v>367029864.33824098</v>
      </c>
      <c r="M10">
        <v>7702168.4569703899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367029864.33824098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</row>
    <row r="13" spans="1:13">
      <c r="A13" t="s">
        <v>10</v>
      </c>
      <c r="C13">
        <v>82334154.495839998</v>
      </c>
      <c r="M13">
        <v>3182107353.4916601</v>
      </c>
    </row>
    <row r="14" spans="1:13">
      <c r="A14" t="s">
        <v>11</v>
      </c>
      <c r="C14">
        <v>3923452690.4775701</v>
      </c>
      <c r="M14">
        <v>82334154.495839998</v>
      </c>
    </row>
    <row r="15" spans="1:13">
      <c r="A15" t="s">
        <v>12</v>
      </c>
      <c r="C15">
        <v>104587743.620995</v>
      </c>
      <c r="M15">
        <v>3923452690.4775701</v>
      </c>
    </row>
    <row r="16" spans="1:13">
      <c r="A16" t="s">
        <v>13</v>
      </c>
      <c r="C16">
        <v>634840178.06518304</v>
      </c>
      <c r="D16">
        <f>C15-C17</f>
        <v>25086501.517069995</v>
      </c>
      <c r="M16">
        <v>104587743.620995</v>
      </c>
    </row>
    <row r="17" spans="1:16">
      <c r="A17" t="s">
        <v>14</v>
      </c>
      <c r="C17">
        <v>79501242.103925005</v>
      </c>
      <c r="M17">
        <v>634840178.06518304</v>
      </c>
    </row>
    <row r="18" spans="1:16">
      <c r="A18" t="s">
        <v>15</v>
      </c>
      <c r="C18">
        <v>385710287.07075</v>
      </c>
      <c r="G18" s="1">
        <f>G19*1000000</f>
        <v>-279417999.54549789</v>
      </c>
      <c r="M18">
        <v>79501242.103925005</v>
      </c>
    </row>
    <row r="19" spans="1:16">
      <c r="A19" t="s">
        <v>16</v>
      </c>
      <c r="C19">
        <v>39764703.681774803</v>
      </c>
      <c r="G19" s="24">
        <f>G20-F20</f>
        <v>-279.41799954549788</v>
      </c>
      <c r="M19">
        <v>385710287.07075</v>
      </c>
    </row>
    <row r="20" spans="1:16">
      <c r="A20" t="s">
        <v>17</v>
      </c>
      <c r="C20">
        <v>29348270.4482379</v>
      </c>
      <c r="F20" s="24">
        <f>F37-F30</f>
        <v>6389.8028978332986</v>
      </c>
      <c r="G20" s="24">
        <f>G37-G30-G39</f>
        <v>6110.3848982878008</v>
      </c>
      <c r="M20">
        <v>39764703.681774803</v>
      </c>
    </row>
    <row r="21" spans="1:16">
      <c r="A21" t="s">
        <v>18</v>
      </c>
      <c r="C21">
        <v>12533409814.1101</v>
      </c>
      <c r="M21">
        <v>29348270.4482379</v>
      </c>
    </row>
    <row r="22" spans="1:16">
      <c r="A22" t="s">
        <v>19</v>
      </c>
      <c r="C22">
        <v>14344793989.388901</v>
      </c>
      <c r="G22" s="67">
        <f>G28-F28</f>
        <v>9.6090048060301001</v>
      </c>
      <c r="M22">
        <v>12533409814.1101</v>
      </c>
    </row>
    <row r="23" spans="1:16">
      <c r="A23" t="s">
        <v>20</v>
      </c>
      <c r="C23">
        <v>1056537736.13656</v>
      </c>
      <c r="M23">
        <v>14344793989.388901</v>
      </c>
    </row>
    <row r="24" spans="1:16">
      <c r="A24" t="s">
        <v>90</v>
      </c>
      <c r="C24">
        <v>70365476.0079166</v>
      </c>
      <c r="M24">
        <v>1056537736.13656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49.086242173036872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7177.8713549645408</v>
      </c>
      <c r="H30" s="63"/>
      <c r="I30" s="63"/>
      <c r="J30" s="14">
        <f>(G30-F30)*1000000/E3</f>
        <v>3.2576851273436889</v>
      </c>
      <c r="M30" t="s">
        <v>27</v>
      </c>
      <c r="N30" s="49">
        <f>F37-G37</f>
        <v>-1811.3841752788012</v>
      </c>
    </row>
    <row r="31" spans="1:16">
      <c r="E31" s="15" t="s">
        <v>24</v>
      </c>
      <c r="F31" s="45">
        <f>C8/C28</f>
        <v>297.67873411507901</v>
      </c>
      <c r="G31" s="46">
        <f>C10/C28</f>
        <v>367.029864338241</v>
      </c>
      <c r="H31" s="160" t="s">
        <v>34</v>
      </c>
      <c r="I31" s="63"/>
      <c r="J31" s="16">
        <f>(G31-F31)*1000000/C7</f>
        <v>9.0041045727063871</v>
      </c>
      <c r="M31" t="s">
        <v>22</v>
      </c>
      <c r="N31" s="49">
        <f>G30-F30</f>
        <v>1034.2644386877391</v>
      </c>
      <c r="P31">
        <f>G31/F31</f>
        <v>1.2329730755854118</v>
      </c>
    </row>
    <row r="32" spans="1:16">
      <c r="E32" s="15" t="s">
        <v>25</v>
      </c>
      <c r="F32" s="45">
        <f>C12/C28</f>
        <v>3182.10735349166</v>
      </c>
      <c r="G32" s="46">
        <f>C14/C28</f>
        <v>3923.4526904775698</v>
      </c>
      <c r="H32" s="160"/>
      <c r="I32" s="63"/>
      <c r="J32" s="16">
        <f>(G32-F32)*1000000/C11</f>
        <v>9.0041045727064208</v>
      </c>
      <c r="M32" t="s">
        <v>29</v>
      </c>
      <c r="N32" s="49">
        <f>G39</f>
        <v>1056.5377361365599</v>
      </c>
      <c r="P32">
        <f>G32/F32</f>
        <v>1.2329730755854127</v>
      </c>
    </row>
    <row r="33" spans="5:16">
      <c r="E33" s="15" t="s">
        <v>23</v>
      </c>
      <c r="F33" s="45">
        <f>C4/C28</f>
        <v>2028.9806506048801</v>
      </c>
      <c r="G33" s="46">
        <f>C6/C28</f>
        <v>2501.6785130779799</v>
      </c>
      <c r="H33" s="160"/>
      <c r="I33" s="63"/>
      <c r="J33" s="16">
        <f>(G33-F33)*1000000/C3</f>
        <v>9.0046387054305814</v>
      </c>
      <c r="M33" t="s">
        <v>94</v>
      </c>
      <c r="N33" s="49">
        <f>G40</f>
        <v>791.14928625095126</v>
      </c>
      <c r="P33">
        <f>G33/F33</f>
        <v>1.2329730755846189</v>
      </c>
    </row>
    <row r="34" spans="5:16">
      <c r="E34" s="15" t="s">
        <v>26</v>
      </c>
      <c r="F34" s="45">
        <f>C16/C28</f>
        <v>634.84017806518307</v>
      </c>
      <c r="G34" s="46">
        <f>C18/C28</f>
        <v>385.71028707074998</v>
      </c>
      <c r="H34" s="160"/>
      <c r="I34" s="63"/>
      <c r="J34" s="97">
        <f>(G34-F34)*1000000/C15</f>
        <v>-2.382018029734247</v>
      </c>
      <c r="N34" s="49"/>
      <c r="P34">
        <f>G34/F34</f>
        <v>0.60757069321965107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374.99159640732819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14344.793989388902</v>
      </c>
      <c r="H37" s="3" t="s">
        <v>34</v>
      </c>
      <c r="I37" s="3"/>
      <c r="J37" s="13"/>
      <c r="M37" t="s">
        <v>88</v>
      </c>
      <c r="N37" s="49">
        <f>SUM(N30:N35)</f>
        <v>1445.5588822037773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1056.5377361365599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791.14928625095126</v>
      </c>
      <c r="H40" s="3"/>
      <c r="I40" s="3"/>
      <c r="J40" s="13"/>
      <c r="N40" s="21">
        <f>N37/G37</f>
        <v>0.10077236963271016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29348.270448237901</v>
      </c>
      <c r="H42" s="63" t="s">
        <v>37</v>
      </c>
      <c r="I42" s="63"/>
      <c r="N42" s="21">
        <f>(G37-F37)/F37</f>
        <v>0.14452445121833857</v>
      </c>
    </row>
    <row r="43" spans="5:16">
      <c r="E43" s="9" t="s">
        <v>36</v>
      </c>
      <c r="F43" s="43">
        <f>F42*36/C29</f>
        <v>1431.5293325438927</v>
      </c>
      <c r="G43" s="44">
        <f>G42*36/C29</f>
        <v>1056.5377361365645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146.11827422866475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9AE0-C92C-E640-B226-0387CA06369F}">
  <dimension ref="A3:P47"/>
  <sheetViews>
    <sheetView showGridLines="0" topLeftCell="A13" workbookViewId="0">
      <selection activeCell="C18" sqref="C18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5">
      <c r="A4" t="s">
        <v>1</v>
      </c>
      <c r="C4">
        <v>2028980650.6048801</v>
      </c>
      <c r="D4">
        <f>C3-C5</f>
        <v>1914340.5995954946</v>
      </c>
      <c r="E4">
        <f>C5+C9+C13+C17+C24</f>
        <v>279798502.63929856</v>
      </c>
      <c r="G4" s="1">
        <f>F42/2</f>
        <v>19882.351840887401</v>
      </c>
      <c r="M4">
        <v>52494928.218277298</v>
      </c>
      <c r="O4" s="114"/>
    </row>
    <row r="5" spans="1:15">
      <c r="A5" t="s">
        <v>2</v>
      </c>
      <c r="C5">
        <v>50580587.618681803</v>
      </c>
      <c r="M5">
        <v>2028980650.6048801</v>
      </c>
      <c r="O5" s="114"/>
    </row>
    <row r="6" spans="1:15">
      <c r="A6" t="s">
        <v>3</v>
      </c>
      <c r="C6">
        <v>2268830827.2825799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50580587.618681803</v>
      </c>
      <c r="O6" s="114"/>
    </row>
    <row r="7" spans="1:15">
      <c r="A7" t="s">
        <v>4</v>
      </c>
      <c r="C7">
        <v>7702168.4569703899</v>
      </c>
      <c r="J7" s="21">
        <f>J6/H6</f>
        <v>-0.36090965768927602</v>
      </c>
      <c r="M7">
        <v>2268830827.2825799</v>
      </c>
      <c r="O7" s="114"/>
    </row>
    <row r="8" spans="1:15">
      <c r="A8" t="s">
        <v>5</v>
      </c>
      <c r="C8">
        <v>297678734.11507899</v>
      </c>
      <c r="D8">
        <f>C7-C9</f>
        <v>0</v>
      </c>
      <c r="M8">
        <v>7702168.4569703899</v>
      </c>
      <c r="O8" s="114"/>
    </row>
    <row r="9" spans="1:15">
      <c r="A9" t="s">
        <v>6</v>
      </c>
      <c r="C9">
        <v>7702168.4569703899</v>
      </c>
      <c r="M9">
        <v>297678734.11507899</v>
      </c>
      <c r="O9" s="114"/>
    </row>
    <row r="10" spans="1:15">
      <c r="A10" t="s">
        <v>7</v>
      </c>
      <c r="C10">
        <v>332867978.997778</v>
      </c>
      <c r="M10">
        <v>7702168.4569703899</v>
      </c>
      <c r="O10" s="114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332867978.997778</v>
      </c>
      <c r="O11" s="114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82334154.495839998</v>
      </c>
      <c r="O12" s="114"/>
    </row>
    <row r="13" spans="1:15">
      <c r="A13" t="s">
        <v>10</v>
      </c>
      <c r="C13">
        <v>82334154.495839998</v>
      </c>
      <c r="M13">
        <v>3182107353.4916601</v>
      </c>
      <c r="O13" s="114"/>
    </row>
    <row r="14" spans="1:15">
      <c r="A14" t="s">
        <v>11</v>
      </c>
      <c r="C14">
        <v>3558271123.5974798</v>
      </c>
      <c r="M14">
        <v>82334154.495839998</v>
      </c>
      <c r="O14" s="114"/>
    </row>
    <row r="15" spans="1:15">
      <c r="A15" t="s">
        <v>12</v>
      </c>
      <c r="C15">
        <v>104587743.620995</v>
      </c>
      <c r="M15">
        <v>3558271123.5974798</v>
      </c>
      <c r="O15" s="114"/>
    </row>
    <row r="16" spans="1:15">
      <c r="A16" t="s">
        <v>13</v>
      </c>
      <c r="C16">
        <v>634840178.06518304</v>
      </c>
      <c r="D16">
        <f>C15-C17</f>
        <v>35771627.561105207</v>
      </c>
      <c r="M16">
        <v>104587743.620995</v>
      </c>
      <c r="O16" s="114"/>
    </row>
    <row r="17" spans="1:16">
      <c r="A17" t="s">
        <v>14</v>
      </c>
      <c r="C17">
        <v>68816116.059889793</v>
      </c>
      <c r="M17">
        <v>634840178.06518304</v>
      </c>
      <c r="O17" s="114"/>
    </row>
    <row r="18" spans="1:16">
      <c r="A18" t="s">
        <v>15</v>
      </c>
      <c r="C18">
        <v>429556794.61720097</v>
      </c>
      <c r="G18" s="1">
        <f>G19*1000000</f>
        <v>-881864652.15295446</v>
      </c>
      <c r="M18">
        <v>68816116.059889793</v>
      </c>
      <c r="O18" s="114"/>
    </row>
    <row r="19" spans="1:16">
      <c r="A19" t="s">
        <v>16</v>
      </c>
      <c r="C19">
        <v>39764703.681774803</v>
      </c>
      <c r="G19" s="24">
        <f>G20-F20</f>
        <v>-881.86465215295448</v>
      </c>
      <c r="M19">
        <v>429556794.61720097</v>
      </c>
      <c r="O19" s="114"/>
    </row>
    <row r="20" spans="1:16">
      <c r="A20" t="s">
        <v>17</v>
      </c>
      <c r="C20">
        <v>25760373.347328201</v>
      </c>
      <c r="F20" s="24">
        <f>F37-F30</f>
        <v>6389.8028978332986</v>
      </c>
      <c r="G20" s="24">
        <f>G37-G30-G39</f>
        <v>5507.9382456803442</v>
      </c>
      <c r="M20">
        <v>39764703.681774803</v>
      </c>
      <c r="O20" s="114"/>
    </row>
    <row r="21" spans="1:16">
      <c r="A21" t="s">
        <v>18</v>
      </c>
      <c r="C21">
        <v>12533409814.1101</v>
      </c>
      <c r="M21">
        <v>25760373.347328201</v>
      </c>
      <c r="O21" s="114"/>
    </row>
    <row r="22" spans="1:16">
      <c r="A22" t="s">
        <v>19</v>
      </c>
      <c r="C22">
        <v>13024838410.679199</v>
      </c>
      <c r="G22" s="67">
        <f>G28-F28</f>
        <v>7.0735421683295314</v>
      </c>
      <c r="M22">
        <v>12533409814.1101</v>
      </c>
      <c r="O22" s="114"/>
    </row>
    <row r="23" spans="1:16">
      <c r="A23" t="s">
        <v>20</v>
      </c>
      <c r="C23">
        <v>927373440.50381696</v>
      </c>
      <c r="M23">
        <v>13024838410.679199</v>
      </c>
      <c r="O23" s="114"/>
    </row>
    <row r="24" spans="1:16">
      <c r="A24" t="s">
        <v>90</v>
      </c>
      <c r="C24">
        <v>70365476.0079166</v>
      </c>
      <c r="M24">
        <v>927373440.50381696</v>
      </c>
      <c r="O24" s="114"/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46.550779535336304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6589.5267244950392</v>
      </c>
      <c r="H30" s="63"/>
      <c r="I30" s="63"/>
      <c r="J30" s="10">
        <f>(G30-F30)*1000000/E3</f>
        <v>1.4045405342018968</v>
      </c>
      <c r="M30" t="s">
        <v>27</v>
      </c>
      <c r="N30" s="49">
        <f>F37-G37</f>
        <v>-491.42859656909968</v>
      </c>
    </row>
    <row r="31" spans="1:16">
      <c r="E31" s="15" t="s">
        <v>24</v>
      </c>
      <c r="F31" s="45">
        <f>C8/C28</f>
        <v>297.67873411507901</v>
      </c>
      <c r="G31" s="46">
        <f>C10/C28</f>
        <v>332.86797899777798</v>
      </c>
      <c r="H31" s="160" t="s">
        <v>34</v>
      </c>
      <c r="I31" s="63"/>
      <c r="J31" s="98">
        <f>(G31-F31)*1000000/C7</f>
        <v>4.5687451630395124</v>
      </c>
      <c r="M31" t="s">
        <v>22</v>
      </c>
      <c r="N31" s="49">
        <f>G30-F30</f>
        <v>445.91980821823745</v>
      </c>
      <c r="P31">
        <f>G31/F31</f>
        <v>1.1182121557568008</v>
      </c>
    </row>
    <row r="32" spans="1:16">
      <c r="E32" s="15" t="s">
        <v>25</v>
      </c>
      <c r="F32" s="45">
        <f>C12/C28</f>
        <v>3182.10735349166</v>
      </c>
      <c r="G32" s="46">
        <f>C14/C28</f>
        <v>3558.2711235974798</v>
      </c>
      <c r="H32" s="160"/>
      <c r="I32" s="63"/>
      <c r="J32" s="98">
        <f>(G32-F32)*1000000/C11</f>
        <v>4.5687451630395479</v>
      </c>
      <c r="M32" t="s">
        <v>29</v>
      </c>
      <c r="N32" s="49">
        <f>G39</f>
        <v>927.37344050381694</v>
      </c>
      <c r="P32">
        <f>G32/F32</f>
        <v>1.1182121557568017</v>
      </c>
    </row>
    <row r="33" spans="5:16">
      <c r="E33" s="15" t="s">
        <v>23</v>
      </c>
      <c r="F33" s="45">
        <f>C4/C28</f>
        <v>2028.9806506048801</v>
      </c>
      <c r="G33" s="46">
        <f>C6/C28</f>
        <v>2268.8308272825798</v>
      </c>
      <c r="H33" s="160"/>
      <c r="I33" s="63"/>
      <c r="J33" s="98">
        <f>(G33-F33)*1000000/C3</f>
        <v>4.5690161853424609</v>
      </c>
      <c r="M33" t="s">
        <v>94</v>
      </c>
      <c r="N33" s="49">
        <f>G40</f>
        <v>582.3941137200826</v>
      </c>
      <c r="P33">
        <f>G33/F33</f>
        <v>1.1182121557473679</v>
      </c>
    </row>
    <row r="34" spans="5:16">
      <c r="E34" s="15" t="s">
        <v>26</v>
      </c>
      <c r="F34" s="45">
        <f>C16/C28</f>
        <v>634.84017806518307</v>
      </c>
      <c r="G34" s="46">
        <f>C18/C28</f>
        <v>429.55679461720098</v>
      </c>
      <c r="H34" s="160"/>
      <c r="I34" s="63"/>
      <c r="J34" s="97">
        <f>(G34-F34)*1000000/C15</f>
        <v>-1.9627862342253783</v>
      </c>
      <c r="N34" s="49"/>
      <c r="P34">
        <f>G34/F34</f>
        <v>0.67663769474448043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504.15589204007745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13024.8384106792</v>
      </c>
      <c r="H37" s="3" t="s">
        <v>34</v>
      </c>
      <c r="I37" s="3"/>
      <c r="J37" s="13"/>
      <c r="M37" t="s">
        <v>88</v>
      </c>
      <c r="N37" s="49">
        <f>SUM(N30:N35)</f>
        <v>1968.4146579131148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927.37344050381694</v>
      </c>
      <c r="H39" s="3" t="s">
        <v>34</v>
      </c>
      <c r="I39" s="3"/>
      <c r="J39" s="13"/>
    </row>
    <row r="40" spans="5:16">
      <c r="E40" s="9" t="s">
        <v>93</v>
      </c>
      <c r="F40" s="43"/>
      <c r="G40" s="144">
        <f>MIN(17.5394,G28-F28)*C11/C28</f>
        <v>582.3941137200826</v>
      </c>
      <c r="H40" s="3"/>
      <c r="I40" s="3"/>
      <c r="J40" s="13"/>
      <c r="N40" s="21">
        <f>N37/G37</f>
        <v>0.15112776034896458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25760.373347328201</v>
      </c>
      <c r="H42" s="63" t="s">
        <v>37</v>
      </c>
      <c r="I42" s="63"/>
      <c r="N42" s="21">
        <f>(G37-F37)/F37</f>
        <v>3.9209489185923679E-2</v>
      </c>
    </row>
    <row r="43" spans="5:16">
      <c r="E43" s="9" t="s">
        <v>36</v>
      </c>
      <c r="F43" s="43">
        <f>F42*36/C29</f>
        <v>1431.5293325438927</v>
      </c>
      <c r="G43" s="44">
        <f>G42*36/C29</f>
        <v>927.37344050381523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139.89925131964927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dimension ref="C2:N11"/>
  <sheetViews>
    <sheetView showGridLines="0" zoomScale="117" workbookViewId="0">
      <selection activeCell="D6" sqref="D6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64" t="s">
        <v>101</v>
      </c>
      <c r="H2" s="165"/>
      <c r="I2" s="165"/>
      <c r="J2" s="165"/>
    </row>
    <row r="3" spans="3:14">
      <c r="F3" s="109"/>
      <c r="G3" s="161" t="s">
        <v>102</v>
      </c>
      <c r="H3" s="162"/>
      <c r="I3" s="163" t="s">
        <v>103</v>
      </c>
      <c r="J3" s="163"/>
    </row>
    <row r="4" spans="3:14" ht="34">
      <c r="D4" s="1"/>
      <c r="F4" s="110" t="s">
        <v>104</v>
      </c>
      <c r="G4" s="100" t="s">
        <v>68</v>
      </c>
      <c r="H4" s="101" t="s">
        <v>69</v>
      </c>
      <c r="I4" s="99" t="s">
        <v>68</v>
      </c>
      <c r="J4" s="99" t="s">
        <v>69</v>
      </c>
    </row>
    <row r="5" spans="3:14">
      <c r="C5" s="51" t="s">
        <v>61</v>
      </c>
      <c r="D5" s="52">
        <v>0.14879065</v>
      </c>
      <c r="F5" s="39" t="s">
        <v>65</v>
      </c>
      <c r="G5" s="104">
        <v>0.637650297778806</v>
      </c>
      <c r="H5" s="102">
        <v>2.3236848825557201E-4</v>
      </c>
      <c r="I5" s="104">
        <v>0.63762592240836302</v>
      </c>
      <c r="J5" s="106">
        <v>2.2254688000648599E-8</v>
      </c>
      <c r="K5" s="26"/>
    </row>
    <row r="6" spans="3:14">
      <c r="C6" s="39" t="s">
        <v>62</v>
      </c>
      <c r="D6" s="53">
        <v>-0.13232826</v>
      </c>
      <c r="F6" s="39" t="s">
        <v>66</v>
      </c>
      <c r="G6" s="104">
        <v>1.21789301981552</v>
      </c>
      <c r="H6" s="102">
        <v>3.9447126644578303E-3</v>
      </c>
      <c r="I6" s="104">
        <v>1.2178018706353799</v>
      </c>
      <c r="J6" s="106">
        <v>2.25705845523682E-6</v>
      </c>
      <c r="K6" s="26"/>
    </row>
    <row r="7" spans="3:14" ht="17">
      <c r="C7" s="39" t="s">
        <v>63</v>
      </c>
      <c r="D7" s="53">
        <v>-0.70620249999999996</v>
      </c>
      <c r="F7" s="35" t="s">
        <v>67</v>
      </c>
      <c r="G7" s="105">
        <v>3.5534479497935498</v>
      </c>
      <c r="H7" s="103">
        <v>5.5266239378950798E-3</v>
      </c>
      <c r="I7" s="105">
        <v>3.55321935167817</v>
      </c>
      <c r="J7" s="107">
        <v>3.3262038463098199E-7</v>
      </c>
      <c r="K7" s="26"/>
      <c r="N7" s="19"/>
    </row>
    <row r="8" spans="3:14" ht="17">
      <c r="C8" s="39" t="s">
        <v>64</v>
      </c>
      <c r="D8" s="65">
        <v>-1.10531E-3</v>
      </c>
      <c r="L8" s="19"/>
      <c r="N8" s="66"/>
    </row>
    <row r="9" spans="3:14">
      <c r="C9" s="35" t="s">
        <v>89</v>
      </c>
      <c r="D9" s="54">
        <v>8.2116499999999995E-2</v>
      </c>
      <c r="I9" s="108">
        <f>I5-G5</f>
        <v>-2.4375370442974997E-5</v>
      </c>
    </row>
    <row r="10" spans="3:14">
      <c r="C10" s="55" t="s">
        <v>70</v>
      </c>
      <c r="D10" s="1">
        <v>0.54511573046643602</v>
      </c>
      <c r="I10" s="108">
        <f t="shared" ref="I10:I11" si="0">I6-G6</f>
        <v>-9.1149180140082109E-5</v>
      </c>
    </row>
    <row r="11" spans="3:14">
      <c r="I11" s="108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dimension ref="A2:L54"/>
  <sheetViews>
    <sheetView showGridLines="0" topLeftCell="A2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3" t="s">
        <v>39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44</v>
      </c>
      <c r="J15" t="s">
        <v>45</v>
      </c>
    </row>
    <row r="16" spans="1:12">
      <c r="H16" t="s">
        <v>40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41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40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51</v>
      </c>
      <c r="G10" s="36" t="s">
        <v>58</v>
      </c>
    </row>
    <row r="11" spans="1:7">
      <c r="E11" s="37"/>
      <c r="F11" s="40" t="s">
        <v>56</v>
      </c>
      <c r="G11" s="40" t="s">
        <v>57</v>
      </c>
    </row>
    <row r="12" spans="1:7">
      <c r="E12" s="37" t="s">
        <v>52</v>
      </c>
      <c r="F12" s="38">
        <f>B4</f>
        <v>10172.688602288181</v>
      </c>
      <c r="G12" s="38">
        <f>C4</f>
        <v>1255.8399390243903</v>
      </c>
    </row>
    <row r="13" spans="1:7">
      <c r="E13" s="37" t="s">
        <v>53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54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55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59</v>
      </c>
      <c r="G17" s="38">
        <v>24348.074331609998</v>
      </c>
    </row>
    <row r="18" spans="2:7">
      <c r="B18" s="33" t="s">
        <v>50</v>
      </c>
      <c r="C18">
        <f>B8</f>
        <v>82</v>
      </c>
      <c r="E18" s="29"/>
      <c r="F18" s="34" t="s">
        <v>50</v>
      </c>
      <c r="G18" s="35">
        <f>B8</f>
        <v>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80</v>
      </c>
      <c r="K3">
        <v>4.3820427111430096</v>
      </c>
    </row>
    <row r="4" spans="1:13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dimension ref="A3:J9"/>
  <sheetViews>
    <sheetView zoomScale="68" workbookViewId="0">
      <selection activeCell="G9" sqref="G9"/>
    </sheetView>
  </sheetViews>
  <sheetFormatPr baseColWidth="10" defaultRowHeight="16"/>
  <sheetData>
    <row r="3" spans="1:10">
      <c r="B3" t="s">
        <v>106</v>
      </c>
      <c r="D3" t="s">
        <v>107</v>
      </c>
    </row>
    <row r="4" spans="1:10">
      <c r="A4" t="s">
        <v>105</v>
      </c>
      <c r="B4" s="113" t="s">
        <v>108</v>
      </c>
      <c r="C4" s="113" t="s">
        <v>109</v>
      </c>
      <c r="D4" s="113" t="s">
        <v>110</v>
      </c>
      <c r="E4" s="113" t="s">
        <v>111</v>
      </c>
    </row>
    <row r="5" spans="1:10">
      <c r="A5">
        <v>0</v>
      </c>
      <c r="D5">
        <f>'2yr-0.3-8'!C16</f>
        <v>634840178.06518304</v>
      </c>
      <c r="E5">
        <f>'2 years-0.3'!C16</f>
        <v>634840178.06518304</v>
      </c>
      <c r="G5">
        <f>B5/1000000</f>
        <v>0</v>
      </c>
      <c r="H5">
        <f t="shared" ref="H5:J5" si="0">C5/1000000</f>
        <v>0</v>
      </c>
      <c r="I5">
        <f t="shared" si="0"/>
        <v>634.84017806518307</v>
      </c>
      <c r="J5">
        <f t="shared" si="0"/>
        <v>634.84017806518307</v>
      </c>
    </row>
    <row r="6" spans="1:10">
      <c r="A6">
        <v>-0.1</v>
      </c>
      <c r="B6">
        <f>'2 years-0.1'!C17</f>
        <v>96729973.084366202</v>
      </c>
      <c r="C6">
        <f>'2yr-0.1-8'!C17</f>
        <v>98079498.091489404</v>
      </c>
      <c r="D6">
        <f>F6-D$5</f>
        <v>146190615.76286197</v>
      </c>
      <c r="E6">
        <f t="shared" ref="E6:E8" si="1">G6-E$5</f>
        <v>-145665622.80819404</v>
      </c>
      <c r="F6">
        <f>'2 years-0.1'!$C$18</f>
        <v>781030793.82804501</v>
      </c>
      <c r="G6">
        <f>'2yr-0.1-8'!$C$18</f>
        <v>489174555.256989</v>
      </c>
    </row>
    <row r="7" spans="1:10">
      <c r="A7">
        <v>-0.3</v>
      </c>
      <c r="B7">
        <f>'2 years-0.3'!C17</f>
        <v>83969966.034816995</v>
      </c>
      <c r="C7">
        <f>'2yr-0.3-8'!C17</f>
        <v>87467310.758715898</v>
      </c>
      <c r="D7">
        <f t="shared" ref="D7:D9" si="2">F7-D$5</f>
        <v>4718706.7987478971</v>
      </c>
      <c r="E7">
        <f t="shared" si="1"/>
        <v>-225282458.08716804</v>
      </c>
      <c r="F7">
        <f>'2 years-0.3'!$C$18</f>
        <v>639558884.86393094</v>
      </c>
      <c r="G7">
        <f>'2yr-0.3-8'!$C$18</f>
        <v>409557719.97801501</v>
      </c>
    </row>
    <row r="8" spans="1:10">
      <c r="A8">
        <v>-0.5</v>
      </c>
      <c r="B8">
        <f>'2 years-0.5'!C17</f>
        <v>74294842.727968201</v>
      </c>
      <c r="C8">
        <f>'2yr-0.5-8'!C17</f>
        <v>79501242.103925005</v>
      </c>
      <c r="D8">
        <f t="shared" si="2"/>
        <v>-56934986.06309104</v>
      </c>
      <c r="E8">
        <f t="shared" si="1"/>
        <v>-249129890.99443305</v>
      </c>
      <c r="F8">
        <f>'2 years-0.5'!$C$18</f>
        <v>577905192.002092</v>
      </c>
      <c r="G8">
        <f>'2yr-0.5-8'!$C$18</f>
        <v>385710287.07075</v>
      </c>
    </row>
    <row r="9" spans="1:10">
      <c r="A9">
        <v>-1</v>
      </c>
      <c r="B9">
        <f>'2 years-1'!C17</f>
        <v>60322182.973327197</v>
      </c>
      <c r="C9">
        <f>'2yr-1-8'!C17</f>
        <v>68816116.059889793</v>
      </c>
      <c r="D9">
        <f t="shared" si="2"/>
        <v>-71890828.717326045</v>
      </c>
      <c r="E9">
        <f>G9-E$5</f>
        <v>-205283383.44798207</v>
      </c>
      <c r="F9">
        <f>'2 years-1'!$C$18</f>
        <v>562949349.347857</v>
      </c>
      <c r="G9">
        <f>'2yr-1-8'!$C$18</f>
        <v>429556794.61720097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dimension ref="B3:D9"/>
  <sheetViews>
    <sheetView showGridLines="0" workbookViewId="0">
      <selection activeCell="B3" sqref="B3:D9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85</v>
      </c>
      <c r="D3" s="59" t="s">
        <v>86</v>
      </c>
    </row>
    <row r="4" spans="2:4">
      <c r="B4" s="37" t="s">
        <v>52</v>
      </c>
      <c r="C4" s="60">
        <v>33.642937136035123</v>
      </c>
      <c r="D4" s="38">
        <v>18121.259748858403</v>
      </c>
    </row>
    <row r="5" spans="2:4">
      <c r="B5" s="37" t="s">
        <v>55</v>
      </c>
      <c r="C5" s="60">
        <v>0</v>
      </c>
      <c r="D5" s="38">
        <v>11830.5</v>
      </c>
    </row>
    <row r="6" spans="2:4">
      <c r="B6" s="37" t="s">
        <v>54</v>
      </c>
      <c r="C6" s="60">
        <v>1188.6803584851809</v>
      </c>
      <c r="D6" s="38">
        <v>31860.9</v>
      </c>
    </row>
    <row r="7" spans="2:4">
      <c r="B7" s="37" t="s">
        <v>53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87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dimension ref="A2:R35"/>
  <sheetViews>
    <sheetView showGridLines="0" topLeftCell="A33" workbookViewId="0">
      <selection activeCell="L6" sqref="L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115</v>
      </c>
      <c r="I2" t="s">
        <v>116</v>
      </c>
      <c r="J2" t="s">
        <v>46</v>
      </c>
      <c r="L2" t="s">
        <v>117</v>
      </c>
      <c r="M2">
        <v>36</v>
      </c>
      <c r="O2" t="s">
        <v>118</v>
      </c>
    </row>
    <row r="3" spans="1:17">
      <c r="A3" t="s">
        <v>112</v>
      </c>
      <c r="B3">
        <f>'2 years-0.1'!C24</f>
        <v>70365476.0079166</v>
      </c>
      <c r="L3" t="s">
        <v>119</v>
      </c>
      <c r="Q3">
        <v>1000000</v>
      </c>
    </row>
    <row r="4" spans="1:17">
      <c r="A4" t="s">
        <v>113</v>
      </c>
      <c r="B4" s="119">
        <f>'2 years-0.1'!F28</f>
        <v>39.477237367006772</v>
      </c>
      <c r="E4" t="s">
        <v>114</v>
      </c>
      <c r="H4" s="49">
        <f>Summary!D14</f>
        <v>39764.703681774801</v>
      </c>
      <c r="I4">
        <f>'2 years-0.1'!E3-Imports!B3</f>
        <v>247118994.79208264</v>
      </c>
      <c r="J4">
        <f>('Gas Gen'!G12*0.456)/1000</f>
        <v>0.57266301219512206</v>
      </c>
      <c r="M4" t="s">
        <v>68</v>
      </c>
    </row>
    <row r="5" spans="1:17">
      <c r="A5" t="s">
        <v>113</v>
      </c>
      <c r="B5" s="119">
        <f>Summary!E$6</f>
        <v>53.958281527367298</v>
      </c>
      <c r="C5">
        <v>-0.3</v>
      </c>
      <c r="E5">
        <f>$B$3/($B$4^C5)</f>
        <v>211964756.14400128</v>
      </c>
      <c r="F5">
        <f>E5*(($B$4-(B5-$B$4))^C5)</f>
        <v>80705195.513020396</v>
      </c>
      <c r="H5" s="49">
        <f>Summary!$E$14</f>
        <v>36398.6437666848</v>
      </c>
      <c r="I5">
        <f>'2 years-0.1'!E4-B3</f>
        <v>239257257.86401674</v>
      </c>
      <c r="J5">
        <f>(H5*1000)/I5</f>
        <v>0.15213182702015327</v>
      </c>
      <c r="L5">
        <f>(F5-$B$3)*($J$4-J5)</f>
        <v>4348174.497858041</v>
      </c>
      <c r="M5">
        <f>L5*$M$2</f>
        <v>156534281.92288947</v>
      </c>
      <c r="O5" s="49">
        <f>Summary!$E$17</f>
        <v>610.99595474900411</v>
      </c>
      <c r="Q5" s="120">
        <f>(M5/$Q$3)/O5</f>
        <v>0.25619528362866728</v>
      </c>
    </row>
    <row r="6" spans="1:17">
      <c r="B6" s="119">
        <f>Summary!F$6</f>
        <v>52.413521148302792</v>
      </c>
      <c r="C6">
        <v>-0.3</v>
      </c>
      <c r="E6">
        <f t="shared" ref="E6:E8" si="0">$B$3/($B$4^C6)</f>
        <v>211964756.14400128</v>
      </c>
      <c r="F6">
        <f t="shared" ref="F6:F8" si="1">E6*(($B$4-(B6-$B$4))^C6)</f>
        <v>79266320.521164492</v>
      </c>
      <c r="H6" s="49">
        <f>Summary!$F$14</f>
        <v>31105.510373197201</v>
      </c>
      <c r="I6">
        <f>'2 years-0.3'!E4-B3</f>
        <v>226443495.73874208</v>
      </c>
      <c r="J6">
        <f t="shared" ref="J6:J8" si="2">(H6*1000)/I6</f>
        <v>0.1373654397611182</v>
      </c>
      <c r="L6">
        <f t="shared" ref="L6:L8" si="3">(F6-$B$3)*($J$4-J6)</f>
        <v>3874516.0092293303</v>
      </c>
      <c r="M6">
        <f t="shared" ref="M6:M8" si="4">L6*$M$2</f>
        <v>139482576.3322559</v>
      </c>
      <c r="O6" s="49">
        <f>Summary!$F$17</f>
        <v>1257.7201764744677</v>
      </c>
      <c r="Q6" s="120">
        <f t="shared" ref="Q6:Q8" si="5">(M6/$Q$3)/O6</f>
        <v>0.11090112009114886</v>
      </c>
    </row>
    <row r="7" spans="1:17">
      <c r="B7" s="119">
        <f>Summary!G$6</f>
        <v>51.010136794931839</v>
      </c>
      <c r="C7">
        <v>-0.3</v>
      </c>
      <c r="E7">
        <f t="shared" si="0"/>
        <v>211964756.14400128</v>
      </c>
      <c r="F7">
        <f t="shared" si="1"/>
        <v>78050467.444822639</v>
      </c>
      <c r="H7" s="49">
        <f>Summary!$G$14</f>
        <v>27261.7292464411</v>
      </c>
      <c r="I7">
        <f>'2 years-0.5'!E4-B3</f>
        <v>216560815.78633103</v>
      </c>
      <c r="J7">
        <f t="shared" si="2"/>
        <v>0.125884865862986</v>
      </c>
      <c r="L7">
        <f t="shared" si="3"/>
        <v>3433486.2287592194</v>
      </c>
      <c r="M7">
        <f t="shared" si="4"/>
        <v>123605504.23533189</v>
      </c>
      <c r="O7" s="49">
        <f>Summary!$G$17</f>
        <v>1745.7038152573439</v>
      </c>
      <c r="Q7" s="120">
        <f t="shared" si="5"/>
        <v>7.0805541670372368E-2</v>
      </c>
    </row>
    <row r="8" spans="1:17">
      <c r="B8" s="119">
        <f>Summary!H$6</f>
        <v>46.169778718296698</v>
      </c>
      <c r="C8">
        <v>-0.3</v>
      </c>
      <c r="E8">
        <f t="shared" si="0"/>
        <v>211964756.14400128</v>
      </c>
      <c r="F8">
        <f t="shared" si="1"/>
        <v>74398179.299778298</v>
      </c>
      <c r="H8" s="49">
        <f>Summary!$H$14</f>
        <v>22443.6375727255</v>
      </c>
      <c r="I8">
        <f>'2 years-1'!E4-B3</f>
        <v>199542448.23672739</v>
      </c>
      <c r="J8">
        <f t="shared" si="2"/>
        <v>0.11247550469110948</v>
      </c>
      <c r="L8">
        <f t="shared" si="3"/>
        <v>1855799.6763850616</v>
      </c>
      <c r="M8">
        <f t="shared" si="4"/>
        <v>66808788.349862218</v>
      </c>
      <c r="O8" s="49">
        <f>Summary!$H$17</f>
        <v>2439.3433016056601</v>
      </c>
      <c r="Q8" s="120">
        <f t="shared" si="5"/>
        <v>2.738802213935462E-2</v>
      </c>
    </row>
    <row r="10" spans="1:17">
      <c r="F10" s="21">
        <f>(F5-$B$3)/$B$3</f>
        <v>0.14694307623159555</v>
      </c>
    </row>
    <row r="11" spans="1:17">
      <c r="F11" s="21">
        <f t="shared" ref="F11:F13" si="6">(F6-$B$3)/$B$3</f>
        <v>0.12649448306505431</v>
      </c>
    </row>
    <row r="12" spans="1:17">
      <c r="F12" s="21">
        <f t="shared" si="6"/>
        <v>0.10921536913985241</v>
      </c>
    </row>
    <row r="13" spans="1:17">
      <c r="F13" s="21">
        <f t="shared" si="6"/>
        <v>5.7310822304506133E-2</v>
      </c>
    </row>
    <row r="15" spans="1:17" ht="51">
      <c r="C15" s="155" t="s">
        <v>139</v>
      </c>
      <c r="D15" s="132" t="s">
        <v>126</v>
      </c>
      <c r="E15" s="131" t="s">
        <v>127</v>
      </c>
      <c r="F15" s="131" t="s">
        <v>128</v>
      </c>
      <c r="G15" s="154" t="s">
        <v>122</v>
      </c>
      <c r="H15" s="155"/>
    </row>
    <row r="16" spans="1:17">
      <c r="A16" s="50"/>
      <c r="B16" s="50"/>
      <c r="C16" s="156"/>
      <c r="D16" s="143" t="s">
        <v>125</v>
      </c>
      <c r="E16" s="133" t="s">
        <v>123</v>
      </c>
      <c r="F16" s="134" t="s">
        <v>124</v>
      </c>
      <c r="G16" s="136" t="s">
        <v>123</v>
      </c>
      <c r="H16" s="135" t="s">
        <v>34</v>
      </c>
    </row>
    <row r="17" spans="3:18">
      <c r="C17" s="129" t="s">
        <v>105</v>
      </c>
      <c r="D17" s="130">
        <f>B4</f>
        <v>39.477237367006772</v>
      </c>
      <c r="E17" s="129" t="s">
        <v>95</v>
      </c>
      <c r="F17" s="129" t="s">
        <v>95</v>
      </c>
      <c r="G17" s="137" t="s">
        <v>95</v>
      </c>
      <c r="H17" s="129" t="s">
        <v>95</v>
      </c>
    </row>
    <row r="18" spans="3:18">
      <c r="C18" s="39">
        <v>-0.1</v>
      </c>
      <c r="D18" s="127">
        <f t="shared" ref="D18:D21" si="7">B5</f>
        <v>53.958281527367298</v>
      </c>
      <c r="E18" s="122">
        <f>F10</f>
        <v>0.14694307623159555</v>
      </c>
      <c r="F18" s="53">
        <f>J5</f>
        <v>0.15213182702015327</v>
      </c>
      <c r="G18" s="138">
        <f>Q5</f>
        <v>0.25619528362866728</v>
      </c>
      <c r="H18" s="123">
        <f>G18*O5</f>
        <v>156.53428192288948</v>
      </c>
    </row>
    <row r="19" spans="3:18">
      <c r="C19" s="39">
        <v>-0.3</v>
      </c>
      <c r="D19" s="127">
        <f t="shared" si="7"/>
        <v>52.413521148302792</v>
      </c>
      <c r="E19" s="122">
        <f>F11</f>
        <v>0.12649448306505431</v>
      </c>
      <c r="F19" s="53">
        <f t="shared" ref="F19:F21" si="8">J6</f>
        <v>0.1373654397611182</v>
      </c>
      <c r="G19" s="138">
        <f t="shared" ref="G19:G21" si="9">Q6</f>
        <v>0.11090112009114886</v>
      </c>
      <c r="H19" s="123">
        <f t="shared" ref="H19:H21" si="10">G19*O6</f>
        <v>139.48257633225589</v>
      </c>
    </row>
    <row r="20" spans="3:18">
      <c r="C20" s="39">
        <v>-0.5</v>
      </c>
      <c r="D20" s="127">
        <f t="shared" si="7"/>
        <v>51.010136794931839</v>
      </c>
      <c r="E20" s="122">
        <f>F12</f>
        <v>0.10921536913985241</v>
      </c>
      <c r="F20" s="53">
        <f t="shared" si="8"/>
        <v>0.125884865862986</v>
      </c>
      <c r="G20" s="138">
        <f t="shared" si="9"/>
        <v>7.0805541670372368E-2</v>
      </c>
      <c r="H20" s="123">
        <f t="shared" si="10"/>
        <v>123.60550423533189</v>
      </c>
    </row>
    <row r="21" spans="3:18">
      <c r="C21" s="35">
        <v>-1</v>
      </c>
      <c r="D21" s="128">
        <f t="shared" si="7"/>
        <v>46.169778718296698</v>
      </c>
      <c r="E21" s="125">
        <f>F13</f>
        <v>5.7310822304506133E-2</v>
      </c>
      <c r="F21" s="124">
        <f t="shared" si="8"/>
        <v>0.11247550469110948</v>
      </c>
      <c r="G21" s="139">
        <f t="shared" si="9"/>
        <v>2.738802213935462E-2</v>
      </c>
      <c r="H21" s="126">
        <f t="shared" si="10"/>
        <v>66.808788349862212</v>
      </c>
    </row>
    <row r="22" spans="3:18">
      <c r="E22" s="121"/>
    </row>
    <row r="23" spans="3:18">
      <c r="E23" s="141" t="s">
        <v>121</v>
      </c>
      <c r="F23" s="142">
        <f>J4</f>
        <v>0.57266301219512206</v>
      </c>
      <c r="G23" s="140" t="str">
        <f>F16</f>
        <v>[CO2 ton/MWh]</v>
      </c>
    </row>
    <row r="24" spans="3:18">
      <c r="E24" s="141"/>
      <c r="F24" s="142"/>
      <c r="G24" s="140"/>
      <c r="L24" t="s">
        <v>24</v>
      </c>
      <c r="O24" t="s">
        <v>129</v>
      </c>
    </row>
    <row r="25" spans="3:18">
      <c r="D25" t="s">
        <v>132</v>
      </c>
      <c r="E25" s="141"/>
      <c r="F25" s="142" t="s">
        <v>133</v>
      </c>
      <c r="G25" s="140"/>
      <c r="J25" t="s">
        <v>137</v>
      </c>
      <c r="K25" t="s">
        <v>136</v>
      </c>
      <c r="L25" t="s">
        <v>138</v>
      </c>
      <c r="M25" t="s">
        <v>132</v>
      </c>
      <c r="N25" t="s">
        <v>136</v>
      </c>
      <c r="O25" t="s">
        <v>138</v>
      </c>
      <c r="P25" t="s">
        <v>132</v>
      </c>
    </row>
    <row r="26" spans="3:18">
      <c r="C26" s="33" t="s">
        <v>24</v>
      </c>
      <c r="D26">
        <v>1624</v>
      </c>
      <c r="E26" t="s">
        <v>130</v>
      </c>
      <c r="F26" s="113">
        <v>0.35</v>
      </c>
      <c r="G26" t="s">
        <v>134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472674.54617973755</v>
      </c>
      <c r="M26" s="49">
        <f>((((((K26-1)*1.1)+2)/2)*(K26-1))+1)*$J$26</f>
        <v>4640000</v>
      </c>
      <c r="N26">
        <v>1</v>
      </c>
      <c r="O26" s="49">
        <f>$N$26*(24*365)*$D32</f>
        <v>472674.54617973755</v>
      </c>
      <c r="P26" s="49">
        <f>((((((N26-1)*1.1)+2)/2)*(N26-1))+1)*$J$27</f>
        <v>7132000</v>
      </c>
      <c r="R26">
        <f>(L26-M26)+(O26-P26)</f>
        <v>-10826650.907640524</v>
      </c>
    </row>
    <row r="27" spans="3:18">
      <c r="C27" s="33" t="s">
        <v>131</v>
      </c>
      <c r="D27">
        <v>1783</v>
      </c>
      <c r="E27" t="s">
        <v>130</v>
      </c>
      <c r="F27" s="113">
        <v>0.25</v>
      </c>
      <c r="G27" t="s">
        <v>135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459142.44525913248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459142.44525913248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446848.79832360288</v>
      </c>
      <c r="M28" s="49">
        <f t="shared" si="11"/>
        <v>4640000</v>
      </c>
      <c r="N28">
        <v>1</v>
      </c>
      <c r="O28" s="49">
        <f>$N$28*(24*365)*$D34</f>
        <v>446848.79832360288</v>
      </c>
      <c r="P28" s="49">
        <f t="shared" si="12"/>
        <v>7132000</v>
      </c>
    </row>
    <row r="29" spans="3:18" ht="34">
      <c r="C29" s="157" t="s">
        <v>120</v>
      </c>
      <c r="D29" s="132" t="s">
        <v>126</v>
      </c>
      <c r="K29">
        <v>1</v>
      </c>
      <c r="L29" s="49">
        <f>$K$29*(24*365)*$D35</f>
        <v>404447.26157227909</v>
      </c>
      <c r="M29" s="49">
        <f t="shared" si="11"/>
        <v>4640000</v>
      </c>
      <c r="N29">
        <v>1</v>
      </c>
      <c r="O29" s="49">
        <f>$N$29*(24*365)*$D35</f>
        <v>404447.26157227909</v>
      </c>
      <c r="P29" s="49">
        <f t="shared" si="12"/>
        <v>7132000</v>
      </c>
    </row>
    <row r="30" spans="3:18">
      <c r="C30" s="158"/>
      <c r="D30" s="143" t="s">
        <v>125</v>
      </c>
    </row>
    <row r="31" spans="3:18">
      <c r="C31" s="129" t="s">
        <v>105</v>
      </c>
      <c r="D31" s="130">
        <f>D17</f>
        <v>39.477237367006772</v>
      </c>
    </row>
    <row r="32" spans="3:18">
      <c r="C32" s="39">
        <v>-0.1</v>
      </c>
      <c r="D32" s="127">
        <f>D18</f>
        <v>53.958281527367298</v>
      </c>
    </row>
    <row r="33" spans="3:4">
      <c r="C33" s="39">
        <v>-0.3</v>
      </c>
      <c r="D33" s="127">
        <f>D19</f>
        <v>52.413521148302792</v>
      </c>
    </row>
    <row r="34" spans="3:4">
      <c r="C34" s="39">
        <v>-0.5</v>
      </c>
      <c r="D34" s="127">
        <f t="shared" ref="D34:D35" si="13">D20</f>
        <v>51.010136794931839</v>
      </c>
    </row>
    <row r="35" spans="3:4">
      <c r="C35" s="35">
        <v>-1</v>
      </c>
      <c r="D35" s="127">
        <f t="shared" si="13"/>
        <v>46.169778718296698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dimension ref="A3:P47"/>
  <sheetViews>
    <sheetView showGridLines="0" topLeftCell="A20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3966.3914371952415</v>
      </c>
      <c r="E4">
        <f>C5+C9+C13+C17+C24</f>
        <v>309622733.87193334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52490961.826840103</v>
      </c>
      <c r="M5">
        <v>52490961.826840103</v>
      </c>
    </row>
    <row r="6" spans="1:13">
      <c r="A6" t="s">
        <v>3</v>
      </c>
      <c r="C6">
        <v>2770881752.8281999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2770881752.8281999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406525598.121687</v>
      </c>
      <c r="M10">
        <v>406525598.121687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4345651693.9685802</v>
      </c>
      <c r="M14">
        <v>4345651693.9685802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M16">
        <v>634840178.06518304</v>
      </c>
    </row>
    <row r="17" spans="1:16">
      <c r="A17" t="s">
        <v>14</v>
      </c>
      <c r="C17">
        <v>96729973.084366202</v>
      </c>
      <c r="M17">
        <v>96729973.084366202</v>
      </c>
    </row>
    <row r="18" spans="1:16">
      <c r="A18" t="s">
        <v>15</v>
      </c>
      <c r="C18">
        <v>781030793.82804501</v>
      </c>
      <c r="G18" s="1">
        <f>G19*1000000</f>
        <v>702466729.35444081</v>
      </c>
      <c r="M18">
        <v>781030793.82804501</v>
      </c>
    </row>
    <row r="19" spans="1:16">
      <c r="A19" t="s">
        <v>16</v>
      </c>
      <c r="C19">
        <v>39764703.681774803</v>
      </c>
      <c r="G19" s="24">
        <f>G20-F20</f>
        <v>702.46672935444076</v>
      </c>
      <c r="M19">
        <v>39764703.681774803</v>
      </c>
    </row>
    <row r="20" spans="1:16">
      <c r="A20" t="s">
        <v>17</v>
      </c>
      <c r="C20">
        <v>36398643.7666848</v>
      </c>
      <c r="F20" s="24">
        <f>F37-F30</f>
        <v>6389.8028978332986</v>
      </c>
      <c r="G20" s="24">
        <f>G37-G30-G39</f>
        <v>7092.2696271877394</v>
      </c>
      <c r="M20">
        <v>36398643.7666848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16706710641.534901</v>
      </c>
      <c r="G22" s="67">
        <f>G28-F28</f>
        <v>14.481044160360526</v>
      </c>
      <c r="M22">
        <v>16706710641.534901</v>
      </c>
    </row>
    <row r="23" spans="1:16">
      <c r="A23" t="s">
        <v>20</v>
      </c>
      <c r="C23">
        <v>1310351175.6006501</v>
      </c>
      <c r="M23">
        <v>1310351175.6006501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90"/>
      <c r="I26" s="90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90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53.958281527367298</v>
      </c>
      <c r="H28" s="91" t="s">
        <v>33</v>
      </c>
      <c r="I28" s="91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91"/>
      <c r="I29" s="91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8304.0898387465113</v>
      </c>
      <c r="H30" s="91"/>
      <c r="I30" s="91"/>
      <c r="J30" s="14">
        <f>(G30-F30)*1000000/E3</f>
        <v>6.805003460565211</v>
      </c>
      <c r="M30" t="s">
        <v>27</v>
      </c>
      <c r="N30" s="49">
        <f>F37-G37</f>
        <v>-4173.3008274248004</v>
      </c>
    </row>
    <row r="31" spans="1:16">
      <c r="E31" s="15" t="s">
        <v>24</v>
      </c>
      <c r="F31" s="45">
        <f>C8/C28</f>
        <v>297.67873411507901</v>
      </c>
      <c r="G31" s="46">
        <f>C10/C28</f>
        <v>406.52559812168698</v>
      </c>
      <c r="H31" s="160" t="s">
        <v>34</v>
      </c>
      <c r="I31" s="91"/>
      <c r="J31" s="16">
        <f>(G31-F31)*1000000/C7</f>
        <v>14.131976548513762</v>
      </c>
      <c r="M31" t="s">
        <v>22</v>
      </c>
      <c r="N31" s="49">
        <f>G30-F30</f>
        <v>2160.4829224697096</v>
      </c>
      <c r="P31">
        <f>G31/F31</f>
        <v>1.3656521327604447</v>
      </c>
    </row>
    <row r="32" spans="1:16">
      <c r="E32" s="15" t="s">
        <v>25</v>
      </c>
      <c r="F32" s="45">
        <f>C12/C28</f>
        <v>3182.10735349166</v>
      </c>
      <c r="G32" s="46">
        <f>C14/C28</f>
        <v>4345.6516939685798</v>
      </c>
      <c r="H32" s="160"/>
      <c r="I32" s="91"/>
      <c r="J32" s="16">
        <f>(G32-F32)*1000000/C11</f>
        <v>14.131976548513764</v>
      </c>
      <c r="M32" t="s">
        <v>29</v>
      </c>
      <c r="N32" s="49">
        <f>G39</f>
        <v>1310.3511756006501</v>
      </c>
      <c r="P32">
        <f>G32/F32</f>
        <v>1.3656521327604447</v>
      </c>
    </row>
    <row r="33" spans="5:16">
      <c r="E33" s="15" t="s">
        <v>23</v>
      </c>
      <c r="F33" s="45">
        <f>C4/C28</f>
        <v>2028.9806506048801</v>
      </c>
      <c r="G33" s="46">
        <f>C6/C28</f>
        <v>2770.8817528281998</v>
      </c>
      <c r="H33" s="160"/>
      <c r="I33" s="91"/>
      <c r="J33" s="16">
        <f>(G33-F33)*1000000/C3</f>
        <v>14.132814871913855</v>
      </c>
      <c r="M33" t="s">
        <v>60</v>
      </c>
      <c r="N33" s="49">
        <f>G40</f>
        <v>1192.284527160205</v>
      </c>
      <c r="P33">
        <f>G33/F33</f>
        <v>1.3656521327604303</v>
      </c>
    </row>
    <row r="34" spans="5:16">
      <c r="E34" s="15" t="s">
        <v>26</v>
      </c>
      <c r="F34" s="45">
        <f>C16/C28</f>
        <v>634.84017806518307</v>
      </c>
      <c r="G34" s="46">
        <f>C18/C28</f>
        <v>781.03079382804503</v>
      </c>
      <c r="H34" s="160"/>
      <c r="I34" s="91"/>
      <c r="J34" s="27">
        <f>(G34-F34)*1000000/C15</f>
        <v>1.397779612615293</v>
      </c>
      <c r="N34" s="49"/>
      <c r="P34">
        <f>G34/F34</f>
        <v>1.2302794007279287</v>
      </c>
    </row>
    <row r="35" spans="5:16" ht="10" customHeight="1">
      <c r="E35" s="4"/>
      <c r="F35" s="47"/>
      <c r="G35" s="47"/>
      <c r="H35" s="91"/>
      <c r="I35" s="91"/>
      <c r="J35" s="13"/>
      <c r="M35" t="s">
        <v>35</v>
      </c>
      <c r="N35" s="49">
        <f>F43-G43</f>
        <v>121.17815694323986</v>
      </c>
    </row>
    <row r="36" spans="5:16" ht="10" customHeight="1">
      <c r="E36" s="4"/>
      <c r="F36" s="47"/>
      <c r="G36" s="47"/>
      <c r="H36" s="91"/>
      <c r="I36" s="91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16706.710641534901</v>
      </c>
      <c r="H37" s="3" t="s">
        <v>34</v>
      </c>
      <c r="I37" s="3"/>
      <c r="J37" s="13"/>
      <c r="M37" t="s">
        <v>88</v>
      </c>
      <c r="N37" s="49">
        <f>SUM(N30:N35)</f>
        <v>610.99595474900411</v>
      </c>
    </row>
    <row r="38" spans="5:16" ht="10" customHeight="1">
      <c r="E38" s="4"/>
      <c r="F38" s="47"/>
      <c r="G38" s="47"/>
      <c r="H38" s="91"/>
      <c r="I38" s="91"/>
      <c r="J38" s="13"/>
    </row>
    <row r="39" spans="5:16">
      <c r="E39" s="4" t="s">
        <v>29</v>
      </c>
      <c r="F39" s="47"/>
      <c r="G39" s="48">
        <f>C23/C28</f>
        <v>1310.3511756006501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1192.284527160205</v>
      </c>
      <c r="H40" s="3"/>
      <c r="I40" s="3"/>
      <c r="J40" s="13"/>
      <c r="N40" s="21">
        <f>N37/G37</f>
        <v>3.6571888258481858E-2</v>
      </c>
    </row>
    <row r="41" spans="5:16" ht="10" customHeight="1">
      <c r="E41" s="4"/>
      <c r="F41" s="47"/>
      <c r="G41" s="47"/>
      <c r="H41" s="91"/>
      <c r="I41" s="91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36398.6437666848</v>
      </c>
      <c r="H42" s="91" t="s">
        <v>37</v>
      </c>
      <c r="I42" s="91"/>
      <c r="N42" s="21">
        <f>(G37-F37)/F37</f>
        <v>0.3329740979766338</v>
      </c>
    </row>
    <row r="43" spans="5:16">
      <c r="E43" s="9" t="s">
        <v>36</v>
      </c>
      <c r="F43" s="43">
        <f>F42*36/C29</f>
        <v>1431.5293325438927</v>
      </c>
      <c r="G43" s="44">
        <f>G42*36/C29</f>
        <v>1310.3511756006528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154.81136693596667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dimension ref="A3:P47"/>
  <sheetViews>
    <sheetView showGridLines="0" topLeftCell="A16" workbookViewId="0">
      <selection activeCell="J30" sqref="J30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3966.3914371952415</v>
      </c>
      <c r="E4">
        <f>C5+C9+C13+C17+C24</f>
        <v>309622733.87193334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52490961.826840103</v>
      </c>
      <c r="M5">
        <v>52490961.826840103</v>
      </c>
    </row>
    <row r="6" spans="1:13">
      <c r="A6" t="s">
        <v>3</v>
      </c>
      <c r="C6">
        <v>2770881752.8281999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2770881752.8281999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406525598.121687</v>
      </c>
      <c r="M10">
        <v>406525598.121687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4345651693.9685802</v>
      </c>
      <c r="M14">
        <v>4345651693.9685802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M16">
        <v>634840178.06518304</v>
      </c>
    </row>
    <row r="17" spans="1:16">
      <c r="A17" t="s">
        <v>14</v>
      </c>
      <c r="C17">
        <v>96729973.084366202</v>
      </c>
      <c r="M17">
        <v>96729973.084366202</v>
      </c>
    </row>
    <row r="18" spans="1:16">
      <c r="A18" t="s">
        <v>15</v>
      </c>
      <c r="C18">
        <v>781030793.82804501</v>
      </c>
      <c r="G18" s="1">
        <f>G19*1000000</f>
        <v>702466729.35444081</v>
      </c>
      <c r="M18">
        <v>781030793.82804501</v>
      </c>
    </row>
    <row r="19" spans="1:16">
      <c r="A19" t="s">
        <v>16</v>
      </c>
      <c r="C19">
        <v>39764703.681774803</v>
      </c>
      <c r="G19" s="24">
        <f>G20-F20</f>
        <v>702.46672935444076</v>
      </c>
      <c r="M19">
        <v>39764703.681774803</v>
      </c>
    </row>
    <row r="20" spans="1:16">
      <c r="A20" t="s">
        <v>17</v>
      </c>
      <c r="C20">
        <v>36398643.7666848</v>
      </c>
      <c r="F20" s="24">
        <f>F37-F30</f>
        <v>6389.8028978332986</v>
      </c>
      <c r="G20" s="24">
        <f>G37-G30-G39</f>
        <v>7092.2696271877394</v>
      </c>
      <c r="M20">
        <v>36398643.7666848</v>
      </c>
    </row>
    <row r="21" spans="1:16">
      <c r="A21" t="s">
        <v>18</v>
      </c>
      <c r="C21">
        <v>12533409814.1101</v>
      </c>
      <c r="D21">
        <v>12533409814.1101</v>
      </c>
      <c r="M21">
        <v>12533409814.1101</v>
      </c>
    </row>
    <row r="22" spans="1:16">
      <c r="A22" t="s">
        <v>19</v>
      </c>
      <c r="C22">
        <v>16706710641.534901</v>
      </c>
      <c r="D22">
        <v>15710349551.438299</v>
      </c>
      <c r="E22">
        <v>16706710641.534901</v>
      </c>
      <c r="G22" s="67">
        <f>G28-F28</f>
        <v>14.481044160360526</v>
      </c>
      <c r="M22">
        <v>16706710641.534901</v>
      </c>
    </row>
    <row r="23" spans="1:16">
      <c r="A23" t="s">
        <v>20</v>
      </c>
      <c r="C23">
        <v>1310351175.6006501</v>
      </c>
      <c r="M23">
        <v>1310351175.6006501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53.958281527367298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8304.0898387465113</v>
      </c>
      <c r="H30" s="18"/>
      <c r="I30" s="18"/>
      <c r="J30" s="14">
        <f>(G30-F30)*1000000/E3</f>
        <v>6.805003460565211</v>
      </c>
      <c r="M30" t="s">
        <v>27</v>
      </c>
      <c r="N30" s="49">
        <f>F37-G37</f>
        <v>-4173.3008274248004</v>
      </c>
    </row>
    <row r="31" spans="1:16">
      <c r="E31" s="15" t="s">
        <v>24</v>
      </c>
      <c r="F31" s="45">
        <f>C8/C28</f>
        <v>297.67873411507901</v>
      </c>
      <c r="G31" s="46">
        <f>C10/C28</f>
        <v>406.52559812168698</v>
      </c>
      <c r="H31" s="160" t="s">
        <v>34</v>
      </c>
      <c r="I31" s="18"/>
      <c r="J31" s="16">
        <f>(G31-F31)*1000000/C7</f>
        <v>14.131976548513762</v>
      </c>
      <c r="M31" t="s">
        <v>22</v>
      </c>
      <c r="N31" s="49">
        <f>G30-F30</f>
        <v>2160.4829224697096</v>
      </c>
      <c r="P31">
        <f>G31/F31</f>
        <v>1.3656521327604447</v>
      </c>
    </row>
    <row r="32" spans="1:16">
      <c r="E32" s="15" t="s">
        <v>25</v>
      </c>
      <c r="F32" s="45">
        <f>C12/C28</f>
        <v>3182.10735349166</v>
      </c>
      <c r="G32" s="46">
        <f>C14/C28</f>
        <v>4345.6516939685798</v>
      </c>
      <c r="H32" s="160"/>
      <c r="I32" s="18"/>
      <c r="J32" s="16">
        <f>(G32-F32)*1000000/C11</f>
        <v>14.131976548513764</v>
      </c>
      <c r="M32" t="s">
        <v>29</v>
      </c>
      <c r="N32" s="49">
        <f>G39</f>
        <v>1310.3511756006501</v>
      </c>
      <c r="P32">
        <f>G32/F32</f>
        <v>1.3656521327604447</v>
      </c>
    </row>
    <row r="33" spans="5:16">
      <c r="E33" s="15" t="s">
        <v>23</v>
      </c>
      <c r="F33" s="45">
        <f>C4/C28</f>
        <v>2028.9806506048801</v>
      </c>
      <c r="G33" s="46">
        <f>C6/C28</f>
        <v>2770.8817528281998</v>
      </c>
      <c r="H33" s="160"/>
      <c r="I33" s="18"/>
      <c r="J33" s="16">
        <f>(G33-F33)*1000000/C3</f>
        <v>14.132814871913855</v>
      </c>
      <c r="M33" t="str">
        <f>E40</f>
        <v>ZECs Savings</v>
      </c>
      <c r="N33" s="49">
        <f>G40</f>
        <v>1192.284527160205</v>
      </c>
      <c r="P33">
        <f>G33/F33</f>
        <v>1.3656521327604303</v>
      </c>
    </row>
    <row r="34" spans="5:16">
      <c r="E34" s="15" t="s">
        <v>26</v>
      </c>
      <c r="F34" s="45">
        <f>C16/C28</f>
        <v>634.84017806518307</v>
      </c>
      <c r="G34" s="46">
        <f>C18/C28</f>
        <v>781.03079382804503</v>
      </c>
      <c r="H34" s="160"/>
      <c r="I34" s="18"/>
      <c r="J34" s="27">
        <f>(G34-F34)*1000000/C15</f>
        <v>1.397779612615293</v>
      </c>
      <c r="N34" s="49"/>
      <c r="P34">
        <f>G34/F34</f>
        <v>1.2302794007279287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121.17815694323986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16706.710641534901</v>
      </c>
      <c r="H37" s="3" t="s">
        <v>34</v>
      </c>
      <c r="I37" s="3"/>
      <c r="J37" s="13"/>
      <c r="M37" t="s">
        <v>88</v>
      </c>
      <c r="N37" s="49">
        <f>SUM(N30:N35)</f>
        <v>610.99595474900411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1310.3511756006501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1192.284527160205</v>
      </c>
      <c r="H40" s="3"/>
      <c r="I40" s="3"/>
      <c r="J40" s="13"/>
      <c r="N40" s="21">
        <f>N37/G37</f>
        <v>3.6571888258481858E-2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36398.6437666848</v>
      </c>
      <c r="H42" s="18" t="s">
        <v>37</v>
      </c>
      <c r="I42" s="18"/>
      <c r="N42" s="21">
        <f>(G37-F37)/F37</f>
        <v>0.3329740979766338</v>
      </c>
    </row>
    <row r="43" spans="5:16">
      <c r="E43" s="9" t="s">
        <v>36</v>
      </c>
      <c r="F43" s="43">
        <f>F42*36/C29</f>
        <v>1431.5293325438927</v>
      </c>
      <c r="G43" s="44">
        <f>G42*36/C29</f>
        <v>1310.3511756006528</v>
      </c>
      <c r="H43" s="3" t="s">
        <v>34</v>
      </c>
      <c r="I43" s="3"/>
      <c r="N43" s="21">
        <f>(G42-F42)/F42</f>
        <v>-8.4649440419010458E-2</v>
      </c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154.81136693596667</v>
      </c>
      <c r="H45" s="3" t="s">
        <v>92</v>
      </c>
      <c r="I45" s="2"/>
      <c r="J45" s="17"/>
      <c r="N45" s="111">
        <f>(G28-F28)/F28</f>
        <v>0.36682010004233745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dimension ref="A3:P50"/>
  <sheetViews>
    <sheetView showGridLines="0" topLeftCell="A32" workbookViewId="0">
      <selection activeCell="B38" sqref="B38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57721.467162594199</v>
      </c>
      <c r="E4">
        <f>C5+C9+C13+C17+C24</f>
        <v>296808971.74665868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52437206.751114704</v>
      </c>
      <c r="M5">
        <v>52437206.751114704</v>
      </c>
    </row>
    <row r="6" spans="1:13">
      <c r="A6" t="s">
        <v>3</v>
      </c>
      <c r="C6">
        <v>2684501986.4249802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2684501986.4249802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E8">
        <f>E3</f>
        <v>317484470.79999924</v>
      </c>
      <c r="M8">
        <v>297678734.11507899</v>
      </c>
    </row>
    <row r="9" spans="1:13">
      <c r="A9" t="s">
        <v>6</v>
      </c>
      <c r="C9">
        <v>7702168.4569703899</v>
      </c>
      <c r="E9">
        <f>E8-C15</f>
        <v>212896727.17900425</v>
      </c>
      <c r="M9">
        <v>7702168.4569703899</v>
      </c>
    </row>
    <row r="10" spans="1:13">
      <c r="A10" t="s">
        <v>7</v>
      </c>
      <c r="C10">
        <v>393852525.31133801</v>
      </c>
      <c r="E10">
        <f>1-(E9/E8)</f>
        <v>0.32942632865618326</v>
      </c>
      <c r="M10">
        <v>393852525.31133801</v>
      </c>
    </row>
    <row r="11" spans="1:13">
      <c r="A11" t="s">
        <v>8</v>
      </c>
      <c r="C11">
        <v>82334154.495839998</v>
      </c>
      <c r="E11" s="20">
        <f>C24/E8</f>
        <v>0.22163438681145337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4210179879.6952801</v>
      </c>
      <c r="M14">
        <v>4210179879.6952801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20617777.586178005</v>
      </c>
      <c r="M16">
        <v>634840178.06518304</v>
      </c>
    </row>
    <row r="17" spans="1:16">
      <c r="A17" t="s">
        <v>14</v>
      </c>
      <c r="C17">
        <v>83969966.034816995</v>
      </c>
      <c r="M17">
        <v>83969966.034816995</v>
      </c>
    </row>
    <row r="18" spans="1:16">
      <c r="A18" t="s">
        <v>15</v>
      </c>
      <c r="C18">
        <v>639558884.86393094</v>
      </c>
      <c r="G18" s="1">
        <f>G19*1000000</f>
        <v>119108770.08558145</v>
      </c>
      <c r="M18">
        <v>639558884.86393094</v>
      </c>
    </row>
    <row r="19" spans="1:16">
      <c r="A19" t="s">
        <v>16</v>
      </c>
      <c r="C19">
        <v>39764703.681774803</v>
      </c>
      <c r="G19" s="24">
        <f>G20-F20</f>
        <v>119.10877008558145</v>
      </c>
      <c r="M19">
        <v>39764703.681774803</v>
      </c>
    </row>
    <row r="20" spans="1:16">
      <c r="A20" t="s">
        <v>17</v>
      </c>
      <c r="C20">
        <v>31105510.373197202</v>
      </c>
      <c r="F20" s="24">
        <f>F37-F30</f>
        <v>6389.8028978332986</v>
      </c>
      <c r="G20" s="24">
        <f>G37-G30-G39</f>
        <v>6508.9116679188801</v>
      </c>
      <c r="M20">
        <v>31105510.373197202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15556803317.6495</v>
      </c>
      <c r="G22" s="67">
        <f>G28-F28</f>
        <v>12.936283781296019</v>
      </c>
      <c r="M22">
        <v>15556803317.6495</v>
      </c>
    </row>
    <row r="23" spans="1:16">
      <c r="A23" t="s">
        <v>20</v>
      </c>
      <c r="C23">
        <v>1119798373.4350901</v>
      </c>
      <c r="M23">
        <v>1119798373.4350901</v>
      </c>
    </row>
    <row r="24" spans="1:16">
      <c r="A24" t="s">
        <v>90</v>
      </c>
      <c r="C24">
        <f>M24</f>
        <v>70365476.0079166</v>
      </c>
      <c r="M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8"/>
      <c r="I26" s="8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8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52.413521148302792</v>
      </c>
      <c r="H28" s="12" t="s">
        <v>33</v>
      </c>
      <c r="I28" s="12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7928.093276295529</v>
      </c>
      <c r="H30" s="12"/>
      <c r="I30" s="12"/>
      <c r="J30" s="10">
        <f>(G30-F30)*1000000/E3</f>
        <v>5.6207043938941901</v>
      </c>
      <c r="M30" t="s">
        <v>27</v>
      </c>
      <c r="N30" s="49">
        <f>F37-G37</f>
        <v>-3023.3935035393988</v>
      </c>
    </row>
    <row r="31" spans="1:16">
      <c r="E31" s="15" t="s">
        <v>24</v>
      </c>
      <c r="F31" s="45">
        <f>C8/C28</f>
        <v>297.67873411507901</v>
      </c>
      <c r="G31" s="46">
        <f>C10/C28</f>
        <v>393.85252531133801</v>
      </c>
      <c r="H31" s="160" t="s">
        <v>34</v>
      </c>
      <c r="I31" s="12"/>
      <c r="J31" s="98">
        <f>(G31-F31)*1000000/C7</f>
        <v>12.486586307940673</v>
      </c>
      <c r="M31" t="s">
        <v>22</v>
      </c>
      <c r="N31" s="49">
        <f>G30-F30</f>
        <v>1784.4863600187273</v>
      </c>
      <c r="P31">
        <f>G31/F31</f>
        <v>1.3230791459865567</v>
      </c>
    </row>
    <row r="32" spans="1:16">
      <c r="E32" s="15" t="s">
        <v>25</v>
      </c>
      <c r="F32" s="45">
        <f>C12/C28</f>
        <v>3182.10735349166</v>
      </c>
      <c r="G32" s="46">
        <f>C14/C28</f>
        <v>4210.1798796952799</v>
      </c>
      <c r="H32" s="160"/>
      <c r="I32" s="12"/>
      <c r="J32" s="98">
        <f>(G32-F32)*1000000/C11</f>
        <v>12.486586307940577</v>
      </c>
      <c r="M32" t="s">
        <v>29</v>
      </c>
      <c r="N32" s="49">
        <f>G39</f>
        <v>1119.7983734350901</v>
      </c>
      <c r="P32">
        <f>G32/F32</f>
        <v>1.3230791459865543</v>
      </c>
    </row>
    <row r="33" spans="3:16">
      <c r="E33" s="15" t="s">
        <v>23</v>
      </c>
      <c r="F33" s="45">
        <f>C4/C28</f>
        <v>2028.9806506048801</v>
      </c>
      <c r="G33" s="46">
        <f>C6/C28</f>
        <v>2684.5019864249803</v>
      </c>
      <c r="H33" s="160"/>
      <c r="I33" s="12"/>
      <c r="J33" s="98">
        <f>(G33-F33)*1000000/C3</f>
        <v>12.487327025087074</v>
      </c>
      <c r="M33" t="s">
        <v>94</v>
      </c>
      <c r="N33" s="49">
        <f>G40</f>
        <v>1065.0979874512557</v>
      </c>
      <c r="P33">
        <f>G33/F33</f>
        <v>1.3230791459862745</v>
      </c>
    </row>
    <row r="34" spans="3:16">
      <c r="E34" s="15" t="s">
        <v>26</v>
      </c>
      <c r="F34" s="45">
        <f>C16/C28</f>
        <v>634.84017806518307</v>
      </c>
      <c r="G34" s="46">
        <f>C18/C28</f>
        <v>639.55888486393098</v>
      </c>
      <c r="H34" s="160"/>
      <c r="I34" s="12"/>
      <c r="J34" s="97">
        <f>(G34-F34)*1000000/C15</f>
        <v>4.5117206236397672E-2</v>
      </c>
      <c r="N34" s="49"/>
      <c r="P34">
        <f>G34/F34</f>
        <v>1.007432905102398</v>
      </c>
    </row>
    <row r="35" spans="3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311.73095910879351</v>
      </c>
    </row>
    <row r="36" spans="3:16" ht="10" customHeight="1">
      <c r="E36" s="4"/>
      <c r="F36" s="47"/>
      <c r="G36" s="47"/>
      <c r="H36" s="12"/>
      <c r="I36" s="12"/>
      <c r="J36" s="13"/>
      <c r="N36" s="49"/>
    </row>
    <row r="37" spans="3:16">
      <c r="E37" s="9" t="s">
        <v>28</v>
      </c>
      <c r="F37" s="43">
        <f>C21/C28</f>
        <v>12533.4098141101</v>
      </c>
      <c r="G37" s="44">
        <f>C22/C28</f>
        <v>15556.803317649499</v>
      </c>
      <c r="H37" s="3" t="s">
        <v>34</v>
      </c>
      <c r="I37" s="3"/>
      <c r="M37" t="s">
        <v>88</v>
      </c>
      <c r="N37" s="49">
        <f>SUM(N30:N35)</f>
        <v>1257.7201764744677</v>
      </c>
    </row>
    <row r="38" spans="3:16" ht="10" customHeight="1">
      <c r="E38" s="4"/>
      <c r="F38" s="47"/>
      <c r="G38" s="47"/>
      <c r="H38" s="12"/>
      <c r="I38" s="12"/>
    </row>
    <row r="39" spans="3:16">
      <c r="E39" s="4" t="s">
        <v>29</v>
      </c>
      <c r="F39" s="47"/>
      <c r="G39" s="48">
        <f>C23/C28</f>
        <v>1119.7983734350901</v>
      </c>
      <c r="H39" s="3" t="s">
        <v>34</v>
      </c>
      <c r="I39" s="3"/>
    </row>
    <row r="40" spans="3:16">
      <c r="E40" s="9" t="s">
        <v>93</v>
      </c>
      <c r="F40" s="43"/>
      <c r="G40" s="44">
        <f>MIN(17.5394,G28-F28)*C11/C28</f>
        <v>1065.0979874512557</v>
      </c>
      <c r="H40" s="3"/>
      <c r="I40" s="3"/>
      <c r="N40" s="21">
        <f>N37/G37</f>
        <v>8.0846954916988595E-2</v>
      </c>
    </row>
    <row r="41" spans="3:16" ht="10" customHeight="1">
      <c r="E41" s="4"/>
      <c r="F41" s="47"/>
      <c r="G41" s="47"/>
      <c r="H41" s="12"/>
      <c r="I41" s="12"/>
    </row>
    <row r="42" spans="3:16">
      <c r="E42" s="4" t="s">
        <v>30</v>
      </c>
      <c r="F42" s="47">
        <f>C19/C29</f>
        <v>39764.703681774801</v>
      </c>
      <c r="G42" s="48">
        <f>C20/C29</f>
        <v>31105.510373197201</v>
      </c>
      <c r="H42" s="12" t="s">
        <v>37</v>
      </c>
      <c r="I42" s="12"/>
      <c r="N42" s="21">
        <f>(G37-F37)/F37</f>
        <v>0.24122673305836256</v>
      </c>
    </row>
    <row r="43" spans="3:16">
      <c r="C43">
        <f>(C20)*36/(1000000)</f>
        <v>1119.7983734350994</v>
      </c>
      <c r="E43" s="9" t="s">
        <v>36</v>
      </c>
      <c r="F43" s="43">
        <f>F42*36/C29</f>
        <v>1431.5293325438927</v>
      </c>
      <c r="G43" s="44">
        <f>G42*36/C29</f>
        <v>1119.7983734350992</v>
      </c>
      <c r="H43" s="3" t="s">
        <v>34</v>
      </c>
      <c r="I43" s="3"/>
    </row>
    <row r="44" spans="3:16" ht="10" customHeight="1">
      <c r="H44" s="2"/>
      <c r="I44" s="2"/>
    </row>
    <row r="45" spans="3:16">
      <c r="E45" s="9" t="s">
        <v>91</v>
      </c>
      <c r="F45" s="43">
        <f>E3/(2*C28)</f>
        <v>158.74223539999963</v>
      </c>
      <c r="G45" s="44">
        <f>E4/(2*C28)</f>
        <v>148.40448587332935</v>
      </c>
      <c r="H45" s="3" t="s">
        <v>92</v>
      </c>
      <c r="I45" s="2"/>
      <c r="J45" s="17"/>
      <c r="N45" s="111">
        <f>(G28-F28)/F28</f>
        <v>0.32768969269636788</v>
      </c>
    </row>
    <row r="46" spans="3:16">
      <c r="H46" s="2"/>
      <c r="I46" s="2"/>
      <c r="N46" s="13"/>
    </row>
    <row r="47" spans="3:16">
      <c r="H47" s="2"/>
      <c r="I47" s="2"/>
      <c r="N47" s="13"/>
    </row>
    <row r="48" spans="3:16">
      <c r="N48" s="13"/>
    </row>
    <row r="49" spans="14:14">
      <c r="N49" s="26"/>
    </row>
    <row r="50" spans="14:14">
      <c r="N50" s="112">
        <f>(F42-G42)/F42</f>
        <v>0.21776079052102515</v>
      </c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dimension ref="A3:P47"/>
  <sheetViews>
    <sheetView showGridLines="0" topLeftCell="A6" workbookViewId="0">
      <selection activeCell="G21" sqref="G2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3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2028980650.6048801</v>
      </c>
      <c r="D4">
        <f>C3-C5</f>
        <v>265278.11272490025</v>
      </c>
      <c r="E4">
        <f>C5+C9+C13+C17+C24</f>
        <v>286926291.79424763</v>
      </c>
      <c r="G4" s="1">
        <f>F42/2</f>
        <v>19882.351840887401</v>
      </c>
      <c r="M4">
        <v>2028980650.6048801</v>
      </c>
    </row>
    <row r="5" spans="1:13">
      <c r="A5" t="s">
        <v>2</v>
      </c>
      <c r="C5">
        <v>52229650.105552398</v>
      </c>
      <c r="M5">
        <v>52229650.105552398</v>
      </c>
    </row>
    <row r="6" spans="1:13">
      <c r="A6" t="s">
        <v>3</v>
      </c>
      <c r="C6">
        <v>2590407614.7005701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2590407614.7005701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297678734.11507899</v>
      </c>
      <c r="D8">
        <f>C7-C9</f>
        <v>0</v>
      </c>
      <c r="M8">
        <v>297678734.11507899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380047616.20424098</v>
      </c>
      <c r="M10">
        <v>380047616.20424098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4062609033.17658</v>
      </c>
      <c r="M14">
        <v>4062609033.17658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634840178.06518304</v>
      </c>
      <c r="D16">
        <f>C15-C17</f>
        <v>30292900.893026799</v>
      </c>
      <c r="M16">
        <v>634840178.06518304</v>
      </c>
    </row>
    <row r="17" spans="1:16">
      <c r="A17" t="s">
        <v>14</v>
      </c>
      <c r="C17">
        <v>74294842.727968201</v>
      </c>
      <c r="M17">
        <v>74294842.727968201</v>
      </c>
    </row>
    <row r="18" spans="1:16">
      <c r="A18" t="s">
        <v>15</v>
      </c>
      <c r="C18">
        <v>577905192.002092</v>
      </c>
      <c r="G18" s="1">
        <f>G19*1000000</f>
        <v>-346045212.30156386</v>
      </c>
      <c r="M18">
        <v>577905192.002092</v>
      </c>
    </row>
    <row r="19" spans="1:16">
      <c r="A19" t="s">
        <v>16</v>
      </c>
      <c r="C19">
        <v>39764703.681774803</v>
      </c>
      <c r="G19" s="24">
        <f>G20-F20</f>
        <v>-346.04521230156388</v>
      </c>
      <c r="M19">
        <v>39764703.681774803</v>
      </c>
    </row>
    <row r="20" spans="1:16">
      <c r="A20" t="s">
        <v>17</v>
      </c>
      <c r="C20">
        <v>27261729.2464411</v>
      </c>
      <c r="F20" s="24">
        <f>F37-F30</f>
        <v>6389.8028978332986</v>
      </c>
      <c r="G20" s="24">
        <f>G37-G30-G39</f>
        <v>6043.7576855317348</v>
      </c>
      <c r="M20">
        <v>27261729.2464411</v>
      </c>
    </row>
    <row r="21" spans="1:16">
      <c r="A21" t="s">
        <v>18</v>
      </c>
      <c r="C21">
        <v>12533409814.1101</v>
      </c>
      <c r="M21">
        <v>12533409814.1101</v>
      </c>
    </row>
    <row r="22" spans="1:16">
      <c r="A22" t="s">
        <v>19</v>
      </c>
      <c r="C22">
        <v>14636149394.487101</v>
      </c>
      <c r="D22">
        <v>13884535396.359501</v>
      </c>
      <c r="E22">
        <v>14636149394.487101</v>
      </c>
      <c r="G22" s="67">
        <f>G28-F28</f>
        <v>11.532899427925067</v>
      </c>
      <c r="M22">
        <v>14636149394.487101</v>
      </c>
    </row>
    <row r="23" spans="1:16">
      <c r="A23" t="s">
        <v>20</v>
      </c>
      <c r="C23">
        <v>981422252.87188196</v>
      </c>
      <c r="M23">
        <v>981422252.87188196</v>
      </c>
    </row>
    <row r="24" spans="1:16">
      <c r="A24" t="s">
        <v>90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51.010136794931839</v>
      </c>
      <c r="H28" s="18" t="s">
        <v>33</v>
      </c>
      <c r="I28" s="18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7610.9694560834832</v>
      </c>
      <c r="H30" s="18"/>
      <c r="I30" s="18"/>
      <c r="J30" s="10">
        <f>(G30-F30)*1000000/E3</f>
        <v>4.6218403568187538</v>
      </c>
      <c r="M30" t="s">
        <v>27</v>
      </c>
      <c r="N30" s="49">
        <f>F37-G37</f>
        <v>-2102.7395803769996</v>
      </c>
    </row>
    <row r="31" spans="1:16">
      <c r="E31" s="15" t="s">
        <v>24</v>
      </c>
      <c r="F31" s="45">
        <f>C8/C28</f>
        <v>297.67873411507901</v>
      </c>
      <c r="G31" s="46">
        <f>C10/C28</f>
        <v>380.04761620424097</v>
      </c>
      <c r="H31" s="160" t="s">
        <v>34</v>
      </c>
      <c r="I31" s="18"/>
      <c r="J31" s="98">
        <f>(G31-F31)*1000000/C7</f>
        <v>10.694245724347784</v>
      </c>
      <c r="M31" t="s">
        <v>22</v>
      </c>
      <c r="N31" s="49">
        <f>G30-F30</f>
        <v>1467.3625398066815</v>
      </c>
      <c r="P31">
        <f>G31/F31</f>
        <v>1.2767039517754706</v>
      </c>
    </row>
    <row r="32" spans="1:16">
      <c r="E32" s="15" t="s">
        <v>25</v>
      </c>
      <c r="F32" s="45">
        <f>C12/C28</f>
        <v>3182.10735349166</v>
      </c>
      <c r="G32" s="46">
        <f>C14/C28</f>
        <v>4062.6090331765799</v>
      </c>
      <c r="H32" s="160"/>
      <c r="I32" s="18"/>
      <c r="J32" s="98">
        <f>(G32-F32)*1000000/C11</f>
        <v>10.6942457243477</v>
      </c>
      <c r="M32" t="s">
        <v>29</v>
      </c>
      <c r="N32" s="49">
        <f>G39</f>
        <v>981.42225287188194</v>
      </c>
      <c r="P32">
        <f>G32/F32</f>
        <v>1.2767039517754686</v>
      </c>
    </row>
    <row r="33" spans="5:16">
      <c r="E33" s="15" t="s">
        <v>23</v>
      </c>
      <c r="F33" s="45">
        <f>C4/C28</f>
        <v>2028.9806506048801</v>
      </c>
      <c r="G33" s="46">
        <f>C6/C28</f>
        <v>2590.4076147005703</v>
      </c>
      <c r="H33" s="160"/>
      <c r="I33" s="18"/>
      <c r="J33" s="98">
        <f>(G33-F33)*1000000/C3</f>
        <v>10.694880117965695</v>
      </c>
      <c r="M33" t="s">
        <v>94</v>
      </c>
      <c r="N33" s="49">
        <f>G40</f>
        <v>949.5515232837671</v>
      </c>
      <c r="P33">
        <f>G33/F33</f>
        <v>1.2767039517741667</v>
      </c>
    </row>
    <row r="34" spans="5:16">
      <c r="E34" s="15" t="s">
        <v>26</v>
      </c>
      <c r="F34" s="45">
        <f>C16/C28</f>
        <v>634.84017806518307</v>
      </c>
      <c r="G34" s="46">
        <f>C18/C28</f>
        <v>577.90519200209201</v>
      </c>
      <c r="H34" s="160"/>
      <c r="I34" s="18"/>
      <c r="J34" s="97">
        <f>(G34-F34)*1000000/C15</f>
        <v>-0.54437531676189543</v>
      </c>
      <c r="N34" s="49"/>
      <c r="P34">
        <f>G34/F34</f>
        <v>0.91031603223883351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450.10707967201301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14636.1493944871</v>
      </c>
      <c r="H37" s="3" t="s">
        <v>34</v>
      </c>
      <c r="I37" s="3"/>
      <c r="J37" s="13"/>
      <c r="M37" t="s">
        <v>88</v>
      </c>
      <c r="N37" s="49">
        <f>SUM(N30:N35)</f>
        <v>1745.7038152573439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981.42225287188194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949.5515232837671</v>
      </c>
      <c r="H40" s="3"/>
      <c r="I40" s="3"/>
      <c r="J40" s="13"/>
      <c r="N40" s="21">
        <f>N37/G37</f>
        <v>0.11927343512323579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27261.7292464411</v>
      </c>
      <c r="H42" s="18" t="s">
        <v>37</v>
      </c>
      <c r="I42" s="18"/>
      <c r="N42" s="21">
        <f>(G37-F37)/F37</f>
        <v>0.16777075126114024</v>
      </c>
    </row>
    <row r="43" spans="5:16">
      <c r="E43" s="9" t="s">
        <v>36</v>
      </c>
      <c r="F43" s="43">
        <f>F42*36/C29</f>
        <v>1431.5293325438927</v>
      </c>
      <c r="G43" s="44">
        <f>G42*36/C29</f>
        <v>981.42225287187966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143.46314589712381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dimension ref="A3:P47"/>
  <sheetViews>
    <sheetView showGridLines="0" topLeftCell="A7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3" spans="1:15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  <c r="M3">
        <v>52494928.218277298</v>
      </c>
      <c r="O3" s="115"/>
    </row>
    <row r="4" spans="1:15">
      <c r="A4" t="s">
        <v>1</v>
      </c>
      <c r="C4">
        <v>2028980650.6048801</v>
      </c>
      <c r="D4">
        <f>C3-C5</f>
        <v>3310985.9076875001</v>
      </c>
      <c r="E4">
        <f>C5+C9+C13+C17+C24</f>
        <v>269907924.24464399</v>
      </c>
      <c r="G4" s="1">
        <f>F42/2</f>
        <v>19882.351840887401</v>
      </c>
      <c r="M4">
        <v>2028980650.6048801</v>
      </c>
      <c r="O4" s="115"/>
    </row>
    <row r="5" spans="1:15">
      <c r="A5" t="s">
        <v>2</v>
      </c>
      <c r="C5">
        <v>49183942.310589798</v>
      </c>
      <c r="M5">
        <v>49183942.310589798</v>
      </c>
      <c r="O5" s="115"/>
    </row>
    <row r="6" spans="1:15">
      <c r="A6" t="s">
        <v>3</v>
      </c>
      <c r="C6">
        <v>2197250410.3793702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2197250410.3793702</v>
      </c>
      <c r="O6" s="115"/>
    </row>
    <row r="7" spans="1:15">
      <c r="A7" t="s">
        <v>4</v>
      </c>
      <c r="C7">
        <v>7702168.4569703899</v>
      </c>
      <c r="J7" s="21">
        <f>J6/H6</f>
        <v>-0.36090965768927602</v>
      </c>
      <c r="M7">
        <v>7702168.4569703899</v>
      </c>
      <c r="O7" s="115"/>
    </row>
    <row r="8" spans="1:15">
      <c r="A8" t="s">
        <v>5</v>
      </c>
      <c r="C8">
        <v>297678734.11507899</v>
      </c>
      <c r="D8">
        <f>C7-C9</f>
        <v>0</v>
      </c>
      <c r="M8">
        <v>297678734.11507899</v>
      </c>
      <c r="O8" s="115"/>
    </row>
    <row r="9" spans="1:15">
      <c r="A9" t="s">
        <v>6</v>
      </c>
      <c r="C9">
        <v>7702168.4569703899</v>
      </c>
      <c r="M9">
        <v>7702168.4569703899</v>
      </c>
      <c r="O9" s="115"/>
    </row>
    <row r="10" spans="1:15">
      <c r="A10" t="s">
        <v>7</v>
      </c>
      <c r="C10">
        <v>322366169.68743998</v>
      </c>
      <c r="M10">
        <v>322366169.68743998</v>
      </c>
      <c r="O10" s="115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  <c r="O11" s="115"/>
    </row>
    <row r="12" spans="1:15">
      <c r="A12" t="s">
        <v>9</v>
      </c>
      <c r="C12">
        <v>3182107353.4916601</v>
      </c>
      <c r="D12">
        <f>C11-C13</f>
        <v>0</v>
      </c>
      <c r="H12" s="1">
        <v>42.141114695835299</v>
      </c>
      <c r="M12">
        <v>3182107353.4916601</v>
      </c>
      <c r="O12" s="115"/>
    </row>
    <row r="13" spans="1:15">
      <c r="A13" t="s">
        <v>10</v>
      </c>
      <c r="C13">
        <v>82334154.495839998</v>
      </c>
      <c r="M13">
        <v>82334154.495839998</v>
      </c>
      <c r="O13" s="115"/>
    </row>
    <row r="14" spans="1:15">
      <c r="A14" t="s">
        <v>11</v>
      </c>
      <c r="C14">
        <v>3446009544.9169002</v>
      </c>
      <c r="M14">
        <v>3446009544.9169002</v>
      </c>
      <c r="O14" s="115"/>
    </row>
    <row r="15" spans="1:15">
      <c r="A15" t="s">
        <v>12</v>
      </c>
      <c r="C15">
        <v>104587743.620995</v>
      </c>
      <c r="M15">
        <v>104587743.620995</v>
      </c>
      <c r="O15" s="115"/>
    </row>
    <row r="16" spans="1:15">
      <c r="A16" t="s">
        <v>13</v>
      </c>
      <c r="C16">
        <v>634840178.06518304</v>
      </c>
      <c r="D16">
        <f>C15-C17</f>
        <v>44265560.647667803</v>
      </c>
      <c r="M16">
        <v>634840178.06518304</v>
      </c>
      <c r="O16" s="115"/>
    </row>
    <row r="17" spans="1:16">
      <c r="A17" t="s">
        <v>14</v>
      </c>
      <c r="C17">
        <v>60322182.973327197</v>
      </c>
      <c r="M17">
        <v>60322182.973327197</v>
      </c>
      <c r="O17" s="115"/>
    </row>
    <row r="18" spans="1:16">
      <c r="A18" t="s">
        <v>15</v>
      </c>
      <c r="C18">
        <v>562949349.347857</v>
      </c>
      <c r="G18" s="1">
        <f>G19*1000000</f>
        <v>-1264760188.0929823</v>
      </c>
      <c r="M18">
        <v>562949349.347857</v>
      </c>
      <c r="O18" s="115"/>
    </row>
    <row r="19" spans="1:16">
      <c r="A19" t="s">
        <v>16</v>
      </c>
      <c r="C19">
        <v>39764703.681774803</v>
      </c>
      <c r="G19" s="24">
        <f>G20-F20</f>
        <v>-1264.7601880929824</v>
      </c>
      <c r="M19">
        <v>39764703.681774803</v>
      </c>
      <c r="O19" s="115"/>
    </row>
    <row r="20" spans="1:16">
      <c r="A20" t="s">
        <v>17</v>
      </c>
      <c r="C20">
        <v>22443637.572725501</v>
      </c>
      <c r="F20" s="24">
        <f>F37-F30</f>
        <v>6389.8028978332986</v>
      </c>
      <c r="G20" s="24">
        <f>G37-G30-G39</f>
        <v>5125.0427097403162</v>
      </c>
      <c r="M20">
        <v>22443637.572725501</v>
      </c>
      <c r="O20" s="115"/>
    </row>
    <row r="21" spans="1:16">
      <c r="A21" t="s">
        <v>18</v>
      </c>
      <c r="C21">
        <v>12533409814.1101</v>
      </c>
      <c r="M21">
        <v>12533409814.1101</v>
      </c>
      <c r="O21" s="115"/>
    </row>
    <row r="22" spans="1:16">
      <c r="A22" t="s">
        <v>19</v>
      </c>
      <c r="C22">
        <v>12461589136.690001</v>
      </c>
      <c r="G22" s="67">
        <f>G28-F28</f>
        <v>6.6925413512899254</v>
      </c>
      <c r="M22">
        <v>12461589136.690001</v>
      </c>
      <c r="O22" s="115"/>
    </row>
    <row r="23" spans="1:16">
      <c r="A23" t="s">
        <v>20</v>
      </c>
      <c r="C23">
        <v>807970952.61811805</v>
      </c>
      <c r="M23">
        <v>807970952.61811805</v>
      </c>
      <c r="O23" s="115"/>
    </row>
    <row r="24" spans="1:16">
      <c r="A24" t="s">
        <v>90</v>
      </c>
      <c r="C24">
        <v>70365476.0079166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46.169778718296698</v>
      </c>
      <c r="H28" s="63" t="s">
        <v>33</v>
      </c>
      <c r="I28" s="63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6528.5754743315674</v>
      </c>
      <c r="H30" s="63"/>
      <c r="I30" s="63"/>
      <c r="J30" s="117">
        <f>(G30-F30)*1000000/E3</f>
        <v>1.2125587027444829</v>
      </c>
      <c r="M30" t="s">
        <v>27</v>
      </c>
      <c r="N30" s="49">
        <f>F37-G37</f>
        <v>71.820677420098946</v>
      </c>
    </row>
    <row r="31" spans="1:16">
      <c r="E31" s="15" t="s">
        <v>24</v>
      </c>
      <c r="F31" s="45">
        <f>C8/C28</f>
        <v>297.67873411507901</v>
      </c>
      <c r="G31" s="46">
        <f>C10/C28</f>
        <v>322.36616968743999</v>
      </c>
      <c r="H31" s="160" t="s">
        <v>34</v>
      </c>
      <c r="I31" s="63"/>
      <c r="J31" s="118">
        <f>(G31-F31)*1000000/C7</f>
        <v>3.2052578063284352</v>
      </c>
      <c r="M31" t="s">
        <v>22</v>
      </c>
      <c r="N31" s="49">
        <f>G30-F30</f>
        <v>384.96855805476571</v>
      </c>
      <c r="P31">
        <f>G31/F31</f>
        <v>1.082933151559349</v>
      </c>
    </row>
    <row r="32" spans="1:16">
      <c r="E32" s="15" t="s">
        <v>25</v>
      </c>
      <c r="F32" s="45">
        <f>C12/C28</f>
        <v>3182.10735349166</v>
      </c>
      <c r="G32" s="46">
        <f>C14/C28</f>
        <v>3446.0095449169003</v>
      </c>
      <c r="H32" s="160"/>
      <c r="I32" s="63"/>
      <c r="J32" s="118">
        <f>(G32-F32)*1000000/C11</f>
        <v>3.2052578063284072</v>
      </c>
      <c r="M32" t="s">
        <v>29</v>
      </c>
      <c r="N32" s="49">
        <f>G39</f>
        <v>807.97095261811808</v>
      </c>
      <c r="P32">
        <f>G32/F32</f>
        <v>1.0829331515593483</v>
      </c>
    </row>
    <row r="33" spans="5:16">
      <c r="E33" s="15" t="s">
        <v>23</v>
      </c>
      <c r="F33" s="45">
        <f>C4/C28</f>
        <v>2028.9806506048801</v>
      </c>
      <c r="G33" s="46">
        <f>C6/C28</f>
        <v>2197.2504103793704</v>
      </c>
      <c r="H33" s="160"/>
      <c r="I33" s="63"/>
      <c r="J33" s="118">
        <f>(G33-F33)*1000000/C3</f>
        <v>3.2054479448912421</v>
      </c>
      <c r="M33" t="s">
        <v>94</v>
      </c>
      <c r="N33" s="49">
        <f>G40</f>
        <v>551.02473358690247</v>
      </c>
      <c r="P33">
        <f>G33/F33</f>
        <v>1.08293315154303</v>
      </c>
    </row>
    <row r="34" spans="5:16">
      <c r="E34" s="15" t="s">
        <v>26</v>
      </c>
      <c r="F34" s="45">
        <f>C16/C28</f>
        <v>634.84017806518307</v>
      </c>
      <c r="G34" s="46">
        <f>C18/C28</f>
        <v>562.94934934785704</v>
      </c>
      <c r="H34" s="160"/>
      <c r="I34" s="63"/>
      <c r="J34" s="116">
        <f>(G34-F34)*1000000/C15</f>
        <v>-0.68737335971071301</v>
      </c>
      <c r="N34" s="49"/>
      <c r="P34">
        <f>G34/F34</f>
        <v>0.88675759474387816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623.5583799257746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12461.589136690001</v>
      </c>
      <c r="H37" s="3" t="s">
        <v>34</v>
      </c>
      <c r="I37" s="3"/>
      <c r="J37" s="13"/>
      <c r="M37" t="s">
        <v>88</v>
      </c>
      <c r="N37" s="49">
        <f>SUM(N30:N35)</f>
        <v>2439.3433016056601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807.97095261811808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551.02473358690247</v>
      </c>
      <c r="H40" s="3"/>
      <c r="I40" s="3"/>
      <c r="J40" s="13"/>
      <c r="N40" s="21">
        <f>N37/G37</f>
        <v>0.19574897509849928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22443.6375727255</v>
      </c>
      <c r="H42" s="63" t="s">
        <v>37</v>
      </c>
      <c r="I42" s="63"/>
      <c r="N42" s="21">
        <f>(G37-F37)/F37</f>
        <v>-5.7303382308015894E-3</v>
      </c>
    </row>
    <row r="43" spans="5:16">
      <c r="E43" s="9" t="s">
        <v>36</v>
      </c>
      <c r="F43" s="43">
        <f>F42*36/C29</f>
        <v>1431.5293325438927</v>
      </c>
      <c r="G43" s="44">
        <f>G42*36/C29</f>
        <v>807.97095261811808</v>
      </c>
      <c r="H43" s="3" t="s">
        <v>34</v>
      </c>
      <c r="I43" s="3"/>
    </row>
    <row r="44" spans="5:16" ht="10" customHeight="1">
      <c r="H44" s="2"/>
      <c r="I44" s="2"/>
      <c r="L44">
        <f>K45-L45</f>
        <v>35910338.710049629</v>
      </c>
    </row>
    <row r="45" spans="5:16">
      <c r="E45" s="9" t="s">
        <v>91</v>
      </c>
      <c r="F45" s="43">
        <f>E3/(2*C28)</f>
        <v>158.74223539999963</v>
      </c>
      <c r="G45" s="44">
        <f>E4/(2*C28)</f>
        <v>134.953962122322</v>
      </c>
      <c r="H45" s="3" t="s">
        <v>92</v>
      </c>
      <c r="I45" s="2"/>
      <c r="J45" s="17"/>
      <c r="K45">
        <f>F28*1000000*F45</f>
        <v>6266704907.0550508</v>
      </c>
      <c r="L45">
        <f>G28*1000000*G45</f>
        <v>6230794568.3450012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3C6D-CE6C-4942-99A7-FABC02EA9E29}">
  <dimension ref="A3:P47"/>
  <sheetViews>
    <sheetView showGridLines="0" topLeftCell="A14" workbookViewId="0">
      <selection activeCell="G30" sqref="G3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3" spans="1:12">
      <c r="A3" t="s">
        <v>0</v>
      </c>
      <c r="C3">
        <v>52494928.218277298</v>
      </c>
      <c r="E3">
        <f>C3+C7+C11+C15+C24</f>
        <v>317484470.79999924</v>
      </c>
      <c r="G3" s="1">
        <f>E3/2</f>
        <v>158742235.39999962</v>
      </c>
    </row>
    <row r="4" spans="1:12">
      <c r="A4" t="s">
        <v>1</v>
      </c>
      <c r="C4">
        <v>2028980650.6048801</v>
      </c>
      <c r="D4">
        <f>C3-C5</f>
        <v>2690.3989097997546</v>
      </c>
      <c r="E4">
        <f>C5+C9+C13+C17+C24</f>
        <v>310973534.87158388</v>
      </c>
      <c r="G4" s="1">
        <f>F42/2</f>
        <v>19882.351840887401</v>
      </c>
      <c r="L4">
        <v>52494928.218277298</v>
      </c>
    </row>
    <row r="5" spans="1:12">
      <c r="A5" t="s">
        <v>2</v>
      </c>
      <c r="C5">
        <v>52492237.819367498</v>
      </c>
      <c r="L5">
        <v>2028980650.6048801</v>
      </c>
    </row>
    <row r="6" spans="1:12">
      <c r="A6" t="s">
        <v>3</v>
      </c>
      <c r="C6">
        <v>2624604424.9444199</v>
      </c>
      <c r="G6" s="1">
        <v>31110393.202</v>
      </c>
      <c r="H6" s="1">
        <f>G6/1000</f>
        <v>31110.393201999999</v>
      </c>
      <c r="J6">
        <f>G4-H6</f>
        <v>-11228.041361112599</v>
      </c>
      <c r="L6">
        <v>52492237.819367498</v>
      </c>
    </row>
    <row r="7" spans="1:12">
      <c r="A7" t="s">
        <v>4</v>
      </c>
      <c r="C7">
        <v>7702168.4569703899</v>
      </c>
      <c r="J7" s="21">
        <f>J6/H6</f>
        <v>-0.36090965768927602</v>
      </c>
      <c r="L7">
        <v>2624604424.9444199</v>
      </c>
    </row>
    <row r="8" spans="1:12">
      <c r="A8" t="s">
        <v>5</v>
      </c>
      <c r="C8">
        <v>297678734.11507899</v>
      </c>
      <c r="D8">
        <f>C7-C9</f>
        <v>0</v>
      </c>
      <c r="L8">
        <v>7702168.4569703899</v>
      </c>
    </row>
    <row r="9" spans="1:12">
      <c r="A9" t="s">
        <v>6</v>
      </c>
      <c r="C9">
        <v>7702168.4569703899</v>
      </c>
      <c r="L9">
        <v>297678734.11507899</v>
      </c>
    </row>
    <row r="10" spans="1:12">
      <c r="A10" t="s">
        <v>7</v>
      </c>
      <c r="C10">
        <v>385064747.92521</v>
      </c>
      <c r="L10">
        <v>7702168.4569703899</v>
      </c>
    </row>
    <row r="11" spans="1:12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L11">
        <v>385064747.92521</v>
      </c>
    </row>
    <row r="12" spans="1:12">
      <c r="A12" t="s">
        <v>9</v>
      </c>
      <c r="C12">
        <v>3182107353.4916601</v>
      </c>
      <c r="D12">
        <f>C11-C13</f>
        <v>0</v>
      </c>
      <c r="H12" s="1">
        <v>42.141114695835299</v>
      </c>
      <c r="L12">
        <v>82334154.495839998</v>
      </c>
    </row>
    <row r="13" spans="1:12">
      <c r="A13" t="s">
        <v>10</v>
      </c>
      <c r="C13">
        <v>82334154.495839998</v>
      </c>
      <c r="L13">
        <v>3182107353.4916601</v>
      </c>
    </row>
    <row r="14" spans="1:12">
      <c r="A14" t="s">
        <v>11</v>
      </c>
      <c r="C14">
        <v>4116240851.3519502</v>
      </c>
      <c r="L14">
        <v>82334154.495839998</v>
      </c>
    </row>
    <row r="15" spans="1:12">
      <c r="A15" t="s">
        <v>12</v>
      </c>
      <c r="C15">
        <v>104587743.620995</v>
      </c>
      <c r="L15">
        <v>4116240851.3519502</v>
      </c>
    </row>
    <row r="16" spans="1:12">
      <c r="A16" t="s">
        <v>13</v>
      </c>
      <c r="C16">
        <v>634840178.06518304</v>
      </c>
      <c r="D16">
        <f>C15-C17</f>
        <v>6508245.5295055956</v>
      </c>
      <c r="L16">
        <v>104587743.620995</v>
      </c>
    </row>
    <row r="17" spans="1:16">
      <c r="A17" t="s">
        <v>14</v>
      </c>
      <c r="C17">
        <v>98079498.091489404</v>
      </c>
      <c r="L17">
        <v>634840178.06518304</v>
      </c>
    </row>
    <row r="18" spans="1:16">
      <c r="A18" t="s">
        <v>15</v>
      </c>
      <c r="C18">
        <v>489174555.256989</v>
      </c>
      <c r="G18" s="1">
        <f>G19*1000000</f>
        <v>556446109.58669186</v>
      </c>
      <c r="L18">
        <v>98079498.091489404</v>
      </c>
    </row>
    <row r="19" spans="1:16">
      <c r="A19" t="s">
        <v>16</v>
      </c>
      <c r="C19">
        <v>39764703.681774803</v>
      </c>
      <c r="G19" s="24">
        <f>G20-F20</f>
        <v>556.44610958669182</v>
      </c>
      <c r="L19">
        <v>489174555.256989</v>
      </c>
    </row>
    <row r="20" spans="1:16">
      <c r="A20" t="s">
        <v>17</v>
      </c>
      <c r="C20">
        <v>36970418.5042319</v>
      </c>
      <c r="F20" s="24">
        <f>F37-F30</f>
        <v>6389.8028978332986</v>
      </c>
      <c r="G20" s="24">
        <f>G37-G30-G39</f>
        <v>6946.2490074199904</v>
      </c>
      <c r="L20">
        <v>39764703.681774803</v>
      </c>
    </row>
    <row r="21" spans="1:16">
      <c r="A21" t="s">
        <v>18</v>
      </c>
      <c r="C21">
        <v>12533409814.1101</v>
      </c>
      <c r="L21">
        <v>36970418.5042319</v>
      </c>
    </row>
    <row r="22" spans="1:16">
      <c r="A22" t="s">
        <v>19</v>
      </c>
      <c r="C22">
        <v>15892268653.0509</v>
      </c>
      <c r="G22" s="67">
        <f>G28-F28</f>
        <v>11.627653792344105</v>
      </c>
      <c r="L22">
        <v>12533409814.1101</v>
      </c>
    </row>
    <row r="23" spans="1:16">
      <c r="A23" t="s">
        <v>20</v>
      </c>
      <c r="C23">
        <v>1330935066.1523399</v>
      </c>
      <c r="L23">
        <v>15892268653.0509</v>
      </c>
    </row>
    <row r="24" spans="1:16">
      <c r="A24" t="s">
        <v>90</v>
      </c>
      <c r="C24">
        <v>70365476.0079166</v>
      </c>
      <c r="L24">
        <v>1330935066.1523399</v>
      </c>
    </row>
    <row r="25" spans="1:16" ht="17">
      <c r="C25" s="19"/>
    </row>
    <row r="26" spans="1:16">
      <c r="E26" s="4"/>
      <c r="F26" s="5" t="s">
        <v>21</v>
      </c>
      <c r="G26" s="6" t="s">
        <v>31</v>
      </c>
      <c r="H26" s="90"/>
      <c r="I26" s="90"/>
      <c r="J26" s="62" t="s">
        <v>42</v>
      </c>
    </row>
    <row r="27" spans="1:16" ht="10" customHeight="1">
      <c r="E27" s="4"/>
      <c r="F27" s="7"/>
      <c r="G27" s="7"/>
      <c r="J27" s="159" t="s">
        <v>43</v>
      </c>
      <c r="K27" s="90"/>
    </row>
    <row r="28" spans="1:16">
      <c r="C28">
        <v>1000000</v>
      </c>
      <c r="E28" s="9" t="s">
        <v>32</v>
      </c>
      <c r="F28" s="10">
        <f>F37*C28/$E$3</f>
        <v>39.477237367006772</v>
      </c>
      <c r="G28" s="11">
        <f>G37*C28/$E$4</f>
        <v>51.104891159350878</v>
      </c>
      <c r="H28" s="91" t="s">
        <v>33</v>
      </c>
      <c r="I28" s="91"/>
      <c r="J28" s="159"/>
      <c r="M28" t="s">
        <v>38</v>
      </c>
    </row>
    <row r="29" spans="1:16" ht="10" customHeight="1">
      <c r="C29">
        <v>1000</v>
      </c>
      <c r="E29" s="4"/>
      <c r="F29" s="13"/>
      <c r="G29" s="13"/>
      <c r="H29" s="91"/>
      <c r="I29" s="91"/>
      <c r="J29" s="159"/>
    </row>
    <row r="30" spans="1:16">
      <c r="E30" s="9" t="s">
        <v>22</v>
      </c>
      <c r="F30" s="43">
        <f>SUM(F31:F34)</f>
        <v>6143.6069162768017</v>
      </c>
      <c r="G30" s="44">
        <f>SUM(G31:G34)</f>
        <v>7615.08457947857</v>
      </c>
      <c r="H30" s="91"/>
      <c r="I30" s="91"/>
      <c r="J30" s="14">
        <f>(G30-F30)*1000000/E3</f>
        <v>4.634802009351608</v>
      </c>
      <c r="M30" t="s">
        <v>27</v>
      </c>
      <c r="N30" s="49">
        <f>F37-G37</f>
        <v>-3358.8588389407996</v>
      </c>
    </row>
    <row r="31" spans="1:16">
      <c r="E31" s="15" t="s">
        <v>24</v>
      </c>
      <c r="F31" s="45">
        <f>C8/C28</f>
        <v>297.67873411507901</v>
      </c>
      <c r="G31" s="46">
        <f>C10/C28</f>
        <v>385.06474792520999</v>
      </c>
      <c r="H31" s="160" t="s">
        <v>34</v>
      </c>
      <c r="I31" s="91"/>
      <c r="J31" s="16">
        <f>(G31-F31)*1000000/C7</f>
        <v>11.345637828921731</v>
      </c>
      <c r="M31" t="s">
        <v>22</v>
      </c>
      <c r="N31" s="49">
        <f>G30-F30</f>
        <v>1471.4776632017683</v>
      </c>
      <c r="P31">
        <f>G31/F31</f>
        <v>1.2935581343084743</v>
      </c>
    </row>
    <row r="32" spans="1:16">
      <c r="E32" s="15" t="s">
        <v>25</v>
      </c>
      <c r="F32" s="45">
        <f>C12/C28</f>
        <v>3182.10735349166</v>
      </c>
      <c r="G32" s="46">
        <f>C14/C28</f>
        <v>4116.2408513519504</v>
      </c>
      <c r="H32" s="160"/>
      <c r="I32" s="91"/>
      <c r="J32" s="16">
        <f>(G32-F32)*1000000/C11</f>
        <v>11.345637828921754</v>
      </c>
      <c r="M32" t="s">
        <v>29</v>
      </c>
      <c r="N32" s="49">
        <f>G39</f>
        <v>1330.9350661523399</v>
      </c>
      <c r="P32">
        <f>G32/F32</f>
        <v>1.293558134308475</v>
      </c>
    </row>
    <row r="33" spans="5:16">
      <c r="E33" s="15" t="s">
        <v>23</v>
      </c>
      <c r="F33" s="45">
        <f>C4/C28</f>
        <v>2028.9806506048801</v>
      </c>
      <c r="G33" s="46">
        <f>C6/C28</f>
        <v>2624.6044249444199</v>
      </c>
      <c r="H33" s="160"/>
      <c r="I33" s="91"/>
      <c r="J33" s="16">
        <f>(G33-F33)*1000000/C3</f>
        <v>11.346310863839983</v>
      </c>
      <c r="M33" t="s">
        <v>94</v>
      </c>
      <c r="N33" s="49">
        <f>G40</f>
        <v>957.35304376299939</v>
      </c>
      <c r="P33">
        <f>G33/F33</f>
        <v>1.2935581343084628</v>
      </c>
    </row>
    <row r="34" spans="5:16">
      <c r="E34" s="15" t="s">
        <v>26</v>
      </c>
      <c r="F34" s="45">
        <f>C16/C28</f>
        <v>634.84017806518307</v>
      </c>
      <c r="G34" s="46">
        <f>C18/C28</f>
        <v>489.17455525698898</v>
      </c>
      <c r="H34" s="160"/>
      <c r="I34" s="91"/>
      <c r="J34" s="27">
        <f>(G34-F34)*1000000/C15</f>
        <v>-1.3927599713409737</v>
      </c>
      <c r="N34" s="49"/>
      <c r="P34">
        <f>G34/F34</f>
        <v>0.770547567968772</v>
      </c>
    </row>
    <row r="35" spans="5:16" ht="10" customHeight="1">
      <c r="E35" s="4"/>
      <c r="F35" s="47"/>
      <c r="G35" s="47"/>
      <c r="H35" s="91"/>
      <c r="I35" s="91"/>
      <c r="J35" s="13"/>
      <c r="M35" t="s">
        <v>35</v>
      </c>
      <c r="N35" s="49">
        <f>F43-G43</f>
        <v>100.59426639154435</v>
      </c>
    </row>
    <row r="36" spans="5:16" ht="10" customHeight="1">
      <c r="E36" s="4"/>
      <c r="F36" s="47"/>
      <c r="G36" s="47"/>
      <c r="H36" s="91"/>
      <c r="I36" s="91"/>
      <c r="J36" s="13"/>
      <c r="N36" s="49"/>
    </row>
    <row r="37" spans="5:16">
      <c r="E37" s="9" t="s">
        <v>28</v>
      </c>
      <c r="F37" s="43">
        <f>C21/C28</f>
        <v>12533.4098141101</v>
      </c>
      <c r="G37" s="44">
        <f>C22/C28</f>
        <v>15892.2686530509</v>
      </c>
      <c r="H37" s="3" t="s">
        <v>34</v>
      </c>
      <c r="I37" s="3"/>
      <c r="J37" s="13"/>
      <c r="M37" t="s">
        <v>88</v>
      </c>
      <c r="N37" s="49">
        <f>SUM(N30:N35)</f>
        <v>501.50120056785238</v>
      </c>
    </row>
    <row r="38" spans="5:16" ht="10" customHeight="1">
      <c r="E38" s="4"/>
      <c r="F38" s="47"/>
      <c r="G38" s="47"/>
      <c r="H38" s="91"/>
      <c r="I38" s="91"/>
      <c r="J38" s="13"/>
    </row>
    <row r="39" spans="5:16">
      <c r="E39" s="4" t="s">
        <v>29</v>
      </c>
      <c r="F39" s="47"/>
      <c r="G39" s="48">
        <f>C23/C28</f>
        <v>1330.9350661523399</v>
      </c>
      <c r="H39" s="3" t="s">
        <v>34</v>
      </c>
      <c r="I39" s="3"/>
      <c r="J39" s="13"/>
    </row>
    <row r="40" spans="5:16">
      <c r="E40" s="9" t="s">
        <v>93</v>
      </c>
      <c r="F40" s="43"/>
      <c r="G40" s="44">
        <f>MIN(17.5394,G28-F28)*C11/C28</f>
        <v>957.35304376299939</v>
      </c>
      <c r="H40" s="3"/>
      <c r="I40" s="3"/>
      <c r="J40" s="13"/>
      <c r="N40" s="21">
        <f>N37/G37</f>
        <v>3.1556300205859991E-2</v>
      </c>
    </row>
    <row r="41" spans="5:16" ht="10" customHeight="1">
      <c r="E41" s="4"/>
      <c r="F41" s="47"/>
      <c r="G41" s="47"/>
      <c r="H41" s="91"/>
      <c r="I41" s="91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36970.4185042319</v>
      </c>
      <c r="H42" s="91" t="s">
        <v>37</v>
      </c>
      <c r="I42" s="91"/>
      <c r="N42" s="21">
        <f>(G37-F37)/F37</f>
        <v>0.26799242095789444</v>
      </c>
    </row>
    <row r="43" spans="5:16">
      <c r="E43" s="9" t="s">
        <v>36</v>
      </c>
      <c r="F43" s="43">
        <f>F42*36/C29</f>
        <v>1431.5293325438927</v>
      </c>
      <c r="G43" s="44">
        <f>G42*36/C29</f>
        <v>1330.9350661523483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91</v>
      </c>
      <c r="F45" s="43">
        <f>E3/(2*C28)</f>
        <v>158.74223539999963</v>
      </c>
      <c r="G45" s="44">
        <f>E4/(2*C28)</f>
        <v>155.48676743579193</v>
      </c>
      <c r="H45" s="3" t="s">
        <v>92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GasProd</vt:lpstr>
      <vt:lpstr>Imports</vt:lpstr>
      <vt:lpstr>2 years-0</vt:lpstr>
      <vt:lpstr>2 years-0.1</vt:lpstr>
      <vt:lpstr>2 years-0.3</vt:lpstr>
      <vt:lpstr>2 years-0.5</vt:lpstr>
      <vt:lpstr>2 years-1</vt:lpstr>
      <vt:lpstr>2yr-0-8</vt:lpstr>
      <vt:lpstr>2yr-0.1-8</vt:lpstr>
      <vt:lpstr>2yr-0.3-8</vt:lpstr>
      <vt:lpstr>2yr-0.5-8</vt:lpstr>
      <vt:lpstr>2yr-1-8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2019-06-13T18:59:54Z</dcterms:modified>
</cp:coreProperties>
</file>