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B5C2EEEB-4E58-6149-BF11-E66FFADB189B}" xr6:coauthVersionLast="47" xr6:coauthVersionMax="47" xr10:uidLastSave="{00000000-0000-0000-0000-000000000000}"/>
  <bookViews>
    <workbookView xWindow="0" yWindow="500" windowWidth="38400" windowHeight="21100" tabRatio="500" activeTab="1" xr2:uid="{00000000-000D-0000-FFFF-FFFF00000000}"/>
  </bookViews>
  <sheets>
    <sheet name="Attribution and License" sheetId="1" state="hidden" r:id="rId1"/>
    <sheet name="Interview" sheetId="2" r:id="rId2"/>
    <sheet name="Scorecard" sheetId="3" state="hidden" r:id="rId3"/>
    <sheet name="Roadmap" sheetId="4" state="hidden" r:id="rId4"/>
    <sheet name="Roadmap Chart" sheetId="5" state="hidden" r:id="rId5"/>
    <sheet name="Lookups" sheetId="6" state="hidden" r:id="rId6"/>
    <sheet name="imp-questions" sheetId="7" state="hidden" r:id="rId7"/>
    <sheet name="imp-answers" sheetId="8" state="hidden" r:id="rId8"/>
    <sheet name="Background Images" sheetId="9"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Scorecard!$G:$G</definedName>
    <definedName name="Z_9846C184_355C_EA4B_8C35_9561D1AEE31C_.wvu.PrintArea" localSheetId="4">'Roadmap Chart'!$L$3:$W$108</definedName>
    <definedName name="Z_9846C184_355C_EA4B_8C35_9561D1AEE31C_.wvu.Rows" localSheetId="1">Interview!$1:$1</definedName>
    <definedName name="Z_9846C184_355C_EA4B_8C35_9561D1AEE31C_.wvu.Rows" localSheetId="3">Roadmap!$1:$1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151" i="6" l="1"/>
  <c r="P151" i="6"/>
  <c r="Q150" i="6"/>
  <c r="P150" i="6"/>
  <c r="Q149" i="6"/>
  <c r="P149" i="6"/>
  <c r="Q148" i="6"/>
  <c r="P148" i="6"/>
  <c r="M148" i="6"/>
  <c r="Q145" i="6"/>
  <c r="P145" i="6"/>
  <c r="Q144" i="6"/>
  <c r="P144" i="6"/>
  <c r="Q143" i="6"/>
  <c r="P143" i="6"/>
  <c r="Q142" i="6"/>
  <c r="P142" i="6"/>
  <c r="M142" i="6"/>
  <c r="Q139" i="6"/>
  <c r="P139" i="6"/>
  <c r="Q138" i="6"/>
  <c r="P138" i="6"/>
  <c r="Q137" i="6"/>
  <c r="P137" i="6"/>
  <c r="Q136" i="6"/>
  <c r="P136" i="6"/>
  <c r="M136" i="6"/>
  <c r="Q133" i="6"/>
  <c r="P133" i="6"/>
  <c r="Q132" i="6"/>
  <c r="P132" i="6"/>
  <c r="Q131" i="6"/>
  <c r="P131" i="6"/>
  <c r="Q130" i="6"/>
  <c r="P130" i="6"/>
  <c r="M130" i="6"/>
  <c r="Q127" i="6"/>
  <c r="P127" i="6"/>
  <c r="Q126" i="6"/>
  <c r="P126" i="6"/>
  <c r="Q125" i="6"/>
  <c r="P125" i="6"/>
  <c r="Q124" i="6"/>
  <c r="P124" i="6"/>
  <c r="M124" i="6"/>
  <c r="Q121" i="6"/>
  <c r="P121" i="6"/>
  <c r="Q120" i="6"/>
  <c r="P120" i="6"/>
  <c r="Q119" i="6"/>
  <c r="P119" i="6"/>
  <c r="Q118" i="6"/>
  <c r="P118" i="6"/>
  <c r="M118" i="6"/>
  <c r="Q115" i="6"/>
  <c r="P115" i="6"/>
  <c r="Q114" i="6"/>
  <c r="P114" i="6"/>
  <c r="Q113" i="6"/>
  <c r="P113" i="6"/>
  <c r="Q112" i="6"/>
  <c r="P112" i="6"/>
  <c r="M112" i="6"/>
  <c r="Q109" i="6"/>
  <c r="P109" i="6"/>
  <c r="Q108" i="6"/>
  <c r="P108" i="6"/>
  <c r="Q107" i="6"/>
  <c r="P107" i="6"/>
  <c r="Q106" i="6"/>
  <c r="P106" i="6"/>
  <c r="M106" i="6"/>
  <c r="Q103" i="6"/>
  <c r="P103" i="6"/>
  <c r="Q102" i="6"/>
  <c r="P102" i="6"/>
  <c r="Q101" i="6"/>
  <c r="P101" i="6"/>
  <c r="Q100" i="6"/>
  <c r="P100" i="6"/>
  <c r="G135" i="4" s="1"/>
  <c r="H131" i="4" s="1"/>
  <c r="M100" i="6"/>
  <c r="Q97" i="6"/>
  <c r="P97" i="6"/>
  <c r="Q96" i="6"/>
  <c r="P96" i="6"/>
  <c r="Q95" i="6"/>
  <c r="P95" i="6"/>
  <c r="Q94" i="6"/>
  <c r="P94" i="6"/>
  <c r="M94" i="6"/>
  <c r="Q91" i="6"/>
  <c r="P91" i="6"/>
  <c r="Q90" i="6"/>
  <c r="P90" i="6"/>
  <c r="Q89" i="6"/>
  <c r="P89" i="6"/>
  <c r="Q88" i="6"/>
  <c r="P88" i="6"/>
  <c r="M88" i="6"/>
  <c r="Q85" i="6"/>
  <c r="P85" i="6"/>
  <c r="Q84" i="6"/>
  <c r="P84" i="6"/>
  <c r="Q83" i="6"/>
  <c r="P83" i="6"/>
  <c r="Q82" i="6"/>
  <c r="P82" i="6"/>
  <c r="M82" i="6"/>
  <c r="Q79" i="6"/>
  <c r="P79" i="6"/>
  <c r="Q78" i="6"/>
  <c r="P78" i="6"/>
  <c r="Q77" i="6"/>
  <c r="P77" i="6"/>
  <c r="Q76" i="6"/>
  <c r="P76" i="6"/>
  <c r="G140" i="4" s="1"/>
  <c r="M76" i="6"/>
  <c r="Q73" i="6"/>
  <c r="P73" i="6"/>
  <c r="Q72" i="6"/>
  <c r="P72" i="6"/>
  <c r="Q71" i="6"/>
  <c r="P71" i="6"/>
  <c r="Q70" i="6"/>
  <c r="P70" i="6"/>
  <c r="M70" i="6"/>
  <c r="Q67" i="6"/>
  <c r="P67" i="6"/>
  <c r="Q66" i="6"/>
  <c r="P66" i="6"/>
  <c r="Q65" i="6"/>
  <c r="P65" i="6"/>
  <c r="Q64" i="6"/>
  <c r="P64" i="6"/>
  <c r="M64" i="6"/>
  <c r="Q61" i="6"/>
  <c r="P61" i="6"/>
  <c r="Q60" i="6"/>
  <c r="P60" i="6"/>
  <c r="Q59" i="6"/>
  <c r="P59" i="6"/>
  <c r="Q58" i="6"/>
  <c r="P58" i="6"/>
  <c r="M58" i="6"/>
  <c r="Q55" i="6"/>
  <c r="P55" i="6"/>
  <c r="Q54" i="6"/>
  <c r="P54" i="6"/>
  <c r="Q53" i="6"/>
  <c r="P53" i="6"/>
  <c r="Q52" i="6"/>
  <c r="P52" i="6"/>
  <c r="M52" i="6"/>
  <c r="Q49" i="6"/>
  <c r="P49" i="6"/>
  <c r="Q48" i="6"/>
  <c r="P48" i="6"/>
  <c r="Q47" i="6"/>
  <c r="P47" i="6"/>
  <c r="Q46" i="6"/>
  <c r="P46" i="6"/>
  <c r="M46" i="6"/>
  <c r="Q43" i="6"/>
  <c r="P43" i="6"/>
  <c r="Q42" i="6"/>
  <c r="P42" i="6"/>
  <c r="Q41" i="6"/>
  <c r="P41" i="6"/>
  <c r="Q40" i="6"/>
  <c r="P40" i="6"/>
  <c r="M40" i="6"/>
  <c r="Q37" i="6"/>
  <c r="P37" i="6"/>
  <c r="Q36" i="6"/>
  <c r="P36" i="6"/>
  <c r="Q35" i="6"/>
  <c r="P35" i="6"/>
  <c r="Q34" i="6"/>
  <c r="P34" i="6"/>
  <c r="M34" i="6"/>
  <c r="Q31" i="6"/>
  <c r="P31" i="6"/>
  <c r="Q30" i="6"/>
  <c r="P30" i="6"/>
  <c r="Q29" i="6"/>
  <c r="P29" i="6"/>
  <c r="Q28" i="6"/>
  <c r="P28" i="6"/>
  <c r="M28" i="6"/>
  <c r="Q25" i="6"/>
  <c r="P25" i="6"/>
  <c r="Q24" i="6"/>
  <c r="P24" i="6"/>
  <c r="Q23" i="6"/>
  <c r="P23" i="6"/>
  <c r="Q22" i="6"/>
  <c r="P22" i="6"/>
  <c r="M22" i="6"/>
  <c r="Q19" i="6"/>
  <c r="P19" i="6"/>
  <c r="Q18" i="6"/>
  <c r="P18" i="6"/>
  <c r="Q17" i="6"/>
  <c r="P17" i="6"/>
  <c r="Q16" i="6"/>
  <c r="P16" i="6"/>
  <c r="M16" i="6"/>
  <c r="Q13" i="6"/>
  <c r="P13" i="6"/>
  <c r="Q12" i="6"/>
  <c r="P12" i="6"/>
  <c r="Q11" i="6"/>
  <c r="P11" i="6"/>
  <c r="Q10" i="6"/>
  <c r="P10" i="6"/>
  <c r="M10" i="6"/>
  <c r="Q7" i="6"/>
  <c r="P7" i="6"/>
  <c r="Q6" i="6"/>
  <c r="P6" i="6"/>
  <c r="Q5" i="6"/>
  <c r="P5" i="6"/>
  <c r="Q4" i="6"/>
  <c r="P4" i="6"/>
  <c r="G28" i="4" s="1"/>
  <c r="M4" i="6"/>
  <c r="M3" i="6"/>
  <c r="L128" i="5"/>
  <c r="L120" i="5"/>
  <c r="L112" i="5"/>
  <c r="L104" i="5"/>
  <c r="L96" i="5"/>
  <c r="L88" i="5"/>
  <c r="L56" i="5"/>
  <c r="L48" i="5"/>
  <c r="L41" i="5"/>
  <c r="L34" i="5"/>
  <c r="L27" i="5"/>
  <c r="Z26" i="5"/>
  <c r="Z25" i="5"/>
  <c r="Z24" i="5"/>
  <c r="Z23" i="5"/>
  <c r="Z22" i="5"/>
  <c r="Z21" i="5"/>
  <c r="Z20" i="5"/>
  <c r="Z19" i="5"/>
  <c r="Z18" i="5"/>
  <c r="Z17" i="5"/>
  <c r="L17" i="5"/>
  <c r="Z16" i="5"/>
  <c r="Z15" i="5"/>
  <c r="Z14" i="5"/>
  <c r="Z13" i="5"/>
  <c r="Z12" i="5"/>
  <c r="AE11" i="5"/>
  <c r="AD11" i="5"/>
  <c r="AC11" i="5"/>
  <c r="AB11" i="5"/>
  <c r="AA11" i="5"/>
  <c r="U11" i="5"/>
  <c r="S11" i="5"/>
  <c r="Q11" i="5"/>
  <c r="O11" i="5"/>
  <c r="B8" i="5"/>
  <c r="B7" i="5"/>
  <c r="L6" i="5"/>
  <c r="B6" i="5"/>
  <c r="B5" i="5"/>
  <c r="L5" i="5" s="1"/>
  <c r="L4" i="5"/>
  <c r="B4" i="5"/>
  <c r="L3" i="5"/>
  <c r="N154" i="4"/>
  <c r="F154" i="4"/>
  <c r="J154" i="4" s="1"/>
  <c r="D154" i="4"/>
  <c r="A154" i="4"/>
  <c r="E154" i="4" s="1"/>
  <c r="J153" i="4"/>
  <c r="F153" i="4"/>
  <c r="G153" i="4" s="1"/>
  <c r="A153" i="4"/>
  <c r="F152" i="4"/>
  <c r="D152" i="4"/>
  <c r="C152" i="4"/>
  <c r="B152" i="4"/>
  <c r="A152" i="4"/>
  <c r="E152" i="4" s="1"/>
  <c r="F150" i="4"/>
  <c r="C150" i="4"/>
  <c r="A150" i="4"/>
  <c r="E150" i="4" s="1"/>
  <c r="J149" i="4"/>
  <c r="F149" i="4"/>
  <c r="E149" i="4"/>
  <c r="C149" i="4"/>
  <c r="A149" i="4"/>
  <c r="D149" i="4" s="1"/>
  <c r="F148" i="4"/>
  <c r="J148" i="4" s="1"/>
  <c r="N148" i="4" s="1"/>
  <c r="O148" i="4" s="1"/>
  <c r="B148" i="4"/>
  <c r="A148" i="4"/>
  <c r="F145" i="4"/>
  <c r="E145" i="4"/>
  <c r="A145" i="4"/>
  <c r="C145" i="4" s="1"/>
  <c r="J144" i="4"/>
  <c r="F144" i="4"/>
  <c r="A144" i="4"/>
  <c r="F143" i="4"/>
  <c r="D143" i="4"/>
  <c r="C143" i="4"/>
  <c r="B143" i="4"/>
  <c r="A143" i="4"/>
  <c r="E143" i="4" s="1"/>
  <c r="F141" i="4"/>
  <c r="J141" i="4" s="1"/>
  <c r="K141" i="4" s="1"/>
  <c r="D141" i="4"/>
  <c r="A141" i="4"/>
  <c r="J140" i="4"/>
  <c r="F140" i="4"/>
  <c r="E140" i="4"/>
  <c r="C140" i="4"/>
  <c r="A140" i="4"/>
  <c r="D140" i="4" s="1"/>
  <c r="F139" i="4"/>
  <c r="A139" i="4"/>
  <c r="F136" i="4"/>
  <c r="E136" i="4"/>
  <c r="D136" i="4"/>
  <c r="A136" i="4"/>
  <c r="C136" i="4" s="1"/>
  <c r="J135" i="4"/>
  <c r="F135" i="4"/>
  <c r="D135" i="4"/>
  <c r="C135" i="4"/>
  <c r="A135" i="4"/>
  <c r="E135" i="4" s="1"/>
  <c r="N134" i="4"/>
  <c r="J134" i="4"/>
  <c r="K134" i="4" s="1"/>
  <c r="F134" i="4"/>
  <c r="G134" i="4" s="1"/>
  <c r="E134" i="4"/>
  <c r="B134" i="4"/>
  <c r="A134" i="4"/>
  <c r="F132" i="4"/>
  <c r="A132" i="4"/>
  <c r="C132" i="4" s="1"/>
  <c r="J131" i="4"/>
  <c r="G131" i="4"/>
  <c r="F131" i="4"/>
  <c r="E131" i="4"/>
  <c r="D131" i="4"/>
  <c r="C131" i="4"/>
  <c r="A131" i="4"/>
  <c r="O130" i="4"/>
  <c r="H130" i="4"/>
  <c r="G130" i="4"/>
  <c r="F130" i="4"/>
  <c r="J130" i="4" s="1"/>
  <c r="N130" i="4" s="1"/>
  <c r="R130" i="4" s="1"/>
  <c r="V130" i="4" s="1"/>
  <c r="W130" i="4" s="1"/>
  <c r="E130" i="4"/>
  <c r="A130" i="4"/>
  <c r="B130" i="4" s="1"/>
  <c r="N126" i="4"/>
  <c r="F126" i="4"/>
  <c r="J126" i="4" s="1"/>
  <c r="K126" i="4" s="1"/>
  <c r="D126" i="4"/>
  <c r="C126" i="4"/>
  <c r="A126" i="4"/>
  <c r="E126" i="4" s="1"/>
  <c r="J125" i="4"/>
  <c r="F125" i="4"/>
  <c r="G125" i="4" s="1"/>
  <c r="A125" i="4"/>
  <c r="F124" i="4"/>
  <c r="D124" i="4"/>
  <c r="C124" i="4"/>
  <c r="B124" i="4"/>
  <c r="A124" i="4"/>
  <c r="E124" i="4" s="1"/>
  <c r="F122" i="4"/>
  <c r="A122" i="4"/>
  <c r="E122" i="4" s="1"/>
  <c r="J121" i="4"/>
  <c r="F121" i="4"/>
  <c r="E121" i="4"/>
  <c r="C121" i="4"/>
  <c r="A121" i="4"/>
  <c r="D121" i="4" s="1"/>
  <c r="F120" i="4"/>
  <c r="A120" i="4"/>
  <c r="F117" i="4"/>
  <c r="G117" i="4" s="1"/>
  <c r="E117" i="4"/>
  <c r="D117" i="4"/>
  <c r="A117" i="4"/>
  <c r="C117" i="4" s="1"/>
  <c r="J116" i="4"/>
  <c r="G116" i="4"/>
  <c r="F116" i="4"/>
  <c r="D116" i="4"/>
  <c r="C116" i="4"/>
  <c r="A116" i="4"/>
  <c r="E116" i="4" s="1"/>
  <c r="F115" i="4"/>
  <c r="A115" i="4"/>
  <c r="F113" i="4"/>
  <c r="G113" i="4" s="1"/>
  <c r="H113" i="4" s="1"/>
  <c r="E113" i="4"/>
  <c r="D113" i="4"/>
  <c r="A113" i="4"/>
  <c r="C113" i="4" s="1"/>
  <c r="J112" i="4"/>
  <c r="F112" i="4"/>
  <c r="E112" i="4"/>
  <c r="D112" i="4"/>
  <c r="C112" i="4"/>
  <c r="A112" i="4"/>
  <c r="F111" i="4"/>
  <c r="J111" i="4" s="1"/>
  <c r="N111" i="4" s="1"/>
  <c r="R111" i="4" s="1"/>
  <c r="V111" i="4" s="1"/>
  <c r="E111" i="4"/>
  <c r="D111" i="4"/>
  <c r="C111" i="4"/>
  <c r="A111" i="4"/>
  <c r="B111" i="4" s="1"/>
  <c r="J108" i="4"/>
  <c r="K108" i="4" s="1"/>
  <c r="G108" i="4"/>
  <c r="F108" i="4"/>
  <c r="D108" i="4"/>
  <c r="C108" i="4"/>
  <c r="A108" i="4"/>
  <c r="E108" i="4" s="1"/>
  <c r="F107" i="4"/>
  <c r="A107" i="4"/>
  <c r="F106" i="4"/>
  <c r="D106" i="4"/>
  <c r="C106" i="4"/>
  <c r="B106" i="4"/>
  <c r="A106" i="4"/>
  <c r="E106" i="4" s="1"/>
  <c r="F104" i="4"/>
  <c r="D104" i="4"/>
  <c r="C104" i="4"/>
  <c r="A104" i="4"/>
  <c r="E104" i="4" s="1"/>
  <c r="F103" i="4"/>
  <c r="J103" i="4" s="1"/>
  <c r="C103" i="4"/>
  <c r="A103" i="4"/>
  <c r="F102" i="4"/>
  <c r="A102" i="4"/>
  <c r="N98" i="4"/>
  <c r="J98" i="4"/>
  <c r="K98" i="4" s="1"/>
  <c r="F98" i="4"/>
  <c r="G98" i="4" s="1"/>
  <c r="A98" i="4"/>
  <c r="R97" i="4"/>
  <c r="S97" i="4" s="1"/>
  <c r="O97" i="4"/>
  <c r="N97" i="4"/>
  <c r="J97" i="4"/>
  <c r="K97" i="4" s="1"/>
  <c r="F97" i="4"/>
  <c r="G97" i="4" s="1"/>
  <c r="C97" i="4"/>
  <c r="A97" i="4"/>
  <c r="N96" i="4"/>
  <c r="K96" i="4"/>
  <c r="J96" i="4"/>
  <c r="F96" i="4"/>
  <c r="G96" i="4" s="1"/>
  <c r="E96" i="4"/>
  <c r="A96" i="4"/>
  <c r="V94" i="4"/>
  <c r="W94" i="4" s="1"/>
  <c r="S94" i="4"/>
  <c r="O94" i="4"/>
  <c r="N94" i="4"/>
  <c r="R94" i="4" s="1"/>
  <c r="J94" i="4"/>
  <c r="K94" i="4" s="1"/>
  <c r="L94" i="4" s="1"/>
  <c r="H94" i="4"/>
  <c r="F94" i="4"/>
  <c r="G94" i="4" s="1"/>
  <c r="A94" i="4"/>
  <c r="C94" i="4" s="1"/>
  <c r="N93" i="4"/>
  <c r="L93" i="4"/>
  <c r="J93" i="4"/>
  <c r="K93" i="4" s="1"/>
  <c r="G93" i="4"/>
  <c r="H93" i="4" s="1"/>
  <c r="F93" i="4"/>
  <c r="E93" i="4"/>
  <c r="D93" i="4"/>
  <c r="C93" i="4"/>
  <c r="A93" i="4"/>
  <c r="W92" i="4"/>
  <c r="O92" i="4"/>
  <c r="N92" i="4"/>
  <c r="R92" i="4" s="1"/>
  <c r="V92" i="4" s="1"/>
  <c r="G92" i="4"/>
  <c r="H92" i="4" s="1"/>
  <c r="F92" i="4"/>
  <c r="A92" i="4"/>
  <c r="R89" i="4"/>
  <c r="S89" i="4" s="1"/>
  <c r="O89" i="4"/>
  <c r="N89" i="4"/>
  <c r="J89" i="4"/>
  <c r="K89" i="4" s="1"/>
  <c r="F89" i="4"/>
  <c r="G89" i="4" s="1"/>
  <c r="A89" i="4"/>
  <c r="E89" i="4" s="1"/>
  <c r="N88" i="4"/>
  <c r="O88" i="4" s="1"/>
  <c r="K88" i="4"/>
  <c r="J88" i="4"/>
  <c r="F88" i="4"/>
  <c r="G88" i="4" s="1"/>
  <c r="E88" i="4"/>
  <c r="D88" i="4"/>
  <c r="A88" i="4"/>
  <c r="C88" i="4" s="1"/>
  <c r="R87" i="4"/>
  <c r="N87" i="4"/>
  <c r="O87" i="4" s="1"/>
  <c r="J87" i="4"/>
  <c r="K87" i="4" s="1"/>
  <c r="G87" i="4"/>
  <c r="F87" i="4"/>
  <c r="D87" i="4"/>
  <c r="C87" i="4"/>
  <c r="B87" i="4"/>
  <c r="A87" i="4"/>
  <c r="E87" i="4" s="1"/>
  <c r="N85" i="4"/>
  <c r="K85" i="4"/>
  <c r="L85" i="4" s="1"/>
  <c r="J85" i="4"/>
  <c r="H85" i="4"/>
  <c r="F85" i="4"/>
  <c r="G85" i="4" s="1"/>
  <c r="D85" i="4"/>
  <c r="C85" i="4"/>
  <c r="A85" i="4"/>
  <c r="E85" i="4" s="1"/>
  <c r="V84" i="4"/>
  <c r="W84" i="4" s="1"/>
  <c r="R84" i="4"/>
  <c r="S84" i="4" s="1"/>
  <c r="O84" i="4"/>
  <c r="P84" i="4" s="1"/>
  <c r="E61" i="3" s="1"/>
  <c r="N84" i="4"/>
  <c r="J84" i="4"/>
  <c r="K84" i="4" s="1"/>
  <c r="L84" i="4" s="1"/>
  <c r="G84" i="4"/>
  <c r="H84" i="4" s="1"/>
  <c r="F84" i="4"/>
  <c r="A84" i="4"/>
  <c r="V83" i="4"/>
  <c r="W83" i="4" s="1"/>
  <c r="R83" i="4"/>
  <c r="S83" i="4" s="1"/>
  <c r="O83" i="4"/>
  <c r="N83" i="4"/>
  <c r="F83" i="4"/>
  <c r="G83" i="4" s="1"/>
  <c r="H83" i="4" s="1"/>
  <c r="I83" i="4" s="1"/>
  <c r="E83" i="4"/>
  <c r="A83" i="4"/>
  <c r="D83" i="4" s="1"/>
  <c r="N80" i="4"/>
  <c r="O80" i="4" s="1"/>
  <c r="K80" i="4"/>
  <c r="J80" i="4"/>
  <c r="F80" i="4"/>
  <c r="G80" i="4" s="1"/>
  <c r="E80" i="4"/>
  <c r="D80" i="4"/>
  <c r="A80" i="4"/>
  <c r="C80" i="4" s="1"/>
  <c r="R79" i="4"/>
  <c r="N79" i="4"/>
  <c r="O79" i="4" s="1"/>
  <c r="J79" i="4"/>
  <c r="K79" i="4" s="1"/>
  <c r="F79" i="4"/>
  <c r="G79" i="4" s="1"/>
  <c r="E79" i="4"/>
  <c r="D79" i="4"/>
  <c r="A79" i="4"/>
  <c r="C79" i="4" s="1"/>
  <c r="N78" i="4"/>
  <c r="J78" i="4"/>
  <c r="K78" i="4" s="1"/>
  <c r="F78" i="4"/>
  <c r="G78" i="4" s="1"/>
  <c r="D78" i="4"/>
  <c r="C78" i="4"/>
  <c r="B78" i="4"/>
  <c r="A78" i="4"/>
  <c r="E78" i="4" s="1"/>
  <c r="V76" i="4"/>
  <c r="W76" i="4" s="1"/>
  <c r="R76" i="4"/>
  <c r="S76" i="4" s="1"/>
  <c r="P76" i="4"/>
  <c r="F60" i="3" s="1"/>
  <c r="N76" i="4"/>
  <c r="O76" i="4" s="1"/>
  <c r="K76" i="4"/>
  <c r="L76" i="4" s="1"/>
  <c r="J76" i="4"/>
  <c r="F76" i="4"/>
  <c r="G76" i="4" s="1"/>
  <c r="H76" i="4" s="1"/>
  <c r="A76" i="4"/>
  <c r="V75" i="4"/>
  <c r="W75" i="4" s="1"/>
  <c r="R75" i="4"/>
  <c r="S75" i="4" s="1"/>
  <c r="O75" i="4"/>
  <c r="N75" i="4"/>
  <c r="J75" i="4"/>
  <c r="K75" i="4" s="1"/>
  <c r="L75" i="4" s="1"/>
  <c r="E40" i="3" s="1"/>
  <c r="F75" i="4"/>
  <c r="G75" i="4" s="1"/>
  <c r="H75" i="4" s="1"/>
  <c r="I74" i="4" s="1"/>
  <c r="E75" i="4"/>
  <c r="A75" i="4"/>
  <c r="D75" i="4" s="1"/>
  <c r="N74" i="4"/>
  <c r="O74" i="4" s="1"/>
  <c r="F74" i="4"/>
  <c r="G74" i="4" s="1"/>
  <c r="H74" i="4" s="1"/>
  <c r="E74" i="4"/>
  <c r="A74" i="4"/>
  <c r="J70" i="4"/>
  <c r="F70" i="4"/>
  <c r="G70" i="4" s="1"/>
  <c r="E70" i="4"/>
  <c r="D70" i="4"/>
  <c r="A70" i="4"/>
  <c r="C70" i="4" s="1"/>
  <c r="G69" i="4"/>
  <c r="F69" i="4"/>
  <c r="J69" i="4" s="1"/>
  <c r="K69" i="4" s="1"/>
  <c r="C69" i="4"/>
  <c r="A69" i="4"/>
  <c r="S68" i="4"/>
  <c r="R68" i="4"/>
  <c r="V68" i="4" s="1"/>
  <c r="W68" i="4" s="1"/>
  <c r="K68" i="4"/>
  <c r="J68" i="4"/>
  <c r="N68" i="4" s="1"/>
  <c r="O68" i="4" s="1"/>
  <c r="F68" i="4"/>
  <c r="G68" i="4" s="1"/>
  <c r="E68" i="4"/>
  <c r="D68" i="4"/>
  <c r="A68" i="4"/>
  <c r="S66" i="4"/>
  <c r="N66" i="4"/>
  <c r="R66" i="4" s="1"/>
  <c r="V66" i="4" s="1"/>
  <c r="W66" i="4" s="1"/>
  <c r="J66" i="4"/>
  <c r="K66" i="4" s="1"/>
  <c r="H66" i="4"/>
  <c r="F66" i="4"/>
  <c r="G66" i="4" s="1"/>
  <c r="E66" i="4"/>
  <c r="D66" i="4"/>
  <c r="A66" i="4"/>
  <c r="C66" i="4" s="1"/>
  <c r="R65" i="4"/>
  <c r="N65" i="4"/>
  <c r="O65" i="4" s="1"/>
  <c r="L65" i="4"/>
  <c r="J65" i="4"/>
  <c r="K65" i="4" s="1"/>
  <c r="H65" i="4"/>
  <c r="G65" i="4"/>
  <c r="F65" i="4"/>
  <c r="E65" i="4"/>
  <c r="D65" i="4"/>
  <c r="C65" i="4"/>
  <c r="A65" i="4"/>
  <c r="W64" i="4"/>
  <c r="X64" i="4" s="1"/>
  <c r="S64" i="4"/>
  <c r="T64" i="4" s="1"/>
  <c r="O64" i="4"/>
  <c r="P64" i="4" s="1"/>
  <c r="K64" i="4"/>
  <c r="L64" i="4" s="1"/>
  <c r="G64" i="4"/>
  <c r="H64" i="4" s="1"/>
  <c r="F64" i="4"/>
  <c r="J64" i="4" s="1"/>
  <c r="N64" i="4" s="1"/>
  <c r="R64" i="4" s="1"/>
  <c r="V64" i="4" s="1"/>
  <c r="D64" i="4"/>
  <c r="C64" i="4"/>
  <c r="A64" i="4"/>
  <c r="B64" i="4" s="1"/>
  <c r="N61" i="4"/>
  <c r="F61" i="4"/>
  <c r="J61" i="4" s="1"/>
  <c r="K61" i="4" s="1"/>
  <c r="A61" i="4"/>
  <c r="J60" i="4"/>
  <c r="F60" i="4"/>
  <c r="G60" i="4" s="1"/>
  <c r="E60" i="4"/>
  <c r="D60" i="4"/>
  <c r="A60" i="4"/>
  <c r="C60" i="4" s="1"/>
  <c r="N59" i="4"/>
  <c r="F59" i="4"/>
  <c r="J59" i="4" s="1"/>
  <c r="K59" i="4" s="1"/>
  <c r="D59" i="4"/>
  <c r="C59" i="4"/>
  <c r="B59" i="4"/>
  <c r="A59" i="4"/>
  <c r="E59" i="4" s="1"/>
  <c r="K57" i="4"/>
  <c r="L57" i="4" s="1"/>
  <c r="F38" i="3" s="1"/>
  <c r="F57" i="4"/>
  <c r="J57" i="4" s="1"/>
  <c r="N57" i="4" s="1"/>
  <c r="O57" i="4" s="1"/>
  <c r="A57" i="4"/>
  <c r="O56" i="4"/>
  <c r="J56" i="4"/>
  <c r="N56" i="4" s="1"/>
  <c r="R56" i="4" s="1"/>
  <c r="S56" i="4" s="1"/>
  <c r="F56" i="4"/>
  <c r="G56" i="4" s="1"/>
  <c r="H56" i="4" s="1"/>
  <c r="E56" i="4"/>
  <c r="A56" i="4"/>
  <c r="F55" i="4"/>
  <c r="G55" i="4" s="1"/>
  <c r="E55" i="4"/>
  <c r="A55" i="4"/>
  <c r="R52" i="4"/>
  <c r="J52" i="4"/>
  <c r="N52" i="4" s="1"/>
  <c r="O52" i="4" s="1"/>
  <c r="F52" i="4"/>
  <c r="G52" i="4" s="1"/>
  <c r="E52" i="4"/>
  <c r="D52" i="4"/>
  <c r="A52" i="4"/>
  <c r="C52" i="4" s="1"/>
  <c r="F51" i="4"/>
  <c r="A51" i="4"/>
  <c r="R50" i="4"/>
  <c r="J50" i="4"/>
  <c r="N50" i="4" s="1"/>
  <c r="F50" i="4"/>
  <c r="E50" i="4"/>
  <c r="A50" i="4"/>
  <c r="J48" i="4"/>
  <c r="F48" i="4"/>
  <c r="G48" i="4" s="1"/>
  <c r="H48" i="4" s="1"/>
  <c r="E48" i="4"/>
  <c r="D48" i="4"/>
  <c r="A48" i="4"/>
  <c r="C48" i="4" s="1"/>
  <c r="N47" i="4"/>
  <c r="O47" i="4" s="1"/>
  <c r="J47" i="4"/>
  <c r="K47" i="4" s="1"/>
  <c r="G47" i="4"/>
  <c r="F47" i="4"/>
  <c r="E47" i="4"/>
  <c r="D47" i="4"/>
  <c r="C47" i="4"/>
  <c r="A47" i="4"/>
  <c r="F46" i="4"/>
  <c r="J46" i="4" s="1"/>
  <c r="N46" i="4" s="1"/>
  <c r="R46" i="4" s="1"/>
  <c r="V46" i="4" s="1"/>
  <c r="W46" i="4" s="1"/>
  <c r="D46" i="4"/>
  <c r="C46" i="4"/>
  <c r="A46" i="4"/>
  <c r="B46" i="4" s="1"/>
  <c r="G42" i="4"/>
  <c r="F42" i="4"/>
  <c r="J42" i="4" s="1"/>
  <c r="K42" i="4" s="1"/>
  <c r="C42" i="4"/>
  <c r="A42" i="4"/>
  <c r="S41" i="4"/>
  <c r="R41" i="4"/>
  <c r="V41" i="4" s="1"/>
  <c r="W41" i="4" s="1"/>
  <c r="K41" i="4"/>
  <c r="J41" i="4"/>
  <c r="N41" i="4" s="1"/>
  <c r="O41" i="4" s="1"/>
  <c r="F41" i="4"/>
  <c r="G41" i="4" s="1"/>
  <c r="E41" i="4"/>
  <c r="D41" i="4"/>
  <c r="A41" i="4"/>
  <c r="C41" i="4" s="1"/>
  <c r="F40" i="4"/>
  <c r="D40" i="4"/>
  <c r="C40" i="4"/>
  <c r="B40" i="4"/>
  <c r="A40" i="4"/>
  <c r="E40" i="4" s="1"/>
  <c r="F38" i="4"/>
  <c r="C38" i="4"/>
  <c r="A38" i="4"/>
  <c r="E38" i="4" s="1"/>
  <c r="J37" i="4"/>
  <c r="F37" i="4"/>
  <c r="G37" i="4" s="1"/>
  <c r="H37" i="4" s="1"/>
  <c r="E37" i="4"/>
  <c r="C37" i="4"/>
  <c r="A37" i="4"/>
  <c r="D37" i="4" s="1"/>
  <c r="F36" i="4"/>
  <c r="A36" i="4"/>
  <c r="N33" i="4"/>
  <c r="J33" i="4"/>
  <c r="K33" i="4" s="1"/>
  <c r="F33" i="4"/>
  <c r="E33" i="4"/>
  <c r="A33" i="4"/>
  <c r="C33" i="4" s="1"/>
  <c r="J32" i="4"/>
  <c r="F32" i="4"/>
  <c r="G32" i="4" s="1"/>
  <c r="H28" i="4" s="1"/>
  <c r="D32" i="4"/>
  <c r="C32" i="4"/>
  <c r="A32" i="4"/>
  <c r="E32" i="4" s="1"/>
  <c r="F31" i="4"/>
  <c r="A31" i="4"/>
  <c r="F29" i="4"/>
  <c r="E29" i="4"/>
  <c r="A29" i="4"/>
  <c r="C29" i="4" s="1"/>
  <c r="J28" i="4"/>
  <c r="F28" i="4"/>
  <c r="E28" i="4"/>
  <c r="D28" i="4"/>
  <c r="C28" i="4"/>
  <c r="A28" i="4"/>
  <c r="S27" i="4"/>
  <c r="G27" i="4"/>
  <c r="F27" i="4"/>
  <c r="J27" i="4" s="1"/>
  <c r="N27" i="4" s="1"/>
  <c r="R27" i="4" s="1"/>
  <c r="V27" i="4" s="1"/>
  <c r="W27" i="4" s="1"/>
  <c r="D27" i="4"/>
  <c r="A27" i="4"/>
  <c r="B27" i="4" s="1"/>
  <c r="J24" i="4"/>
  <c r="F24" i="4"/>
  <c r="G24" i="4" s="1"/>
  <c r="D24" i="4"/>
  <c r="C24" i="4"/>
  <c r="A24" i="4"/>
  <c r="E24" i="4" s="1"/>
  <c r="F23" i="4"/>
  <c r="A23" i="4"/>
  <c r="C23" i="4" s="1"/>
  <c r="F22" i="4"/>
  <c r="J22" i="4" s="1"/>
  <c r="K22" i="4" s="1"/>
  <c r="D22" i="4"/>
  <c r="C22" i="4"/>
  <c r="B22" i="4"/>
  <c r="A22" i="4"/>
  <c r="E22" i="4" s="1"/>
  <c r="R20" i="4"/>
  <c r="N20" i="4"/>
  <c r="O20" i="4" s="1"/>
  <c r="K20" i="4"/>
  <c r="J20" i="4"/>
  <c r="G20" i="4"/>
  <c r="H20" i="4" s="1"/>
  <c r="E20" i="4"/>
  <c r="A20" i="4"/>
  <c r="D20" i="4" s="1"/>
  <c r="V19" i="4"/>
  <c r="W19" i="4" s="1"/>
  <c r="O19" i="4"/>
  <c r="K19" i="4"/>
  <c r="J19" i="4"/>
  <c r="N19" i="4" s="1"/>
  <c r="R19" i="4" s="1"/>
  <c r="S19" i="4" s="1"/>
  <c r="F19" i="4"/>
  <c r="G19" i="4" s="1"/>
  <c r="A19" i="4"/>
  <c r="J18" i="4"/>
  <c r="F18" i="4"/>
  <c r="G18" i="4" s="1"/>
  <c r="E18" i="4"/>
  <c r="A18" i="4"/>
  <c r="C18" i="4" s="1"/>
  <c r="A16" i="4"/>
  <c r="A14" i="4" s="1"/>
  <c r="A15" i="4"/>
  <c r="D14" i="4"/>
  <c r="D13" i="4"/>
  <c r="D12" i="4"/>
  <c r="D11" i="4"/>
  <c r="D10" i="4"/>
  <c r="B1" i="4" s="1"/>
  <c r="U108" i="3"/>
  <c r="T108" i="3"/>
  <c r="B108" i="3"/>
  <c r="A108" i="3"/>
  <c r="U107" i="3"/>
  <c r="T107" i="3"/>
  <c r="B107" i="3"/>
  <c r="A107" i="3"/>
  <c r="U106" i="3"/>
  <c r="T106" i="3"/>
  <c r="B106" i="3"/>
  <c r="A106" i="3"/>
  <c r="U105" i="3"/>
  <c r="T105" i="3"/>
  <c r="B105" i="3"/>
  <c r="A105" i="3"/>
  <c r="U104" i="3"/>
  <c r="T104" i="3"/>
  <c r="B104" i="3"/>
  <c r="A104" i="3"/>
  <c r="U103" i="3"/>
  <c r="T103" i="3"/>
  <c r="B103" i="3"/>
  <c r="A103" i="3"/>
  <c r="I97" i="3" s="1"/>
  <c r="U102" i="3"/>
  <c r="T102" i="3"/>
  <c r="B102" i="3"/>
  <c r="A102" i="3"/>
  <c r="U101" i="3"/>
  <c r="T101" i="3"/>
  <c r="B101" i="3"/>
  <c r="A101" i="3"/>
  <c r="U100" i="3"/>
  <c r="T100" i="3"/>
  <c r="B100" i="3"/>
  <c r="A100" i="3"/>
  <c r="U99" i="3"/>
  <c r="T99" i="3"/>
  <c r="D99" i="3"/>
  <c r="B99" i="3"/>
  <c r="A99" i="3"/>
  <c r="U98" i="3"/>
  <c r="T98" i="3"/>
  <c r="I98" i="3"/>
  <c r="B98" i="3"/>
  <c r="A98" i="3"/>
  <c r="U97" i="3"/>
  <c r="T97" i="3"/>
  <c r="W93" i="3" s="1"/>
  <c r="B97" i="3"/>
  <c r="A97" i="3"/>
  <c r="U96" i="3"/>
  <c r="T96" i="3"/>
  <c r="I96" i="3"/>
  <c r="B96" i="3"/>
  <c r="A96" i="3"/>
  <c r="U95" i="3"/>
  <c r="T95" i="3"/>
  <c r="I95" i="3"/>
  <c r="B95" i="3"/>
  <c r="A95" i="3"/>
  <c r="U94" i="3"/>
  <c r="T94" i="3"/>
  <c r="V93" i="3" s="1"/>
  <c r="I94" i="3"/>
  <c r="B94" i="3"/>
  <c r="A94" i="3"/>
  <c r="Z93" i="3"/>
  <c r="Y93" i="3"/>
  <c r="X93" i="3"/>
  <c r="U87" i="3"/>
  <c r="T87" i="3"/>
  <c r="B87" i="3"/>
  <c r="A87" i="3"/>
  <c r="U86" i="3"/>
  <c r="T86" i="3"/>
  <c r="B86" i="3"/>
  <c r="A86" i="3"/>
  <c r="U85" i="3"/>
  <c r="T85" i="3"/>
  <c r="B85" i="3"/>
  <c r="A85" i="3"/>
  <c r="U84" i="3"/>
  <c r="T84" i="3"/>
  <c r="B84" i="3"/>
  <c r="A84" i="3"/>
  <c r="U83" i="3"/>
  <c r="T83" i="3"/>
  <c r="B83" i="3"/>
  <c r="A83" i="3"/>
  <c r="U82" i="3"/>
  <c r="T82" i="3"/>
  <c r="Y72" i="3" s="1"/>
  <c r="B82" i="3"/>
  <c r="A82" i="3"/>
  <c r="I76" i="3" s="1"/>
  <c r="U81" i="3"/>
  <c r="T81" i="3"/>
  <c r="B81" i="3"/>
  <c r="A81" i="3"/>
  <c r="U80" i="3"/>
  <c r="T80" i="3"/>
  <c r="B80" i="3"/>
  <c r="A80" i="3"/>
  <c r="U79" i="3"/>
  <c r="T79" i="3"/>
  <c r="B79" i="3"/>
  <c r="A79" i="3"/>
  <c r="U78" i="3"/>
  <c r="T78" i="3"/>
  <c r="B78" i="3"/>
  <c r="A78" i="3"/>
  <c r="U77" i="3"/>
  <c r="T77" i="3"/>
  <c r="I77" i="3"/>
  <c r="B77" i="3"/>
  <c r="A77" i="3"/>
  <c r="U76" i="3"/>
  <c r="T76" i="3"/>
  <c r="B76" i="3"/>
  <c r="A76" i="3"/>
  <c r="I74" i="3" s="1"/>
  <c r="U75" i="3"/>
  <c r="T75" i="3"/>
  <c r="I75" i="3"/>
  <c r="B75" i="3"/>
  <c r="A75" i="3"/>
  <c r="U74" i="3"/>
  <c r="T74" i="3"/>
  <c r="B74" i="3"/>
  <c r="A74" i="3"/>
  <c r="U73" i="3"/>
  <c r="T73" i="3"/>
  <c r="V72" i="3" s="1"/>
  <c r="I73" i="3"/>
  <c r="B73" i="3"/>
  <c r="A73" i="3"/>
  <c r="Z72" i="3"/>
  <c r="X72" i="3"/>
  <c r="W72" i="3"/>
  <c r="U68" i="3"/>
  <c r="T68" i="3"/>
  <c r="B68" i="3"/>
  <c r="A68" i="3"/>
  <c r="U67" i="3"/>
  <c r="T67" i="3"/>
  <c r="B67" i="3"/>
  <c r="A67" i="3"/>
  <c r="U66" i="3"/>
  <c r="T66" i="3"/>
  <c r="Z53" i="3" s="1"/>
  <c r="B66" i="3"/>
  <c r="A66" i="3"/>
  <c r="U65" i="3"/>
  <c r="T65" i="3"/>
  <c r="B65" i="3"/>
  <c r="A65" i="3"/>
  <c r="U64" i="3"/>
  <c r="T64" i="3"/>
  <c r="B64" i="3"/>
  <c r="A64" i="3"/>
  <c r="U63" i="3"/>
  <c r="T63" i="3"/>
  <c r="B63" i="3"/>
  <c r="A63" i="3"/>
  <c r="I57" i="3" s="1"/>
  <c r="U62" i="3"/>
  <c r="T62" i="3"/>
  <c r="B62" i="3"/>
  <c r="A62" i="3"/>
  <c r="U61" i="3"/>
  <c r="T61" i="3"/>
  <c r="B61" i="3"/>
  <c r="A61" i="3"/>
  <c r="U60" i="3"/>
  <c r="T60" i="3"/>
  <c r="B60" i="3"/>
  <c r="A60" i="3"/>
  <c r="U59" i="3"/>
  <c r="T59" i="3"/>
  <c r="B59" i="3"/>
  <c r="A59" i="3"/>
  <c r="U58" i="3"/>
  <c r="T58" i="3"/>
  <c r="I58" i="3"/>
  <c r="B58" i="3"/>
  <c r="A58" i="3"/>
  <c r="U57" i="3"/>
  <c r="T57" i="3"/>
  <c r="W53" i="3" s="1"/>
  <c r="B57" i="3"/>
  <c r="A57" i="3"/>
  <c r="U56" i="3"/>
  <c r="T56" i="3"/>
  <c r="I56" i="3"/>
  <c r="B56" i="3"/>
  <c r="A56" i="3"/>
  <c r="U55" i="3"/>
  <c r="T55" i="3"/>
  <c r="I55" i="3"/>
  <c r="B55" i="3"/>
  <c r="A55" i="3"/>
  <c r="U54" i="3"/>
  <c r="T54" i="3"/>
  <c r="I54" i="3"/>
  <c r="B54" i="3"/>
  <c r="A54" i="3"/>
  <c r="Y53" i="3"/>
  <c r="X53" i="3"/>
  <c r="V53" i="3"/>
  <c r="U48" i="3"/>
  <c r="T48" i="3"/>
  <c r="B48" i="3"/>
  <c r="A48" i="3"/>
  <c r="U47" i="3"/>
  <c r="T47" i="3"/>
  <c r="B47" i="3"/>
  <c r="A47" i="3"/>
  <c r="U46" i="3"/>
  <c r="T46" i="3"/>
  <c r="B46" i="3"/>
  <c r="A46" i="3"/>
  <c r="I38" i="3" s="1"/>
  <c r="U45" i="3"/>
  <c r="T45" i="3"/>
  <c r="B45" i="3"/>
  <c r="A45" i="3"/>
  <c r="U44" i="3"/>
  <c r="T44" i="3"/>
  <c r="B44" i="3"/>
  <c r="A44" i="3"/>
  <c r="U43" i="3"/>
  <c r="T43" i="3"/>
  <c r="Y33" i="3" s="1"/>
  <c r="B43" i="3"/>
  <c r="A43" i="3"/>
  <c r="U42" i="3"/>
  <c r="T42" i="3"/>
  <c r="F42" i="3"/>
  <c r="E42" i="3"/>
  <c r="B42" i="3"/>
  <c r="A42" i="3"/>
  <c r="U41" i="3"/>
  <c r="T41" i="3"/>
  <c r="F41" i="3"/>
  <c r="E41" i="3"/>
  <c r="B41" i="3"/>
  <c r="A41" i="3"/>
  <c r="U40" i="3"/>
  <c r="T40" i="3"/>
  <c r="F40" i="3"/>
  <c r="B40" i="3"/>
  <c r="A40" i="3"/>
  <c r="U39" i="3"/>
  <c r="T39" i="3"/>
  <c r="E39" i="3"/>
  <c r="B39" i="3"/>
  <c r="A39" i="3"/>
  <c r="U38" i="3"/>
  <c r="T38" i="3"/>
  <c r="B38" i="3"/>
  <c r="A38" i="3"/>
  <c r="U37" i="3"/>
  <c r="T37" i="3"/>
  <c r="I37" i="3"/>
  <c r="B37" i="3"/>
  <c r="A37" i="3"/>
  <c r="I35" i="3" s="1"/>
  <c r="U36" i="3"/>
  <c r="T36" i="3"/>
  <c r="I36" i="3"/>
  <c r="B36" i="3"/>
  <c r="A36" i="3"/>
  <c r="U35" i="3"/>
  <c r="T35" i="3"/>
  <c r="B35" i="3"/>
  <c r="A35" i="3"/>
  <c r="U34" i="3"/>
  <c r="T34" i="3"/>
  <c r="V33" i="3" s="1"/>
  <c r="B34" i="3"/>
  <c r="A34" i="3"/>
  <c r="I34" i="3" s="1"/>
  <c r="Z33" i="3"/>
  <c r="X33" i="3"/>
  <c r="W33" i="3"/>
  <c r="U28" i="3"/>
  <c r="T28" i="3"/>
  <c r="B28" i="3"/>
  <c r="A28" i="3"/>
  <c r="U27" i="3"/>
  <c r="B27" i="3"/>
  <c r="A27" i="3"/>
  <c r="T27" i="3" s="1"/>
  <c r="U26" i="3"/>
  <c r="T26" i="3"/>
  <c r="Z13" i="3" s="1"/>
  <c r="B26" i="3"/>
  <c r="A26" i="3"/>
  <c r="U25" i="3"/>
  <c r="B25" i="3"/>
  <c r="A25" i="3"/>
  <c r="T25" i="3" s="1"/>
  <c r="U24" i="3"/>
  <c r="T24" i="3"/>
  <c r="B24" i="3"/>
  <c r="A24" i="3"/>
  <c r="U23" i="3"/>
  <c r="B23" i="3"/>
  <c r="A23" i="3"/>
  <c r="T23" i="3" s="1"/>
  <c r="T22" i="3"/>
  <c r="B22" i="3"/>
  <c r="U22" i="3" s="1"/>
  <c r="A22" i="3"/>
  <c r="U21" i="3"/>
  <c r="T21" i="3"/>
  <c r="B21" i="3"/>
  <c r="A21" i="3"/>
  <c r="U20" i="3"/>
  <c r="B20" i="3"/>
  <c r="A20" i="3"/>
  <c r="T20" i="3" s="1"/>
  <c r="T19" i="3"/>
  <c r="B19" i="3"/>
  <c r="U19" i="3" s="1"/>
  <c r="A19" i="3"/>
  <c r="U18" i="3"/>
  <c r="T18" i="3"/>
  <c r="I18" i="3"/>
  <c r="B18" i="3"/>
  <c r="A18" i="3"/>
  <c r="T17" i="3"/>
  <c r="I17" i="3"/>
  <c r="B17" i="3"/>
  <c r="U17" i="3" s="1"/>
  <c r="A17" i="3"/>
  <c r="U16" i="3"/>
  <c r="T16" i="3"/>
  <c r="I16" i="3"/>
  <c r="B16" i="3"/>
  <c r="A16" i="3"/>
  <c r="U15" i="3"/>
  <c r="I15" i="3"/>
  <c r="B15" i="3"/>
  <c r="A15" i="3"/>
  <c r="T15" i="3" s="1"/>
  <c r="U14" i="3"/>
  <c r="T14" i="3"/>
  <c r="V13" i="3" s="1"/>
  <c r="B14" i="3"/>
  <c r="A14" i="3"/>
  <c r="I14" i="3" s="1"/>
  <c r="Y13" i="3"/>
  <c r="X13" i="3"/>
  <c r="W13" i="3"/>
  <c r="C9" i="3"/>
  <c r="A9" i="3"/>
  <c r="C8" i="3"/>
  <c r="A8" i="3"/>
  <c r="C7" i="3"/>
  <c r="A7" i="3"/>
  <c r="C6" i="3"/>
  <c r="A6" i="3"/>
  <c r="C5" i="3"/>
  <c r="A1" i="3" s="1"/>
  <c r="A5" i="3"/>
  <c r="D230" i="2"/>
  <c r="G229" i="2"/>
  <c r="E229" i="2"/>
  <c r="D229" i="2"/>
  <c r="C229" i="2"/>
  <c r="D228" i="2"/>
  <c r="G227" i="2"/>
  <c r="H220" i="2" s="1"/>
  <c r="E28" i="3" s="1"/>
  <c r="E227" i="2"/>
  <c r="D227" i="2"/>
  <c r="C227" i="2"/>
  <c r="D226" i="2"/>
  <c r="G225" i="2"/>
  <c r="E225" i="2"/>
  <c r="D225" i="2"/>
  <c r="C225" i="2"/>
  <c r="B225" i="2"/>
  <c r="D223" i="2"/>
  <c r="G222" i="2"/>
  <c r="H222" i="2" s="1"/>
  <c r="F28" i="3" s="1"/>
  <c r="E222" i="2"/>
  <c r="D222" i="2"/>
  <c r="C222" i="2"/>
  <c r="D221" i="2"/>
  <c r="G220" i="2"/>
  <c r="E220" i="2"/>
  <c r="D220" i="2"/>
  <c r="C220" i="2"/>
  <c r="D219" i="2"/>
  <c r="H218" i="2"/>
  <c r="D28" i="3" s="1"/>
  <c r="G218" i="2"/>
  <c r="E218" i="2"/>
  <c r="D218" i="2"/>
  <c r="C218" i="2"/>
  <c r="B218" i="2"/>
  <c r="D216" i="2"/>
  <c r="G215" i="2"/>
  <c r="E215" i="2"/>
  <c r="D215" i="2"/>
  <c r="C215" i="2"/>
  <c r="D214" i="2"/>
  <c r="G213" i="2"/>
  <c r="H206" i="2" s="1"/>
  <c r="E27" i="3" s="1"/>
  <c r="E213" i="2"/>
  <c r="D213" i="2"/>
  <c r="C213" i="2"/>
  <c r="D212" i="2"/>
  <c r="G211" i="2"/>
  <c r="E211" i="2"/>
  <c r="D211" i="2"/>
  <c r="C211" i="2"/>
  <c r="B211" i="2"/>
  <c r="D209" i="2"/>
  <c r="G208" i="2"/>
  <c r="H208" i="2" s="1"/>
  <c r="F27" i="3" s="1"/>
  <c r="E208" i="2"/>
  <c r="D208" i="2"/>
  <c r="C208" i="2"/>
  <c r="D207" i="2"/>
  <c r="G206" i="2"/>
  <c r="E206" i="2"/>
  <c r="D206" i="2"/>
  <c r="C206" i="2"/>
  <c r="D205" i="2"/>
  <c r="H204" i="2"/>
  <c r="D27" i="3" s="1"/>
  <c r="G204" i="2"/>
  <c r="E204" i="2"/>
  <c r="D204" i="2"/>
  <c r="C204" i="2"/>
  <c r="B204" i="2"/>
  <c r="D202" i="2"/>
  <c r="G201" i="2"/>
  <c r="E201" i="2"/>
  <c r="D201" i="2"/>
  <c r="C201" i="2"/>
  <c r="D200" i="2"/>
  <c r="G199" i="2"/>
  <c r="H192" i="2" s="1"/>
  <c r="E26" i="3" s="1"/>
  <c r="E199" i="2"/>
  <c r="D199" i="2"/>
  <c r="C199" i="2"/>
  <c r="D198" i="2"/>
  <c r="G197" i="2"/>
  <c r="E197" i="2"/>
  <c r="D197" i="2"/>
  <c r="C197" i="2"/>
  <c r="B197" i="2"/>
  <c r="D195" i="2"/>
  <c r="G194" i="2"/>
  <c r="H194" i="2" s="1"/>
  <c r="F26" i="3" s="1"/>
  <c r="E194" i="2"/>
  <c r="D194" i="2"/>
  <c r="C194" i="2"/>
  <c r="D193" i="2"/>
  <c r="G192" i="2"/>
  <c r="E192" i="2"/>
  <c r="D192" i="2"/>
  <c r="C192" i="2"/>
  <c r="D191" i="2"/>
  <c r="H190" i="2"/>
  <c r="D26" i="3" s="1"/>
  <c r="G190" i="2"/>
  <c r="E190" i="2"/>
  <c r="D190" i="2"/>
  <c r="C190" i="2"/>
  <c r="B190" i="2"/>
  <c r="D187" i="2"/>
  <c r="G186" i="2"/>
  <c r="E186" i="2"/>
  <c r="D186" i="2"/>
  <c r="C186" i="2"/>
  <c r="D185" i="2"/>
  <c r="G184" i="2"/>
  <c r="E184" i="2"/>
  <c r="D184" i="2"/>
  <c r="C184" i="2"/>
  <c r="D183" i="2"/>
  <c r="G182" i="2"/>
  <c r="E182" i="2"/>
  <c r="D182" i="2"/>
  <c r="C182" i="2"/>
  <c r="B182" i="2"/>
  <c r="D180" i="2"/>
  <c r="G179" i="2"/>
  <c r="H179" i="2" s="1"/>
  <c r="F25" i="3" s="1"/>
  <c r="E179" i="2"/>
  <c r="D179" i="2"/>
  <c r="C179" i="2"/>
  <c r="D178" i="2"/>
  <c r="E177" i="2"/>
  <c r="D177" i="2"/>
  <c r="C177" i="2"/>
  <c r="D176" i="2"/>
  <c r="G175" i="2"/>
  <c r="H175" i="2" s="1"/>
  <c r="E175" i="2"/>
  <c r="D175" i="2"/>
  <c r="C175" i="2"/>
  <c r="B175" i="2"/>
  <c r="D173" i="2"/>
  <c r="G172" i="2"/>
  <c r="E172" i="2"/>
  <c r="D172" i="2"/>
  <c r="C172" i="2"/>
  <c r="D171" i="2"/>
  <c r="G170" i="2"/>
  <c r="E170" i="2"/>
  <c r="D170" i="2"/>
  <c r="C170" i="2"/>
  <c r="D169" i="2"/>
  <c r="G168" i="2"/>
  <c r="E168" i="2"/>
  <c r="D168" i="2"/>
  <c r="C168" i="2"/>
  <c r="B168" i="2"/>
  <c r="D166" i="2"/>
  <c r="G165" i="2"/>
  <c r="H165" i="2" s="1"/>
  <c r="F24" i="3" s="1"/>
  <c r="E165" i="2"/>
  <c r="D165" i="2"/>
  <c r="C165" i="2"/>
  <c r="D164" i="2"/>
  <c r="E163" i="2"/>
  <c r="D163" i="2"/>
  <c r="C163" i="2"/>
  <c r="D162" i="2"/>
  <c r="G161" i="2"/>
  <c r="H161" i="2" s="1"/>
  <c r="E161" i="2"/>
  <c r="D161" i="2"/>
  <c r="C161" i="2"/>
  <c r="B161" i="2"/>
  <c r="D159" i="2"/>
  <c r="G158" i="2"/>
  <c r="E158" i="2"/>
  <c r="D158" i="2"/>
  <c r="C158" i="2"/>
  <c r="D157" i="2"/>
  <c r="G156" i="2"/>
  <c r="E156" i="2"/>
  <c r="D156" i="2"/>
  <c r="C156" i="2"/>
  <c r="D155" i="2"/>
  <c r="G154" i="2"/>
  <c r="E154" i="2"/>
  <c r="D154" i="2"/>
  <c r="C154" i="2"/>
  <c r="B154" i="2"/>
  <c r="D152" i="2"/>
  <c r="H151" i="2"/>
  <c r="F23" i="3" s="1"/>
  <c r="G151" i="2"/>
  <c r="E151" i="2"/>
  <c r="D151" i="2"/>
  <c r="C151" i="2"/>
  <c r="D150" i="2"/>
  <c r="H149" i="2"/>
  <c r="E23" i="3" s="1"/>
  <c r="G149" i="2"/>
  <c r="E149" i="2"/>
  <c r="D149" i="2"/>
  <c r="C149" i="2"/>
  <c r="D148" i="2"/>
  <c r="G147" i="2"/>
  <c r="H147" i="2" s="1"/>
  <c r="E147" i="2"/>
  <c r="D147" i="2"/>
  <c r="C147" i="2"/>
  <c r="B147" i="2"/>
  <c r="D144" i="2"/>
  <c r="G143" i="2"/>
  <c r="E143" i="2"/>
  <c r="D143" i="2"/>
  <c r="C143" i="2"/>
  <c r="D142" i="2"/>
  <c r="G141" i="2"/>
  <c r="E141" i="2"/>
  <c r="D141" i="2"/>
  <c r="C141" i="2"/>
  <c r="D140" i="2"/>
  <c r="G139" i="2"/>
  <c r="E139" i="2"/>
  <c r="D139" i="2"/>
  <c r="C139" i="2"/>
  <c r="B139" i="2"/>
  <c r="D137" i="2"/>
  <c r="H136" i="2"/>
  <c r="F22" i="3" s="1"/>
  <c r="G136" i="2"/>
  <c r="E136" i="2"/>
  <c r="D136" i="2"/>
  <c r="C136" i="2"/>
  <c r="D135" i="2"/>
  <c r="H134" i="2"/>
  <c r="E22" i="3" s="1"/>
  <c r="G134" i="2"/>
  <c r="E134" i="2"/>
  <c r="D134" i="2"/>
  <c r="C134" i="2"/>
  <c r="D133" i="2"/>
  <c r="G132" i="2"/>
  <c r="H132" i="2" s="1"/>
  <c r="E132" i="2"/>
  <c r="D132" i="2"/>
  <c r="C132" i="2"/>
  <c r="B132" i="2"/>
  <c r="D130" i="2"/>
  <c r="G129" i="2"/>
  <c r="E129" i="2"/>
  <c r="D129" i="2"/>
  <c r="C129" i="2"/>
  <c r="D128" i="2"/>
  <c r="G127" i="2"/>
  <c r="E127" i="2"/>
  <c r="D127" i="2"/>
  <c r="C127" i="2"/>
  <c r="D126" i="2"/>
  <c r="G125" i="2"/>
  <c r="E125" i="2"/>
  <c r="D125" i="2"/>
  <c r="C125" i="2"/>
  <c r="B125" i="2"/>
  <c r="D123" i="2"/>
  <c r="H122" i="2"/>
  <c r="F21" i="3" s="1"/>
  <c r="G122" i="2"/>
  <c r="E122" i="2"/>
  <c r="D122" i="2"/>
  <c r="C122" i="2"/>
  <c r="D121" i="2"/>
  <c r="H120" i="2"/>
  <c r="E21" i="3" s="1"/>
  <c r="G120" i="2"/>
  <c r="E120" i="2"/>
  <c r="D120" i="2"/>
  <c r="C120" i="2"/>
  <c r="D119" i="2"/>
  <c r="G118" i="2"/>
  <c r="H118" i="2" s="1"/>
  <c r="E118" i="2"/>
  <c r="D118" i="2"/>
  <c r="C118" i="2"/>
  <c r="B118" i="2"/>
  <c r="D116" i="2"/>
  <c r="G115" i="2"/>
  <c r="E115" i="2"/>
  <c r="D115" i="2"/>
  <c r="C115" i="2"/>
  <c r="D114" i="2"/>
  <c r="G113" i="2"/>
  <c r="E113" i="2"/>
  <c r="D113" i="2"/>
  <c r="C113" i="2"/>
  <c r="D112" i="2"/>
  <c r="G111" i="2"/>
  <c r="E111" i="2"/>
  <c r="D111" i="2"/>
  <c r="C111" i="2"/>
  <c r="B111" i="2"/>
  <c r="D109" i="2"/>
  <c r="H108" i="2"/>
  <c r="F20" i="3" s="1"/>
  <c r="G108" i="2"/>
  <c r="E108" i="2"/>
  <c r="D108" i="2"/>
  <c r="C108" i="2"/>
  <c r="D107" i="2"/>
  <c r="G106" i="2"/>
  <c r="H106" i="2" s="1"/>
  <c r="E20" i="3" s="1"/>
  <c r="E106" i="2"/>
  <c r="D106" i="2"/>
  <c r="C106" i="2"/>
  <c r="D105" i="2"/>
  <c r="G104" i="2"/>
  <c r="H104" i="2" s="1"/>
  <c r="E104" i="2"/>
  <c r="D104" i="2"/>
  <c r="C104" i="2"/>
  <c r="B104" i="2"/>
  <c r="D101" i="2"/>
  <c r="G100" i="2"/>
  <c r="E100" i="2"/>
  <c r="D100" i="2"/>
  <c r="C100" i="2"/>
  <c r="D99" i="2"/>
  <c r="G98" i="2"/>
  <c r="E98" i="2"/>
  <c r="D98" i="2"/>
  <c r="C98" i="2"/>
  <c r="D97" i="2"/>
  <c r="G96" i="2"/>
  <c r="E96" i="2"/>
  <c r="D96" i="2"/>
  <c r="C96" i="2"/>
  <c r="B96" i="2"/>
  <c r="D94" i="2"/>
  <c r="H93" i="2"/>
  <c r="F19" i="3" s="1"/>
  <c r="G93" i="2"/>
  <c r="E93" i="2"/>
  <c r="D93" i="2"/>
  <c r="C93" i="2"/>
  <c r="D92" i="2"/>
  <c r="G91" i="2"/>
  <c r="H91" i="2" s="1"/>
  <c r="E19" i="3" s="1"/>
  <c r="E91" i="2"/>
  <c r="D91" i="2"/>
  <c r="C91" i="2"/>
  <c r="D90" i="2"/>
  <c r="G89" i="2"/>
  <c r="H89" i="2" s="1"/>
  <c r="E89" i="2"/>
  <c r="D89" i="2"/>
  <c r="C89" i="2"/>
  <c r="B89" i="2"/>
  <c r="D87" i="2"/>
  <c r="G86" i="2"/>
  <c r="E86" i="2"/>
  <c r="D86" i="2"/>
  <c r="C86" i="2"/>
  <c r="D85" i="2"/>
  <c r="G84" i="2"/>
  <c r="E84" i="2"/>
  <c r="D84" i="2"/>
  <c r="C84" i="2"/>
  <c r="D83" i="2"/>
  <c r="G82" i="2"/>
  <c r="E82" i="2"/>
  <c r="D82" i="2"/>
  <c r="C82" i="2"/>
  <c r="B82" i="2"/>
  <c r="D80" i="2"/>
  <c r="H79" i="2"/>
  <c r="F18" i="3" s="1"/>
  <c r="G79" i="2"/>
  <c r="E79" i="2"/>
  <c r="D79" i="2"/>
  <c r="C79" i="2"/>
  <c r="D78" i="2"/>
  <c r="G77" i="2"/>
  <c r="H77" i="2" s="1"/>
  <c r="E18" i="3" s="1"/>
  <c r="E77" i="2"/>
  <c r="D77" i="2"/>
  <c r="C77" i="2"/>
  <c r="D76" i="2"/>
  <c r="G75" i="2"/>
  <c r="H75" i="2" s="1"/>
  <c r="E75" i="2"/>
  <c r="D75" i="2"/>
  <c r="C75" i="2"/>
  <c r="B75" i="2"/>
  <c r="D73" i="2"/>
  <c r="G72" i="2"/>
  <c r="E72" i="2"/>
  <c r="D72" i="2"/>
  <c r="C72" i="2"/>
  <c r="D71" i="2"/>
  <c r="G70" i="2"/>
  <c r="E70" i="2"/>
  <c r="D70" i="2"/>
  <c r="C70" i="2"/>
  <c r="D69" i="2"/>
  <c r="G68" i="2"/>
  <c r="E68" i="2"/>
  <c r="D68" i="2"/>
  <c r="C68" i="2"/>
  <c r="B68" i="2"/>
  <c r="D66" i="2"/>
  <c r="H65" i="2"/>
  <c r="F17" i="3" s="1"/>
  <c r="G65" i="2"/>
  <c r="E65" i="2"/>
  <c r="D65" i="2"/>
  <c r="C65" i="2"/>
  <c r="D64" i="2"/>
  <c r="G63" i="2"/>
  <c r="H63" i="2" s="1"/>
  <c r="E17" i="3" s="1"/>
  <c r="E63" i="2"/>
  <c r="D63" i="2"/>
  <c r="C63" i="2"/>
  <c r="D62" i="2"/>
  <c r="G61" i="2"/>
  <c r="H61" i="2" s="1"/>
  <c r="E61" i="2"/>
  <c r="D61" i="2"/>
  <c r="C61" i="2"/>
  <c r="B61" i="2"/>
  <c r="D58" i="2"/>
  <c r="G57" i="2"/>
  <c r="E57" i="2"/>
  <c r="D57" i="2"/>
  <c r="C57" i="2"/>
  <c r="D56" i="2"/>
  <c r="G55" i="2"/>
  <c r="E55" i="2"/>
  <c r="D55" i="2"/>
  <c r="C55" i="2"/>
  <c r="D54" i="2"/>
  <c r="G53" i="2"/>
  <c r="E53" i="2"/>
  <c r="D53" i="2"/>
  <c r="C53" i="2"/>
  <c r="B53" i="2"/>
  <c r="D51" i="2"/>
  <c r="H50" i="2"/>
  <c r="F16" i="3" s="1"/>
  <c r="G50" i="2"/>
  <c r="E50" i="2"/>
  <c r="D50" i="2"/>
  <c r="C50" i="2"/>
  <c r="D49" i="2"/>
  <c r="G48" i="2"/>
  <c r="H48" i="2" s="1"/>
  <c r="E16" i="3" s="1"/>
  <c r="E48" i="2"/>
  <c r="D48" i="2"/>
  <c r="C48" i="2"/>
  <c r="D47" i="2"/>
  <c r="G46" i="2"/>
  <c r="H46" i="2" s="1"/>
  <c r="E46" i="2"/>
  <c r="D46" i="2"/>
  <c r="C46" i="2"/>
  <c r="B46" i="2"/>
  <c r="D44" i="2"/>
  <c r="G43" i="2"/>
  <c r="E43" i="2"/>
  <c r="D43" i="2"/>
  <c r="C43" i="2"/>
  <c r="D42" i="2"/>
  <c r="G41" i="2"/>
  <c r="E41" i="2"/>
  <c r="D41" i="2"/>
  <c r="C41" i="2"/>
  <c r="D40" i="2"/>
  <c r="G39" i="2"/>
  <c r="E39" i="2"/>
  <c r="D39" i="2"/>
  <c r="C39" i="2"/>
  <c r="B39" i="2"/>
  <c r="D37" i="2"/>
  <c r="H36" i="2"/>
  <c r="F15" i="3" s="1"/>
  <c r="G36" i="2"/>
  <c r="E36" i="2"/>
  <c r="D36" i="2"/>
  <c r="C36" i="2"/>
  <c r="D35" i="2"/>
  <c r="G34" i="2"/>
  <c r="H34" i="2" s="1"/>
  <c r="E15" i="3" s="1"/>
  <c r="E34" i="2"/>
  <c r="D34" i="2"/>
  <c r="C34" i="2"/>
  <c r="D33" i="2"/>
  <c r="G32" i="2"/>
  <c r="H32" i="2" s="1"/>
  <c r="E32" i="2"/>
  <c r="D32" i="2"/>
  <c r="C32" i="2"/>
  <c r="B32" i="2"/>
  <c r="D30" i="2"/>
  <c r="G29" i="2"/>
  <c r="E29" i="2"/>
  <c r="D29" i="2"/>
  <c r="C29" i="2"/>
  <c r="D28" i="2"/>
  <c r="G27" i="2"/>
  <c r="E27" i="2"/>
  <c r="D27" i="2"/>
  <c r="C27" i="2"/>
  <c r="D26" i="2"/>
  <c r="G25" i="2"/>
  <c r="E25" i="2"/>
  <c r="D25" i="2"/>
  <c r="C25" i="2"/>
  <c r="B25" i="2"/>
  <c r="D23" i="2"/>
  <c r="H22" i="2"/>
  <c r="F14" i="3" s="1"/>
  <c r="G22" i="2"/>
  <c r="E22" i="2"/>
  <c r="D22" i="2"/>
  <c r="C22" i="2"/>
  <c r="D21" i="2"/>
  <c r="G20" i="2"/>
  <c r="H20" i="2" s="1"/>
  <c r="E14" i="3" s="1"/>
  <c r="E20" i="2"/>
  <c r="D20" i="2"/>
  <c r="C20" i="2"/>
  <c r="D19" i="2"/>
  <c r="G18" i="2"/>
  <c r="H18" i="2" s="1"/>
  <c r="E18" i="2"/>
  <c r="D18" i="2"/>
  <c r="C18" i="2"/>
  <c r="B18" i="2"/>
  <c r="B1" i="2"/>
  <c r="D23" i="3" l="1"/>
  <c r="J147" i="2"/>
  <c r="D14" i="3"/>
  <c r="J18" i="2"/>
  <c r="J75" i="2"/>
  <c r="D18" i="3"/>
  <c r="D25" i="3"/>
  <c r="D17" i="3"/>
  <c r="J61" i="2"/>
  <c r="D21" i="3"/>
  <c r="J118" i="2"/>
  <c r="D15" i="3"/>
  <c r="J32" i="2"/>
  <c r="D19" i="3"/>
  <c r="J89" i="2"/>
  <c r="D22" i="3"/>
  <c r="J132" i="2"/>
  <c r="D24" i="3"/>
  <c r="J46" i="2"/>
  <c r="D16" i="3"/>
  <c r="D20" i="3"/>
  <c r="J104" i="2"/>
  <c r="G31" i="4"/>
  <c r="H27" i="4" s="1"/>
  <c r="J31" i="4"/>
  <c r="O33" i="4"/>
  <c r="R33" i="4"/>
  <c r="V52" i="4"/>
  <c r="W52" i="4" s="1"/>
  <c r="S52" i="4"/>
  <c r="R59" i="4"/>
  <c r="O59" i="4"/>
  <c r="R61" i="4"/>
  <c r="O61" i="4"/>
  <c r="P57" i="4" s="1"/>
  <c r="F58" i="3" s="1"/>
  <c r="D78" i="3"/>
  <c r="V65" i="4"/>
  <c r="W65" i="4" s="1"/>
  <c r="S65" i="4"/>
  <c r="G121" i="4"/>
  <c r="H121" i="4" s="1"/>
  <c r="G112" i="4"/>
  <c r="H112" i="4" s="1"/>
  <c r="W111" i="4"/>
  <c r="G111" i="4"/>
  <c r="S111" i="4"/>
  <c r="O111" i="4"/>
  <c r="G46" i="4"/>
  <c r="G177" i="2"/>
  <c r="H177" i="2" s="1"/>
  <c r="E25" i="3" s="1"/>
  <c r="G163" i="2"/>
  <c r="H163" i="2" s="1"/>
  <c r="E24" i="3" s="1"/>
  <c r="J190" i="2"/>
  <c r="J204" i="2"/>
  <c r="J218" i="2"/>
  <c r="G23" i="4"/>
  <c r="H19" i="4" s="1"/>
  <c r="J23" i="4"/>
  <c r="D36" i="4"/>
  <c r="E36" i="4"/>
  <c r="C36" i="4"/>
  <c r="B36" i="4"/>
  <c r="K48" i="4"/>
  <c r="N48" i="4"/>
  <c r="J51" i="4"/>
  <c r="G51" i="4"/>
  <c r="H47" i="4" s="1"/>
  <c r="N60" i="4"/>
  <c r="K60" i="4"/>
  <c r="I64" i="4"/>
  <c r="B92" i="4"/>
  <c r="E92" i="4"/>
  <c r="D92" i="4"/>
  <c r="C92" i="4"/>
  <c r="G115" i="4"/>
  <c r="J115" i="4"/>
  <c r="C19" i="4"/>
  <c r="E19" i="4"/>
  <c r="D19" i="4"/>
  <c r="N22" i="4"/>
  <c r="K32" i="4"/>
  <c r="N32" i="4"/>
  <c r="J36" i="4"/>
  <c r="G36" i="4"/>
  <c r="N37" i="4"/>
  <c r="K37" i="4"/>
  <c r="L37" i="4" s="1"/>
  <c r="E36" i="3" s="1"/>
  <c r="J40" i="4"/>
  <c r="G40" i="4"/>
  <c r="E61" i="4"/>
  <c r="D61" i="4"/>
  <c r="C61" i="4"/>
  <c r="D39" i="3"/>
  <c r="R126" i="4"/>
  <c r="O126" i="4"/>
  <c r="K18" i="4"/>
  <c r="L18" i="4" s="1"/>
  <c r="N18" i="4"/>
  <c r="V20" i="4"/>
  <c r="W20" i="4" s="1"/>
  <c r="S20" i="4"/>
  <c r="K24" i="4"/>
  <c r="L20" i="4" s="1"/>
  <c r="F34" i="3" s="1"/>
  <c r="N24" i="4"/>
  <c r="C31" i="4"/>
  <c r="E31" i="4"/>
  <c r="D31" i="4"/>
  <c r="B31" i="4"/>
  <c r="J38" i="4"/>
  <c r="G38" i="4"/>
  <c r="H38" i="4" s="1"/>
  <c r="V50" i="4"/>
  <c r="W50" i="4" s="1"/>
  <c r="X46" i="4" s="1"/>
  <c r="S50" i="4"/>
  <c r="E57" i="4"/>
  <c r="D57" i="4"/>
  <c r="C57" i="4"/>
  <c r="D59" i="3"/>
  <c r="R93" i="4"/>
  <c r="O93" i="4"/>
  <c r="P93" i="4" s="1"/>
  <c r="E62" i="3" s="1"/>
  <c r="E27" i="4"/>
  <c r="O27" i="4"/>
  <c r="K28" i="4"/>
  <c r="L28" i="4" s="1"/>
  <c r="E35" i="3" s="1"/>
  <c r="G29" i="4"/>
  <c r="G33" i="4"/>
  <c r="K46" i="4"/>
  <c r="S46" i="4"/>
  <c r="T46" i="4" s="1"/>
  <c r="G50" i="4"/>
  <c r="D74" i="4"/>
  <c r="C74" i="4"/>
  <c r="B74" i="4"/>
  <c r="R78" i="4"/>
  <c r="O78" i="4"/>
  <c r="S79" i="4"/>
  <c r="T75" i="4" s="1"/>
  <c r="E79" i="3" s="1"/>
  <c r="V79" i="4"/>
  <c r="W79" i="4" s="1"/>
  <c r="S87" i="4"/>
  <c r="T83" i="4" s="1"/>
  <c r="V87" i="4"/>
  <c r="W87" i="4" s="1"/>
  <c r="G102" i="4"/>
  <c r="J102" i="4"/>
  <c r="G107" i="4"/>
  <c r="J107" i="4"/>
  <c r="K112" i="4"/>
  <c r="N112" i="4"/>
  <c r="C125" i="4"/>
  <c r="E125" i="4"/>
  <c r="D125" i="4"/>
  <c r="B18" i="4"/>
  <c r="G22" i="4"/>
  <c r="H18" i="4" s="1"/>
  <c r="I18" i="4" s="1"/>
  <c r="D23" i="4"/>
  <c r="K27" i="4"/>
  <c r="C50" i="4"/>
  <c r="B50" i="4"/>
  <c r="O50" i="4"/>
  <c r="E51" i="4"/>
  <c r="D51" i="4"/>
  <c r="D55" i="4"/>
  <c r="C55" i="4"/>
  <c r="P74" i="4"/>
  <c r="X75" i="4"/>
  <c r="E100" i="3" s="1"/>
  <c r="X83" i="4"/>
  <c r="I92" i="4"/>
  <c r="N103" i="4"/>
  <c r="K103" i="4"/>
  <c r="K144" i="4"/>
  <c r="N144" i="4"/>
  <c r="D18" i="4"/>
  <c r="C20" i="4"/>
  <c r="E23" i="4"/>
  <c r="C27" i="4"/>
  <c r="N28" i="4"/>
  <c r="D29" i="4"/>
  <c r="J29" i="4"/>
  <c r="D33" i="4"/>
  <c r="D38" i="4"/>
  <c r="E42" i="4"/>
  <c r="D42" i="4"/>
  <c r="N42" i="4"/>
  <c r="O46" i="4"/>
  <c r="P46" i="4" s="1"/>
  <c r="R47" i="4"/>
  <c r="D50" i="4"/>
  <c r="K50" i="4"/>
  <c r="C51" i="4"/>
  <c r="K52" i="4"/>
  <c r="B55" i="4"/>
  <c r="J55" i="4"/>
  <c r="D56" i="4"/>
  <c r="C56" i="4"/>
  <c r="K56" i="4"/>
  <c r="L56" i="4" s="1"/>
  <c r="E38" i="3" s="1"/>
  <c r="V56" i="4"/>
  <c r="W56" i="4" s="1"/>
  <c r="G57" i="4"/>
  <c r="R57" i="4"/>
  <c r="G59" i="4"/>
  <c r="H55" i="4" s="1"/>
  <c r="G61" i="4"/>
  <c r="O66" i="4"/>
  <c r="C68" i="4"/>
  <c r="B68" i="4"/>
  <c r="E69" i="4"/>
  <c r="D69" i="4"/>
  <c r="N69" i="4"/>
  <c r="N70" i="4"/>
  <c r="K70" i="4"/>
  <c r="L66" i="4" s="1"/>
  <c r="P75" i="4"/>
  <c r="E60" i="3" s="1"/>
  <c r="E76" i="4"/>
  <c r="D76" i="4"/>
  <c r="C76" i="4"/>
  <c r="P83" i="4"/>
  <c r="D84" i="4"/>
  <c r="E84" i="4"/>
  <c r="C84" i="4"/>
  <c r="O85" i="4"/>
  <c r="P85" i="4" s="1"/>
  <c r="F61" i="3" s="1"/>
  <c r="R85" i="4"/>
  <c r="O96" i="4"/>
  <c r="P92" i="4" s="1"/>
  <c r="R96" i="4"/>
  <c r="C98" i="4"/>
  <c r="E98" i="4"/>
  <c r="D98" i="4"/>
  <c r="R74" i="4"/>
  <c r="D102" i="4"/>
  <c r="B102" i="4"/>
  <c r="J104" i="4"/>
  <c r="G104" i="4"/>
  <c r="H104" i="4" s="1"/>
  <c r="K131" i="4"/>
  <c r="N131" i="4"/>
  <c r="G132" i="4"/>
  <c r="J132" i="4"/>
  <c r="O134" i="4"/>
  <c r="P130" i="4" s="1"/>
  <c r="R134" i="4"/>
  <c r="N140" i="4"/>
  <c r="K140" i="4"/>
  <c r="L140" i="4" s="1"/>
  <c r="E47" i="3" s="1"/>
  <c r="E46" i="4"/>
  <c r="E64" i="4"/>
  <c r="C75" i="4"/>
  <c r="R80" i="4"/>
  <c r="B83" i="4"/>
  <c r="R88" i="4"/>
  <c r="C89" i="4"/>
  <c r="V89" i="4"/>
  <c r="W89" i="4" s="1"/>
  <c r="D94" i="4"/>
  <c r="C96" i="4"/>
  <c r="B96" i="4"/>
  <c r="O98" i="4"/>
  <c r="P94" i="4" s="1"/>
  <c r="F62" i="3" s="1"/>
  <c r="R98" i="4"/>
  <c r="C102" i="4"/>
  <c r="G103" i="4"/>
  <c r="H103" i="4" s="1"/>
  <c r="N108" i="4"/>
  <c r="D120" i="4"/>
  <c r="E120" i="4"/>
  <c r="C120" i="4"/>
  <c r="B120" i="4"/>
  <c r="J124" i="4"/>
  <c r="G124" i="4"/>
  <c r="N125" i="4"/>
  <c r="K125" i="4"/>
  <c r="K135" i="4"/>
  <c r="N135" i="4"/>
  <c r="J139" i="4"/>
  <c r="G139" i="4"/>
  <c r="C83" i="4"/>
  <c r="D89" i="4"/>
  <c r="S92" i="4"/>
  <c r="E94" i="4"/>
  <c r="D96" i="4"/>
  <c r="E97" i="4"/>
  <c r="D97" i="4"/>
  <c r="V97" i="4"/>
  <c r="W97" i="4" s="1"/>
  <c r="E102" i="4"/>
  <c r="D103" i="4"/>
  <c r="E103" i="4"/>
  <c r="J106" i="4"/>
  <c r="G106" i="4"/>
  <c r="C107" i="4"/>
  <c r="E107" i="4"/>
  <c r="D107" i="4"/>
  <c r="C115" i="4"/>
  <c r="E115" i="4"/>
  <c r="D115" i="4"/>
  <c r="B115" i="4"/>
  <c r="K116" i="4"/>
  <c r="N116" i="4"/>
  <c r="J120" i="4"/>
  <c r="G120" i="4"/>
  <c r="N121" i="4"/>
  <c r="K121" i="4"/>
  <c r="L121" i="4" s="1"/>
  <c r="E45" i="3" s="1"/>
  <c r="J122" i="4"/>
  <c r="G122" i="4"/>
  <c r="G136" i="4"/>
  <c r="J136" i="4"/>
  <c r="K130" i="4"/>
  <c r="L130" i="4" s="1"/>
  <c r="D139" i="4"/>
  <c r="C139" i="4"/>
  <c r="N141" i="4"/>
  <c r="G145" i="4"/>
  <c r="J145" i="4"/>
  <c r="K111" i="4"/>
  <c r="J117" i="4"/>
  <c r="C122" i="4"/>
  <c r="G126" i="4"/>
  <c r="C130" i="4"/>
  <c r="D132" i="4"/>
  <c r="B139" i="4"/>
  <c r="G141" i="4"/>
  <c r="H141" i="4" s="1"/>
  <c r="J143" i="4"/>
  <c r="G143" i="4"/>
  <c r="C144" i="4"/>
  <c r="E144" i="4"/>
  <c r="D144" i="4"/>
  <c r="J113" i="4"/>
  <c r="D122" i="4"/>
  <c r="D130" i="4"/>
  <c r="S130" i="4"/>
  <c r="E132" i="4"/>
  <c r="C134" i="4"/>
  <c r="D134" i="4"/>
  <c r="E139" i="4"/>
  <c r="E141" i="4"/>
  <c r="C141" i="4"/>
  <c r="G144" i="4"/>
  <c r="H140" i="4" s="1"/>
  <c r="G149" i="4"/>
  <c r="H149" i="4" s="1"/>
  <c r="N149" i="4"/>
  <c r="K149" i="4"/>
  <c r="J152" i="4"/>
  <c r="G152" i="4"/>
  <c r="N153" i="4"/>
  <c r="K153" i="4"/>
  <c r="K154" i="4"/>
  <c r="G148" i="4"/>
  <c r="H148" i="4" s="1"/>
  <c r="I148" i="4" s="1"/>
  <c r="R148" i="4"/>
  <c r="J150" i="4"/>
  <c r="G150" i="4"/>
  <c r="H150" i="4" s="1"/>
  <c r="R154" i="4"/>
  <c r="O154" i="4"/>
  <c r="D148" i="4"/>
  <c r="E148" i="4"/>
  <c r="C148" i="4"/>
  <c r="K148" i="4"/>
  <c r="C153" i="4"/>
  <c r="E153" i="4"/>
  <c r="D153" i="4"/>
  <c r="G154" i="4"/>
  <c r="D145" i="4"/>
  <c r="D150" i="4"/>
  <c r="C154" i="4"/>
  <c r="M2" i="6"/>
  <c r="M1" i="6" s="1"/>
  <c r="D80" i="3" l="1"/>
  <c r="D66" i="3"/>
  <c r="Q92" i="4"/>
  <c r="D62" i="3"/>
  <c r="F39" i="3"/>
  <c r="M64" i="4"/>
  <c r="D97" i="3"/>
  <c r="S154" i="4"/>
  <c r="V154" i="4"/>
  <c r="W154" i="4" s="1"/>
  <c r="K143" i="4"/>
  <c r="N143" i="4"/>
  <c r="O141" i="4"/>
  <c r="R141" i="4"/>
  <c r="N136" i="4"/>
  <c r="K136" i="4"/>
  <c r="R116" i="4"/>
  <c r="O116" i="4"/>
  <c r="N139" i="4"/>
  <c r="K139" i="4"/>
  <c r="L139" i="4" s="1"/>
  <c r="O125" i="4"/>
  <c r="R125" i="4"/>
  <c r="O140" i="4"/>
  <c r="R140" i="4"/>
  <c r="H132" i="4"/>
  <c r="I130" i="4" s="1"/>
  <c r="N104" i="4"/>
  <c r="K104" i="4"/>
  <c r="L104" i="4" s="1"/>
  <c r="F43" i="3" s="1"/>
  <c r="S96" i="4"/>
  <c r="T92" i="4" s="1"/>
  <c r="V96" i="4"/>
  <c r="W96" i="4" s="1"/>
  <c r="X92" i="4" s="1"/>
  <c r="S85" i="4"/>
  <c r="T85" i="4" s="1"/>
  <c r="F80" i="3" s="1"/>
  <c r="V85" i="4"/>
  <c r="W85" i="4" s="1"/>
  <c r="X85" i="4" s="1"/>
  <c r="F101" i="3" s="1"/>
  <c r="O70" i="4"/>
  <c r="R70" i="4"/>
  <c r="K55" i="4"/>
  <c r="L55" i="4" s="1"/>
  <c r="N55" i="4"/>
  <c r="R42" i="4"/>
  <c r="O42" i="4"/>
  <c r="R144" i="4"/>
  <c r="O144" i="4"/>
  <c r="L112" i="4"/>
  <c r="E44" i="3" s="1"/>
  <c r="H102" i="4"/>
  <c r="I102" i="4" s="1"/>
  <c r="S78" i="4"/>
  <c r="V78" i="4"/>
  <c r="W78" i="4" s="1"/>
  <c r="D76" i="3"/>
  <c r="V93" i="4"/>
  <c r="W93" i="4" s="1"/>
  <c r="X93" i="4" s="1"/>
  <c r="E102" i="3" s="1"/>
  <c r="S93" i="4"/>
  <c r="T93" i="4" s="1"/>
  <c r="E81" i="3" s="1"/>
  <c r="R24" i="4"/>
  <c r="O24" i="4"/>
  <c r="P20" i="4" s="1"/>
  <c r="F54" i="3" s="1"/>
  <c r="S126" i="4"/>
  <c r="V126" i="4"/>
  <c r="W126" i="4" s="1"/>
  <c r="H36" i="4"/>
  <c r="I36" i="4" s="1"/>
  <c r="R22" i="4"/>
  <c r="O22" i="4"/>
  <c r="H46" i="4"/>
  <c r="I46" i="4" s="1"/>
  <c r="B20" i="5"/>
  <c r="AE20" i="5" s="1"/>
  <c r="J92" i="4"/>
  <c r="K92" i="4" s="1"/>
  <c r="L92" i="4" s="1"/>
  <c r="C22" i="3"/>
  <c r="X22" i="3" s="1"/>
  <c r="B13" i="5"/>
  <c r="AE13" i="5" s="1"/>
  <c r="C15" i="3"/>
  <c r="B15" i="5"/>
  <c r="AE15" i="5" s="1"/>
  <c r="C17" i="3"/>
  <c r="O121" i="4"/>
  <c r="P121" i="4" s="1"/>
  <c r="E65" i="3" s="1"/>
  <c r="R121" i="4"/>
  <c r="O135" i="4"/>
  <c r="R135" i="4"/>
  <c r="S88" i="4"/>
  <c r="T84" i="4" s="1"/>
  <c r="E80" i="3" s="1"/>
  <c r="V88" i="4"/>
  <c r="W88" i="4" s="1"/>
  <c r="X84" i="4" s="1"/>
  <c r="E101" i="3" s="1"/>
  <c r="V134" i="4"/>
  <c r="W134" i="4" s="1"/>
  <c r="X130" i="4" s="1"/>
  <c r="S134" i="4"/>
  <c r="T130" i="4" s="1"/>
  <c r="O131" i="4"/>
  <c r="P131" i="4" s="1"/>
  <c r="E66" i="3" s="1"/>
  <c r="R131" i="4"/>
  <c r="R69" i="4"/>
  <c r="O69" i="4"/>
  <c r="P65" i="4" s="1"/>
  <c r="N29" i="4"/>
  <c r="K29" i="4"/>
  <c r="L29" i="4" s="1"/>
  <c r="F35" i="3" s="1"/>
  <c r="R103" i="4"/>
  <c r="O103" i="4"/>
  <c r="N107" i="4"/>
  <c r="K107" i="4"/>
  <c r="L103" i="4" s="1"/>
  <c r="E43" i="3" s="1"/>
  <c r="L46" i="4"/>
  <c r="O18" i="4"/>
  <c r="P18" i="4" s="1"/>
  <c r="R18" i="4"/>
  <c r="K40" i="4"/>
  <c r="N40" i="4"/>
  <c r="N36" i="4"/>
  <c r="K36" i="4"/>
  <c r="L36" i="4" s="1"/>
  <c r="N115" i="4"/>
  <c r="K115" i="4"/>
  <c r="L111" i="4" s="1"/>
  <c r="K51" i="4"/>
  <c r="L47" i="4" s="1"/>
  <c r="E37" i="3" s="1"/>
  <c r="N51" i="4"/>
  <c r="N23" i="4"/>
  <c r="K23" i="4"/>
  <c r="L19" i="4" s="1"/>
  <c r="E34" i="3" s="1"/>
  <c r="B26" i="5"/>
  <c r="AE26" i="5" s="1"/>
  <c r="C28" i="3"/>
  <c r="S59" i="4"/>
  <c r="V59" i="4"/>
  <c r="W59" i="4" s="1"/>
  <c r="V33" i="4"/>
  <c r="W33" i="4" s="1"/>
  <c r="S33" i="4"/>
  <c r="B14" i="5"/>
  <c r="AE14" i="5" s="1"/>
  <c r="C16" i="3"/>
  <c r="K152" i="4"/>
  <c r="N152" i="4"/>
  <c r="K150" i="4"/>
  <c r="L150" i="4" s="1"/>
  <c r="F48" i="3" s="1"/>
  <c r="N150" i="4"/>
  <c r="L149" i="4"/>
  <c r="E48" i="3" s="1"/>
  <c r="K145" i="4"/>
  <c r="L141" i="4" s="1"/>
  <c r="F47" i="3" s="1"/>
  <c r="N145" i="4"/>
  <c r="H122" i="4"/>
  <c r="H120" i="4"/>
  <c r="K106" i="4"/>
  <c r="N106" i="4"/>
  <c r="K124" i="4"/>
  <c r="N124" i="4"/>
  <c r="S98" i="4"/>
  <c r="T94" i="4" s="1"/>
  <c r="F81" i="3" s="1"/>
  <c r="V98" i="4"/>
  <c r="W98" i="4" s="1"/>
  <c r="X94" i="4" s="1"/>
  <c r="F102" i="3" s="1"/>
  <c r="L131" i="4"/>
  <c r="E46" i="3" s="1"/>
  <c r="Q83" i="4"/>
  <c r="D61" i="3"/>
  <c r="P66" i="4"/>
  <c r="F59" i="3" s="1"/>
  <c r="S57" i="4"/>
  <c r="V57" i="4"/>
  <c r="W57" i="4" s="1"/>
  <c r="V47" i="4"/>
  <c r="W47" i="4" s="1"/>
  <c r="S47" i="4"/>
  <c r="Q74" i="4"/>
  <c r="D60" i="3"/>
  <c r="K38" i="4"/>
  <c r="L38" i="4" s="1"/>
  <c r="F36" i="3" s="1"/>
  <c r="N38" i="4"/>
  <c r="M18" i="4"/>
  <c r="D34" i="3"/>
  <c r="R32" i="4"/>
  <c r="O32" i="4"/>
  <c r="O60" i="4"/>
  <c r="P56" i="4" s="1"/>
  <c r="E58" i="3" s="1"/>
  <c r="R60" i="4"/>
  <c r="R48" i="4"/>
  <c r="O48" i="4"/>
  <c r="P48" i="4" s="1"/>
  <c r="F57" i="3" s="1"/>
  <c r="B25" i="5"/>
  <c r="AE25" i="5" s="1"/>
  <c r="C27" i="3"/>
  <c r="B18" i="5"/>
  <c r="AE18" i="5" s="1"/>
  <c r="C20" i="3"/>
  <c r="J74" i="4"/>
  <c r="K74" i="4" s="1"/>
  <c r="L74" i="4" s="1"/>
  <c r="J161" i="2"/>
  <c r="B17" i="5"/>
  <c r="AE17" i="5" s="1"/>
  <c r="C19" i="3"/>
  <c r="B19" i="5"/>
  <c r="AE19" i="5" s="1"/>
  <c r="J83" i="4"/>
  <c r="K83" i="4" s="1"/>
  <c r="L83" i="4" s="1"/>
  <c r="C21" i="3"/>
  <c r="X21" i="3" s="1"/>
  <c r="B16" i="5"/>
  <c r="AE16" i="5" s="1"/>
  <c r="C18" i="3"/>
  <c r="B21" i="5"/>
  <c r="AE21" i="5" s="1"/>
  <c r="C23" i="3"/>
  <c r="L148" i="4"/>
  <c r="S148" i="4"/>
  <c r="V148" i="4"/>
  <c r="W148" i="4" s="1"/>
  <c r="O153" i="4"/>
  <c r="R153" i="4"/>
  <c r="O149" i="4"/>
  <c r="P149" i="4" s="1"/>
  <c r="E68" i="3" s="1"/>
  <c r="R149" i="4"/>
  <c r="N113" i="4"/>
  <c r="K113" i="4"/>
  <c r="K117" i="4"/>
  <c r="N117" i="4"/>
  <c r="D46" i="3"/>
  <c r="K122" i="4"/>
  <c r="L122" i="4" s="1"/>
  <c r="F45" i="3" s="1"/>
  <c r="N122" i="4"/>
  <c r="N120" i="4"/>
  <c r="K120" i="4"/>
  <c r="L120" i="4" s="1"/>
  <c r="H139" i="4"/>
  <c r="I139" i="4" s="1"/>
  <c r="R108" i="4"/>
  <c r="O108" i="4"/>
  <c r="S80" i="4"/>
  <c r="T76" i="4" s="1"/>
  <c r="F79" i="3" s="1"/>
  <c r="V80" i="4"/>
  <c r="W80" i="4" s="1"/>
  <c r="X76" i="4" s="1"/>
  <c r="F100" i="3" s="1"/>
  <c r="K132" i="4"/>
  <c r="L132" i="4" s="1"/>
  <c r="F46" i="3" s="1"/>
  <c r="N132" i="4"/>
  <c r="S74" i="4"/>
  <c r="T74" i="4" s="1"/>
  <c r="V74" i="4"/>
  <c r="W74" i="4" s="1"/>
  <c r="X74" i="4" s="1"/>
  <c r="H57" i="4"/>
  <c r="I55" i="4" s="1"/>
  <c r="D57" i="3"/>
  <c r="R28" i="4"/>
  <c r="O28" i="4"/>
  <c r="P28" i="4" s="1"/>
  <c r="E55" i="3" s="1"/>
  <c r="Y83" i="4"/>
  <c r="D101" i="3"/>
  <c r="R112" i="4"/>
  <c r="O112" i="4"/>
  <c r="P112" i="4" s="1"/>
  <c r="E64" i="3" s="1"/>
  <c r="K102" i="4"/>
  <c r="L102" i="4" s="1"/>
  <c r="N102" i="4"/>
  <c r="H29" i="4"/>
  <c r="I27" i="4" s="1"/>
  <c r="O37" i="4"/>
  <c r="P37" i="4" s="1"/>
  <c r="E56" i="3" s="1"/>
  <c r="R37" i="4"/>
  <c r="L48" i="4"/>
  <c r="F37" i="3" s="1"/>
  <c r="B24" i="5"/>
  <c r="AE24" i="5" s="1"/>
  <c r="C26" i="3"/>
  <c r="H111" i="4"/>
  <c r="I111" i="4" s="1"/>
  <c r="S61" i="4"/>
  <c r="V61" i="4"/>
  <c r="W61" i="4" s="1"/>
  <c r="N31" i="4"/>
  <c r="K31" i="4"/>
  <c r="L27" i="4" s="1"/>
  <c r="J175" i="2"/>
  <c r="B12" i="5"/>
  <c r="AE12" i="5" s="1"/>
  <c r="C14" i="3"/>
  <c r="D44" i="3" l="1"/>
  <c r="D85" i="3"/>
  <c r="D35" i="3"/>
  <c r="M27" i="4"/>
  <c r="U92" i="4"/>
  <c r="D81" i="3"/>
  <c r="V14" i="3"/>
  <c r="J14" i="3"/>
  <c r="G14" i="3"/>
  <c r="O31" i="4"/>
  <c r="P27" i="4" s="1"/>
  <c r="R31" i="4"/>
  <c r="S37" i="4"/>
  <c r="T37" i="4" s="1"/>
  <c r="E75" i="3" s="1"/>
  <c r="V37" i="4"/>
  <c r="W37" i="4" s="1"/>
  <c r="X37" i="4" s="1"/>
  <c r="E96" i="3" s="1"/>
  <c r="R102" i="4"/>
  <c r="O102" i="4"/>
  <c r="P102" i="4" s="1"/>
  <c r="V28" i="4"/>
  <c r="W28" i="4" s="1"/>
  <c r="S28" i="4"/>
  <c r="Y74" i="4"/>
  <c r="D100" i="3"/>
  <c r="W18" i="3"/>
  <c r="G18" i="3"/>
  <c r="D40" i="3"/>
  <c r="M74" i="4"/>
  <c r="V48" i="4"/>
  <c r="W48" i="4" s="1"/>
  <c r="X48" i="4" s="1"/>
  <c r="F97" i="3" s="1"/>
  <c r="S48" i="4"/>
  <c r="T48" i="4" s="1"/>
  <c r="F76" i="3" s="1"/>
  <c r="S32" i="4"/>
  <c r="V32" i="4"/>
  <c r="W32" i="4" s="1"/>
  <c r="O38" i="4"/>
  <c r="P38" i="4" s="1"/>
  <c r="F56" i="3" s="1"/>
  <c r="R38" i="4"/>
  <c r="R106" i="4"/>
  <c r="O106" i="4"/>
  <c r="O145" i="4"/>
  <c r="R145" i="4"/>
  <c r="R40" i="4"/>
  <c r="O40" i="4"/>
  <c r="E59" i="3"/>
  <c r="Q64" i="4"/>
  <c r="S135" i="4"/>
  <c r="V135" i="4"/>
  <c r="W135" i="4" s="1"/>
  <c r="J15" i="3"/>
  <c r="W17" i="3"/>
  <c r="G17" i="3"/>
  <c r="S24" i="4"/>
  <c r="T20" i="4" s="1"/>
  <c r="F73" i="3" s="1"/>
  <c r="V24" i="4"/>
  <c r="W24" i="4" s="1"/>
  <c r="X20" i="4" s="1"/>
  <c r="F94" i="3" s="1"/>
  <c r="O104" i="4"/>
  <c r="P104" i="4" s="1"/>
  <c r="F63" i="3" s="1"/>
  <c r="R104" i="4"/>
  <c r="V125" i="4"/>
  <c r="W125" i="4" s="1"/>
  <c r="S125" i="4"/>
  <c r="O136" i="4"/>
  <c r="R136" i="4"/>
  <c r="R143" i="4"/>
  <c r="O143" i="4"/>
  <c r="Z26" i="3"/>
  <c r="J18" i="3"/>
  <c r="G26" i="3"/>
  <c r="M102" i="4"/>
  <c r="D43" i="3"/>
  <c r="D79" i="3"/>
  <c r="U74" i="4"/>
  <c r="M120" i="4"/>
  <c r="D45" i="3"/>
  <c r="L113" i="4"/>
  <c r="F44" i="3" s="1"/>
  <c r="V153" i="4"/>
  <c r="W153" i="4" s="1"/>
  <c r="S153" i="4"/>
  <c r="M148" i="4"/>
  <c r="D48" i="3"/>
  <c r="W19" i="3"/>
  <c r="G19" i="3"/>
  <c r="J16" i="3"/>
  <c r="X20" i="3"/>
  <c r="G27" i="3"/>
  <c r="Z27" i="3"/>
  <c r="V60" i="4"/>
  <c r="W60" i="4" s="1"/>
  <c r="X56" i="4" s="1"/>
  <c r="E98" i="3" s="1"/>
  <c r="S60" i="4"/>
  <c r="T56" i="4" s="1"/>
  <c r="E77" i="3" s="1"/>
  <c r="R152" i="4"/>
  <c r="O152" i="4"/>
  <c r="P148" i="4" s="1"/>
  <c r="O23" i="4"/>
  <c r="P19" i="4" s="1"/>
  <c r="E54" i="3" s="1"/>
  <c r="R23" i="4"/>
  <c r="O115" i="4"/>
  <c r="P111" i="4" s="1"/>
  <c r="R115" i="4"/>
  <c r="M46" i="4"/>
  <c r="D37" i="3"/>
  <c r="S103" i="4"/>
  <c r="V103" i="4"/>
  <c r="W103" i="4" s="1"/>
  <c r="S69" i="4"/>
  <c r="T65" i="4" s="1"/>
  <c r="V69" i="4"/>
  <c r="W69" i="4" s="1"/>
  <c r="X65" i="4" s="1"/>
  <c r="D106" i="3"/>
  <c r="M92" i="4"/>
  <c r="D42" i="3"/>
  <c r="S42" i="4"/>
  <c r="V42" i="4"/>
  <c r="W42" i="4" s="1"/>
  <c r="V70" i="4"/>
  <c r="W70" i="4" s="1"/>
  <c r="X66" i="4" s="1"/>
  <c r="F99" i="3" s="1"/>
  <c r="S70" i="4"/>
  <c r="T66" i="4" s="1"/>
  <c r="F78" i="3" s="1"/>
  <c r="Y92" i="4"/>
  <c r="D102" i="3"/>
  <c r="S141" i="4"/>
  <c r="V141" i="4"/>
  <c r="W141" i="4" s="1"/>
  <c r="U83" i="4"/>
  <c r="B23" i="5"/>
  <c r="AE23" i="5" s="1"/>
  <c r="C25" i="3"/>
  <c r="I19" i="5"/>
  <c r="C101" i="3"/>
  <c r="X101" i="3" s="1"/>
  <c r="R132" i="4"/>
  <c r="O132" i="4"/>
  <c r="P132" i="4" s="1"/>
  <c r="F66" i="3" s="1"/>
  <c r="O120" i="4"/>
  <c r="P120" i="4" s="1"/>
  <c r="R120" i="4"/>
  <c r="M130" i="4"/>
  <c r="R113" i="4"/>
  <c r="O113" i="4"/>
  <c r="G23" i="3"/>
  <c r="Y23" i="3"/>
  <c r="C12" i="5"/>
  <c r="C34" i="3"/>
  <c r="X57" i="4"/>
  <c r="F98" i="3" s="1"/>
  <c r="E19" i="5"/>
  <c r="C61" i="3"/>
  <c r="X61" i="3" s="1"/>
  <c r="R124" i="4"/>
  <c r="O124" i="4"/>
  <c r="I120" i="4"/>
  <c r="Z28" i="3"/>
  <c r="G28" i="3"/>
  <c r="R51" i="4"/>
  <c r="O51" i="4"/>
  <c r="P47" i="4" s="1"/>
  <c r="M36" i="4"/>
  <c r="D36" i="3"/>
  <c r="S18" i="4"/>
  <c r="V18" i="4"/>
  <c r="W18" i="4" s="1"/>
  <c r="V131" i="4"/>
  <c r="W131" i="4" s="1"/>
  <c r="X131" i="4" s="1"/>
  <c r="E106" i="3" s="1"/>
  <c r="S131" i="4"/>
  <c r="T131" i="4" s="1"/>
  <c r="E85" i="3" s="1"/>
  <c r="S121" i="4"/>
  <c r="T121" i="4" s="1"/>
  <c r="E84" i="3" s="1"/>
  <c r="V121" i="4"/>
  <c r="W121" i="4" s="1"/>
  <c r="X121" i="4" s="1"/>
  <c r="E105" i="3" s="1"/>
  <c r="G15" i="3"/>
  <c r="V15" i="3"/>
  <c r="O55" i="4"/>
  <c r="P55" i="4" s="1"/>
  <c r="R55" i="4"/>
  <c r="S140" i="4"/>
  <c r="T140" i="4" s="1"/>
  <c r="E86" i="3" s="1"/>
  <c r="V140" i="4"/>
  <c r="W140" i="4" s="1"/>
  <c r="M139" i="4"/>
  <c r="D47" i="3"/>
  <c r="S116" i="4"/>
  <c r="V116" i="4"/>
  <c r="W116" i="4" s="1"/>
  <c r="P141" i="4"/>
  <c r="F67" i="3" s="1"/>
  <c r="E20" i="5"/>
  <c r="C62" i="3"/>
  <c r="X62" i="3" s="1"/>
  <c r="V112" i="4"/>
  <c r="W112" i="4" s="1"/>
  <c r="X112" i="4" s="1"/>
  <c r="E104" i="3" s="1"/>
  <c r="S112" i="4"/>
  <c r="S108" i="4"/>
  <c r="V108" i="4"/>
  <c r="W108" i="4" s="1"/>
  <c r="O122" i="4"/>
  <c r="P122" i="4" s="1"/>
  <c r="F65" i="3" s="1"/>
  <c r="R122" i="4"/>
  <c r="O117" i="4"/>
  <c r="R117" i="4"/>
  <c r="S149" i="4"/>
  <c r="T149" i="4" s="1"/>
  <c r="E87" i="3" s="1"/>
  <c r="V149" i="4"/>
  <c r="W149" i="4" s="1"/>
  <c r="X149" i="4" s="1"/>
  <c r="E108" i="3" s="1"/>
  <c r="D41" i="3"/>
  <c r="M83" i="4"/>
  <c r="B22" i="5"/>
  <c r="AE22" i="5" s="1"/>
  <c r="C24" i="3"/>
  <c r="E18" i="5"/>
  <c r="C60" i="3"/>
  <c r="T57" i="4"/>
  <c r="F77" i="3" s="1"/>
  <c r="O150" i="4"/>
  <c r="P150" i="4" s="1"/>
  <c r="F68" i="3" s="1"/>
  <c r="R150" i="4"/>
  <c r="V16" i="3"/>
  <c r="G16" i="3"/>
  <c r="O36" i="4"/>
  <c r="P36" i="4" s="1"/>
  <c r="R36" i="4"/>
  <c r="D54" i="3"/>
  <c r="O107" i="4"/>
  <c r="P103" i="4" s="1"/>
  <c r="E63" i="3" s="1"/>
  <c r="R107" i="4"/>
  <c r="R29" i="4"/>
  <c r="O29" i="4"/>
  <c r="P29" i="4" s="1"/>
  <c r="F55" i="3" s="1"/>
  <c r="S22" i="4"/>
  <c r="V22" i="4"/>
  <c r="W22" i="4" s="1"/>
  <c r="S144" i="4"/>
  <c r="V144" i="4"/>
  <c r="W144" i="4" s="1"/>
  <c r="M55" i="4"/>
  <c r="D38" i="3"/>
  <c r="P140" i="4"/>
  <c r="E67" i="3" s="1"/>
  <c r="R139" i="4"/>
  <c r="O139" i="4"/>
  <c r="P139" i="4" s="1"/>
  <c r="C17" i="5"/>
  <c r="C39" i="3"/>
  <c r="AD17" i="5" l="1"/>
  <c r="D17" i="5"/>
  <c r="C16" i="5"/>
  <c r="C38" i="3"/>
  <c r="Y24" i="3"/>
  <c r="G24" i="3"/>
  <c r="S55" i="4"/>
  <c r="T55" i="4" s="1"/>
  <c r="V55" i="4"/>
  <c r="W55" i="4" s="1"/>
  <c r="X55" i="4" s="1"/>
  <c r="X18" i="4"/>
  <c r="F19" i="5"/>
  <c r="AC19" i="5"/>
  <c r="G25" i="3"/>
  <c r="Y25" i="3"/>
  <c r="C42" i="3"/>
  <c r="X42" i="3" s="1"/>
  <c r="C20" i="5"/>
  <c r="E78" i="3"/>
  <c r="U64" i="4"/>
  <c r="C15" i="5"/>
  <c r="C37" i="3"/>
  <c r="S143" i="4"/>
  <c r="V143" i="4"/>
  <c r="W143" i="4" s="1"/>
  <c r="V38" i="4"/>
  <c r="W38" i="4" s="1"/>
  <c r="X38" i="4" s="1"/>
  <c r="F96" i="3" s="1"/>
  <c r="S38" i="4"/>
  <c r="T38" i="4" s="1"/>
  <c r="F75" i="3" s="1"/>
  <c r="I18" i="5"/>
  <c r="C100" i="3"/>
  <c r="S102" i="4"/>
  <c r="V102" i="4"/>
  <c r="W102" i="4" s="1"/>
  <c r="Q27" i="4"/>
  <c r="D55" i="3"/>
  <c r="V107" i="4"/>
  <c r="W107" i="4" s="1"/>
  <c r="S107" i="4"/>
  <c r="D56" i="3"/>
  <c r="Q36" i="4"/>
  <c r="S139" i="4"/>
  <c r="V139" i="4"/>
  <c r="W139" i="4" s="1"/>
  <c r="X139" i="4" s="1"/>
  <c r="V122" i="4"/>
  <c r="W122" i="4" s="1"/>
  <c r="X122" i="4" s="1"/>
  <c r="F105" i="3" s="1"/>
  <c r="S122" i="4"/>
  <c r="T122" i="4" s="1"/>
  <c r="F84" i="3" s="1"/>
  <c r="T112" i="4"/>
  <c r="E83" i="3" s="1"/>
  <c r="C25" i="5"/>
  <c r="C47" i="3"/>
  <c r="Q55" i="4"/>
  <c r="D58" i="3"/>
  <c r="T18" i="4"/>
  <c r="S51" i="4"/>
  <c r="T47" i="4" s="1"/>
  <c r="V51" i="4"/>
  <c r="W51" i="4" s="1"/>
  <c r="X47" i="4" s="1"/>
  <c r="C24" i="5"/>
  <c r="C46" i="3"/>
  <c r="S132" i="4"/>
  <c r="T132" i="4" s="1"/>
  <c r="F85" i="3" s="1"/>
  <c r="V132" i="4"/>
  <c r="W132" i="4" s="1"/>
  <c r="X103" i="4"/>
  <c r="E103" i="3" s="1"/>
  <c r="V115" i="4"/>
  <c r="W115" i="4" s="1"/>
  <c r="X111" i="4" s="1"/>
  <c r="S115" i="4"/>
  <c r="T111" i="4" s="1"/>
  <c r="Q148" i="4"/>
  <c r="D68" i="3"/>
  <c r="C26" i="5"/>
  <c r="C48" i="3"/>
  <c r="S136" i="4"/>
  <c r="V136" i="4"/>
  <c r="W136" i="4" s="1"/>
  <c r="V104" i="4"/>
  <c r="W104" i="4" s="1"/>
  <c r="X104" i="4" s="1"/>
  <c r="F103" i="3" s="1"/>
  <c r="S104" i="4"/>
  <c r="T104" i="4" s="1"/>
  <c r="F82" i="3" s="1"/>
  <c r="T28" i="4"/>
  <c r="E74" i="3" s="1"/>
  <c r="G20" i="5"/>
  <c r="C81" i="3"/>
  <c r="X81" i="3" s="1"/>
  <c r="U130" i="4"/>
  <c r="Q139" i="4"/>
  <c r="D67" i="3"/>
  <c r="F20" i="5"/>
  <c r="AC20" i="5"/>
  <c r="E57" i="3"/>
  <c r="Q46" i="4"/>
  <c r="V113" i="4"/>
  <c r="W113" i="4" s="1"/>
  <c r="S113" i="4"/>
  <c r="T113" i="4" s="1"/>
  <c r="F83" i="3" s="1"/>
  <c r="G39" i="3"/>
  <c r="W39" i="3"/>
  <c r="V29" i="4"/>
  <c r="W29" i="4" s="1"/>
  <c r="X29" i="4" s="1"/>
  <c r="F95" i="3" s="1"/>
  <c r="S29" i="4"/>
  <c r="T29" i="4" s="1"/>
  <c r="F74" i="3" s="1"/>
  <c r="Q18" i="4"/>
  <c r="J56" i="3"/>
  <c r="X60" i="3"/>
  <c r="C19" i="5"/>
  <c r="C41" i="3"/>
  <c r="X41" i="3" s="1"/>
  <c r="X140" i="4"/>
  <c r="E107" i="3" s="1"/>
  <c r="S124" i="4"/>
  <c r="V124" i="4"/>
  <c r="W124" i="4" s="1"/>
  <c r="G34" i="3"/>
  <c r="V34" i="3"/>
  <c r="J17" i="3"/>
  <c r="S120" i="4"/>
  <c r="V120" i="4"/>
  <c r="W120" i="4" s="1"/>
  <c r="G19" i="5"/>
  <c r="C80" i="3"/>
  <c r="X80" i="3" s="1"/>
  <c r="I20" i="5"/>
  <c r="C102" i="3"/>
  <c r="X102" i="3" s="1"/>
  <c r="T103" i="4"/>
  <c r="E82" i="3" s="1"/>
  <c r="D64" i="3"/>
  <c r="S152" i="4"/>
  <c r="T148" i="4" s="1"/>
  <c r="V152" i="4"/>
  <c r="W152" i="4" s="1"/>
  <c r="X148" i="4" s="1"/>
  <c r="C23" i="5"/>
  <c r="C45" i="3"/>
  <c r="C21" i="5"/>
  <c r="C43" i="3"/>
  <c r="Q130" i="4"/>
  <c r="E17" i="5"/>
  <c r="C59" i="3"/>
  <c r="S40" i="4"/>
  <c r="V40" i="4"/>
  <c r="W40" i="4" s="1"/>
  <c r="S106" i="4"/>
  <c r="V106" i="4"/>
  <c r="W106" i="4" s="1"/>
  <c r="C18" i="5"/>
  <c r="C40" i="3"/>
  <c r="X28" i="4"/>
  <c r="E95" i="3" s="1"/>
  <c r="C13" i="5"/>
  <c r="C35" i="3"/>
  <c r="J34" i="3" s="1"/>
  <c r="M111" i="4"/>
  <c r="S36" i="4"/>
  <c r="V36" i="4"/>
  <c r="W36" i="4" s="1"/>
  <c r="X36" i="4" s="1"/>
  <c r="V150" i="4"/>
  <c r="W150" i="4" s="1"/>
  <c r="X150" i="4" s="1"/>
  <c r="F108" i="3" s="1"/>
  <c r="S150" i="4"/>
  <c r="T150" i="4" s="1"/>
  <c r="F87" i="3" s="1"/>
  <c r="F18" i="5"/>
  <c r="AC18" i="5"/>
  <c r="V117" i="4"/>
  <c r="W117" i="4" s="1"/>
  <c r="S117" i="4"/>
  <c r="C14" i="5"/>
  <c r="C36" i="3"/>
  <c r="AD12" i="5"/>
  <c r="D12" i="5"/>
  <c r="P113" i="4"/>
  <c r="F64" i="3" s="1"/>
  <c r="D65" i="3"/>
  <c r="Q120" i="4"/>
  <c r="J19" i="5"/>
  <c r="K19" i="5"/>
  <c r="AA19" i="5"/>
  <c r="E99" i="3"/>
  <c r="Y64" i="4"/>
  <c r="V23" i="4"/>
  <c r="W23" i="4" s="1"/>
  <c r="X19" i="4" s="1"/>
  <c r="E94" i="3" s="1"/>
  <c r="S23" i="4"/>
  <c r="T19" i="4" s="1"/>
  <c r="E73" i="3" s="1"/>
  <c r="G18" i="5"/>
  <c r="C79" i="3"/>
  <c r="V145" i="4"/>
  <c r="W145" i="4" s="1"/>
  <c r="X141" i="4" s="1"/>
  <c r="F107" i="3" s="1"/>
  <c r="S145" i="4"/>
  <c r="T141" i="4" s="1"/>
  <c r="F86" i="3" s="1"/>
  <c r="D63" i="3"/>
  <c r="Q102" i="4"/>
  <c r="V31" i="4"/>
  <c r="W31" i="4" s="1"/>
  <c r="X27" i="4" s="1"/>
  <c r="S31" i="4"/>
  <c r="T27" i="4" s="1"/>
  <c r="Y27" i="4" l="1"/>
  <c r="D95" i="3"/>
  <c r="E21" i="5"/>
  <c r="C63" i="3"/>
  <c r="U148" i="4"/>
  <c r="D87" i="3"/>
  <c r="AD26" i="5"/>
  <c r="D26" i="5"/>
  <c r="G46" i="3"/>
  <c r="Z46" i="3"/>
  <c r="J38" i="3"/>
  <c r="D73" i="3"/>
  <c r="U18" i="4"/>
  <c r="Y139" i="4"/>
  <c r="D107" i="3"/>
  <c r="X102" i="4"/>
  <c r="G37" i="3"/>
  <c r="J35" i="3"/>
  <c r="W37" i="3"/>
  <c r="AD20" i="5"/>
  <c r="D20" i="5"/>
  <c r="Y55" i="4"/>
  <c r="D98" i="3"/>
  <c r="G38" i="3"/>
  <c r="W38" i="3"/>
  <c r="Y36" i="4"/>
  <c r="D96" i="3"/>
  <c r="AD13" i="5"/>
  <c r="D13" i="5"/>
  <c r="G59" i="3"/>
  <c r="W59" i="3"/>
  <c r="X113" i="4"/>
  <c r="F104" i="3" s="1"/>
  <c r="Y111" i="4"/>
  <c r="D104" i="3"/>
  <c r="AD25" i="5"/>
  <c r="D25" i="5"/>
  <c r="H18" i="5"/>
  <c r="AB18" i="5"/>
  <c r="AD14" i="5"/>
  <c r="D14" i="5"/>
  <c r="T36" i="4"/>
  <c r="AC17" i="5"/>
  <c r="F17" i="5"/>
  <c r="Y45" i="3"/>
  <c r="G45" i="3"/>
  <c r="X120" i="4"/>
  <c r="E15" i="5"/>
  <c r="C57" i="3"/>
  <c r="AB20" i="5"/>
  <c r="H20" i="5"/>
  <c r="AD24" i="5"/>
  <c r="D24" i="5"/>
  <c r="T139" i="4"/>
  <c r="T102" i="4"/>
  <c r="AD15" i="5"/>
  <c r="D15" i="5"/>
  <c r="D77" i="3"/>
  <c r="U55" i="4"/>
  <c r="AD16" i="5"/>
  <c r="D16" i="5"/>
  <c r="Y43" i="3"/>
  <c r="G43" i="3"/>
  <c r="X79" i="3"/>
  <c r="J75" i="3"/>
  <c r="I17" i="5"/>
  <c r="C99" i="3"/>
  <c r="G36" i="3"/>
  <c r="V36" i="3"/>
  <c r="AD21" i="5"/>
  <c r="D21" i="5"/>
  <c r="AB19" i="5"/>
  <c r="H19" i="5"/>
  <c r="D74" i="3"/>
  <c r="U27" i="4"/>
  <c r="E23" i="5"/>
  <c r="C65" i="3"/>
  <c r="C22" i="5"/>
  <c r="C44" i="3"/>
  <c r="X40" i="3"/>
  <c r="J36" i="3"/>
  <c r="E24" i="5"/>
  <c r="C66" i="3"/>
  <c r="AD23" i="5"/>
  <c r="D23" i="5"/>
  <c r="Q111" i="4"/>
  <c r="J20" i="5"/>
  <c r="AA20" i="5"/>
  <c r="K20" i="5"/>
  <c r="T120" i="4"/>
  <c r="E12" i="5"/>
  <c r="C54" i="3"/>
  <c r="E25" i="5"/>
  <c r="C67" i="3"/>
  <c r="E26" i="5"/>
  <c r="C68" i="3"/>
  <c r="X132" i="4"/>
  <c r="E97" i="3"/>
  <c r="Y46" i="4"/>
  <c r="E16" i="5"/>
  <c r="C58" i="3"/>
  <c r="E14" i="5"/>
  <c r="C56" i="3"/>
  <c r="J96" i="3"/>
  <c r="X100" i="3"/>
  <c r="G17" i="5"/>
  <c r="C78" i="3"/>
  <c r="G35" i="3"/>
  <c r="V35" i="3"/>
  <c r="AD18" i="5"/>
  <c r="D18" i="5"/>
  <c r="Y148" i="4"/>
  <c r="D108" i="3"/>
  <c r="AD19" i="5"/>
  <c r="D19" i="5"/>
  <c r="G24" i="5"/>
  <c r="C85" i="3"/>
  <c r="G48" i="3"/>
  <c r="Z48" i="3"/>
  <c r="U111" i="4"/>
  <c r="D83" i="3"/>
  <c r="E76" i="3"/>
  <c r="U46" i="4"/>
  <c r="Z47" i="3"/>
  <c r="G47" i="3"/>
  <c r="E13" i="5"/>
  <c r="C55" i="3"/>
  <c r="J18" i="5"/>
  <c r="AA18" i="5"/>
  <c r="K18" i="5"/>
  <c r="Y18" i="4"/>
  <c r="D94" i="3"/>
  <c r="G15" i="5" l="1"/>
  <c r="C76" i="3"/>
  <c r="V56" i="3"/>
  <c r="G56" i="3"/>
  <c r="Y44" i="3"/>
  <c r="G44" i="3"/>
  <c r="F15" i="5"/>
  <c r="AC15" i="5"/>
  <c r="D103" i="3"/>
  <c r="Y102" i="4"/>
  <c r="G63" i="3"/>
  <c r="Y63" i="3"/>
  <c r="G22" i="5"/>
  <c r="C83" i="3"/>
  <c r="Z68" i="3"/>
  <c r="G68" i="3"/>
  <c r="I12" i="5"/>
  <c r="C94" i="3"/>
  <c r="I15" i="5"/>
  <c r="C97" i="3"/>
  <c r="F12" i="5"/>
  <c r="AC12" i="5"/>
  <c r="Z66" i="3"/>
  <c r="J58" i="3"/>
  <c r="G66" i="3"/>
  <c r="G13" i="5"/>
  <c r="C74" i="3"/>
  <c r="G99" i="3"/>
  <c r="W99" i="3"/>
  <c r="F13" i="5"/>
  <c r="AC13" i="5"/>
  <c r="AB17" i="5"/>
  <c r="H17" i="5"/>
  <c r="F14" i="5"/>
  <c r="AC14" i="5"/>
  <c r="G67" i="3"/>
  <c r="Z67" i="3"/>
  <c r="U120" i="4"/>
  <c r="D84" i="3"/>
  <c r="E22" i="5"/>
  <c r="C64" i="3"/>
  <c r="F24" i="5"/>
  <c r="AC24" i="5"/>
  <c r="AD22" i="5"/>
  <c r="D22" i="5"/>
  <c r="K17" i="5"/>
  <c r="AA17" i="5"/>
  <c r="J17" i="5"/>
  <c r="J37" i="3"/>
  <c r="G16" i="5"/>
  <c r="C77" i="3"/>
  <c r="U102" i="4"/>
  <c r="D82" i="3"/>
  <c r="Y120" i="4"/>
  <c r="D105" i="3"/>
  <c r="C28" i="5"/>
  <c r="F21" i="5"/>
  <c r="AC21" i="5"/>
  <c r="AB24" i="5"/>
  <c r="H24" i="5"/>
  <c r="I22" i="5"/>
  <c r="C104" i="3"/>
  <c r="V55" i="3"/>
  <c r="G55" i="3"/>
  <c r="G78" i="3"/>
  <c r="W78" i="3"/>
  <c r="F26" i="5"/>
  <c r="AC26" i="5"/>
  <c r="G85" i="3"/>
  <c r="Z85" i="3"/>
  <c r="W58" i="3"/>
  <c r="G58" i="3"/>
  <c r="F106" i="3"/>
  <c r="Y130" i="4"/>
  <c r="F25" i="5"/>
  <c r="AC25" i="5"/>
  <c r="G65" i="3"/>
  <c r="Y65" i="3"/>
  <c r="U139" i="4"/>
  <c r="D86" i="3"/>
  <c r="U36" i="4"/>
  <c r="D75" i="3"/>
  <c r="I14" i="5"/>
  <c r="C96" i="3"/>
  <c r="I16" i="5"/>
  <c r="C98" i="3"/>
  <c r="C107" i="3"/>
  <c r="I25" i="5"/>
  <c r="I26" i="5"/>
  <c r="C108" i="3"/>
  <c r="F16" i="5"/>
  <c r="AC16" i="5"/>
  <c r="J54" i="3"/>
  <c r="V54" i="3"/>
  <c r="G54" i="3"/>
  <c r="F23" i="5"/>
  <c r="AC23" i="5"/>
  <c r="J55" i="3"/>
  <c r="W57" i="3"/>
  <c r="G57" i="3"/>
  <c r="G12" i="5"/>
  <c r="C73" i="3"/>
  <c r="G26" i="5"/>
  <c r="C87" i="3"/>
  <c r="I13" i="5"/>
  <c r="C95" i="3"/>
  <c r="AA16" i="5" l="1"/>
  <c r="K16" i="5"/>
  <c r="J16" i="5"/>
  <c r="AA13" i="5"/>
  <c r="K13" i="5"/>
  <c r="J13" i="5"/>
  <c r="Y104" i="3"/>
  <c r="G104" i="3"/>
  <c r="H16" i="5"/>
  <c r="AB16" i="5"/>
  <c r="G23" i="5"/>
  <c r="C84" i="3"/>
  <c r="H13" i="5"/>
  <c r="AB13" i="5"/>
  <c r="AA15" i="5"/>
  <c r="K15" i="5"/>
  <c r="J15" i="5"/>
  <c r="V96" i="3"/>
  <c r="G96" i="3"/>
  <c r="J22" i="5"/>
  <c r="K22" i="5"/>
  <c r="AA22" i="5"/>
  <c r="J94" i="3"/>
  <c r="V94" i="3"/>
  <c r="G94" i="3"/>
  <c r="G83" i="3"/>
  <c r="Y83" i="3"/>
  <c r="AB26" i="5"/>
  <c r="H26" i="5"/>
  <c r="AA14" i="5"/>
  <c r="K14" i="5"/>
  <c r="J14" i="5"/>
  <c r="G21" i="5"/>
  <c r="C82" i="3"/>
  <c r="F22" i="5"/>
  <c r="AC22" i="5"/>
  <c r="E28" i="5"/>
  <c r="AA12" i="5"/>
  <c r="K12" i="5"/>
  <c r="J12" i="5"/>
  <c r="AB22" i="5"/>
  <c r="H22" i="5"/>
  <c r="I21" i="5"/>
  <c r="I28" i="5" s="1"/>
  <c r="C103" i="3"/>
  <c r="G76" i="3"/>
  <c r="J74" i="3"/>
  <c r="W76" i="3"/>
  <c r="H12" i="5"/>
  <c r="AB12" i="5"/>
  <c r="J26" i="5"/>
  <c r="K26" i="5"/>
  <c r="AA26" i="5"/>
  <c r="G14" i="5"/>
  <c r="C75" i="3"/>
  <c r="J73" i="3" s="1"/>
  <c r="I23" i="5"/>
  <c r="C105" i="3"/>
  <c r="G87" i="3"/>
  <c r="Z87" i="3"/>
  <c r="J25" i="5"/>
  <c r="AA25" i="5"/>
  <c r="K25" i="5"/>
  <c r="Y64" i="3"/>
  <c r="G64" i="3"/>
  <c r="J57" i="3"/>
  <c r="Z107" i="3"/>
  <c r="G107" i="3"/>
  <c r="G25" i="5"/>
  <c r="C86" i="3"/>
  <c r="V95" i="3"/>
  <c r="G95" i="3"/>
  <c r="G73" i="3"/>
  <c r="V73" i="3"/>
  <c r="Z108" i="3"/>
  <c r="G108" i="3"/>
  <c r="W98" i="3"/>
  <c r="G98" i="3"/>
  <c r="I24" i="5"/>
  <c r="C106" i="3"/>
  <c r="G77" i="3"/>
  <c r="W77" i="3"/>
  <c r="G74" i="3"/>
  <c r="V74" i="3"/>
  <c r="J95" i="3"/>
  <c r="W97" i="3"/>
  <c r="G97" i="3"/>
  <c r="H15" i="5"/>
  <c r="AB15" i="5"/>
  <c r="H14" i="5" l="1"/>
  <c r="AB14" i="5"/>
  <c r="AB23" i="5"/>
  <c r="H23" i="5"/>
  <c r="Y84" i="3"/>
  <c r="G84" i="3"/>
  <c r="Z106" i="3"/>
  <c r="J98" i="3"/>
  <c r="G106" i="3"/>
  <c r="Z86" i="3"/>
  <c r="G86" i="3"/>
  <c r="J77" i="3"/>
  <c r="G105" i="3"/>
  <c r="Y105" i="3"/>
  <c r="Y82" i="3"/>
  <c r="J76" i="3"/>
  <c r="G82" i="3"/>
  <c r="G75" i="3"/>
  <c r="V75" i="3"/>
  <c r="J21" i="5"/>
  <c r="AA21" i="5"/>
  <c r="K21" i="5"/>
  <c r="K28" i="5" s="1"/>
  <c r="J24" i="5"/>
  <c r="AA24" i="5"/>
  <c r="K24" i="5"/>
  <c r="AB25" i="5"/>
  <c r="H25" i="5"/>
  <c r="J23" i="5"/>
  <c r="K23" i="5"/>
  <c r="AA23" i="5"/>
  <c r="G28" i="5"/>
  <c r="J97" i="3"/>
  <c r="G103" i="3"/>
  <c r="Y103" i="3"/>
  <c r="AB21" i="5"/>
  <c r="H21" i="5"/>
  <c r="K29" i="5" l="1"/>
  <c r="C29" i="5"/>
  <c r="I29" i="5"/>
  <c r="E29" i="5"/>
  <c r="G29" i="5"/>
</calcChain>
</file>

<file path=xl/sharedStrings.xml><?xml version="1.0" encoding="utf-8"?>
<sst xmlns="http://schemas.openxmlformats.org/spreadsheetml/2006/main" count="1315" uniqueCount="562">
  <si>
    <t xml:space="preserve">OWASP Software Assurance Maturity Model (SAMM) </t>
  </si>
  <si>
    <t>Version:</t>
  </si>
  <si>
    <t>2.0</t>
  </si>
  <si>
    <t>Description:</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</si>
  <si>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</si>
  <si>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License:</t>
  </si>
  <si>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</si>
  <si>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</si>
  <si>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Element:</t>
  </si>
  <si>
    <t>Toolbox for v2.0</t>
  </si>
  <si>
    <t>Authors:</t>
  </si>
  <si>
    <t>Yan Kravchenko</t>
  </si>
  <si>
    <t>Contributors:</t>
  </si>
  <si>
    <t>The SAMM project team</t>
  </si>
  <si>
    <t>Toolbox for v1.5</t>
  </si>
  <si>
    <t>Brian Glas</t>
  </si>
  <si>
    <t>Roadmap Chart Template v1.0</t>
  </si>
  <si>
    <t>Author:</t>
  </si>
  <si>
    <t>Colin Watson</t>
  </si>
  <si>
    <t>Aidan Lynch</t>
  </si>
  <si>
    <t>Interview Template v1.0</t>
  </si>
  <si>
    <t>Author(s):</t>
  </si>
  <si>
    <t>Nick Coblentz, Eoin Keary, and Seba Deleersnyder</t>
  </si>
  <si>
    <t>SAMM</t>
  </si>
  <si>
    <t>The Software Assurance Maturity Model (SAMM) was created by Pravir Chandra and is now an Open Web Application Security Project (OWASP) project.</t>
  </si>
  <si>
    <t>SAMM is licensed under the Creative Commons Attribution-Share Alike 4.0 License</t>
  </si>
  <si>
    <t>https://owaspsamm.org/</t>
  </si>
  <si>
    <t>Instructions</t>
  </si>
  <si>
    <t>Add your name (cell D14) and start time (cell I14).</t>
  </si>
  <si>
    <t>very easy</t>
  </si>
  <si>
    <t>very confident</t>
  </si>
  <si>
    <t>easy</t>
  </si>
  <si>
    <t>confident</t>
  </si>
  <si>
    <t>If you answer at least one question in a Stream (column F), also answer how easy it was for you to answer (column L) and how confident you were to answer it (column M). If you are not able to answer a question in a Stream, leave it blank.</t>
  </si>
  <si>
    <t>difficult</t>
  </si>
  <si>
    <t>unconfident</t>
  </si>
  <si>
    <t>If you are not familiar with a Stream at all, you may choose to leave the entire Stream blank.</t>
  </si>
  <si>
    <t>very difficult</t>
  </si>
  <si>
    <t>very unconfident</t>
  </si>
  <si>
    <t>Add end time and the bottom (cell I232).</t>
  </si>
  <si>
    <t>Organization:</t>
  </si>
  <si>
    <t>Team/Application:</t>
  </si>
  <si>
    <t>Interview Date:</t>
  </si>
  <si>
    <t xml:space="preserve">Team Lead: </t>
  </si>
  <si>
    <t>Name:</t>
  </si>
  <si>
    <t>Start Time (hh:mm):</t>
  </si>
  <si>
    <t>How easy was it for you to answer the questions in this stream?</t>
  </si>
  <si>
    <t>How confident are you with your answers to the questions in this stream?</t>
  </si>
  <si>
    <t>Governance</t>
  </si>
  <si>
    <t>Stream</t>
  </si>
  <si>
    <t>Level</t>
  </si>
  <si>
    <t>Strategy &amp; Metrics</t>
  </si>
  <si>
    <t>Answer</t>
  </si>
  <si>
    <t>Comments</t>
  </si>
  <si>
    <t>Rating</t>
  </si>
  <si>
    <t>G-SM-A-1-1</t>
  </si>
  <si>
    <t>G-SM-A-2-1</t>
  </si>
  <si>
    <t>G-SM-A-3-1</t>
  </si>
  <si>
    <t>G-SM-B-1-1</t>
  </si>
  <si>
    <t>G-SM-B-2-1</t>
  </si>
  <si>
    <t>G-SM-B-3-1</t>
  </si>
  <si>
    <t>Policy &amp; Compliance</t>
  </si>
  <si>
    <t>G-PC-A-1-1</t>
  </si>
  <si>
    <t>G-PC-A-2-1</t>
  </si>
  <si>
    <t>G-PC-A-3-1</t>
  </si>
  <si>
    <t>G-PC-B-1-1</t>
  </si>
  <si>
    <t>G-PC-B-2-1</t>
  </si>
  <si>
    <t>G-PC-B-3-1</t>
  </si>
  <si>
    <t>Education &amp; Guidance</t>
  </si>
  <si>
    <t>G-EG-A-1-1</t>
  </si>
  <si>
    <t>Yes, some of them</t>
  </si>
  <si>
    <t>G-EG-A-2-1</t>
  </si>
  <si>
    <t>Yes, for most or all of the training</t>
  </si>
  <si>
    <t>G-EG-A-3-1</t>
  </si>
  <si>
    <t>G-EG-B-1-1</t>
  </si>
  <si>
    <t>Yes, for most or all of the teams</t>
  </si>
  <si>
    <t>Team Security Master</t>
  </si>
  <si>
    <t>G-EG-B-2-1</t>
  </si>
  <si>
    <t>Yes, for the entire organization</t>
  </si>
  <si>
    <t>G-EG-B-3-1</t>
  </si>
  <si>
    <t>Design</t>
  </si>
  <si>
    <t>Threat Assessment</t>
  </si>
  <si>
    <t>D-TA-A-1-1</t>
  </si>
  <si>
    <t>Yes, most or all of them</t>
  </si>
  <si>
    <t>D-TA-A-2-1</t>
  </si>
  <si>
    <t>Yes, for most or all of the applications</t>
  </si>
  <si>
    <t>D-TA-A-3-1</t>
  </si>
  <si>
    <t>Yes, upon change of the application</t>
  </si>
  <si>
    <t>I’m not aware of any historical feedback we have to improve the method we use, but significant changes to an application do trigger a review of relevant risk profiles.</t>
  </si>
  <si>
    <t>D-TA-B-1-1</t>
  </si>
  <si>
    <t>D-TA-B-2-1</t>
  </si>
  <si>
    <t>Security Masters / 
Team Security Masters</t>
  </si>
  <si>
    <t>D-TA-B-3-1</t>
  </si>
  <si>
    <t>No</t>
  </si>
  <si>
    <t>Security Requirements</t>
  </si>
  <si>
    <t>D-SR-A-1-1</t>
  </si>
  <si>
    <t>D-SR-A-2-1</t>
  </si>
  <si>
    <t>Yes, most or all of the time</t>
  </si>
  <si>
    <t>D-SR-A-3-1</t>
  </si>
  <si>
    <t>D-SR-B-1-1</t>
  </si>
  <si>
    <t>D-SR-B-2-1</t>
  </si>
  <si>
    <t>D-SR-B-3-1</t>
  </si>
  <si>
    <t>Secure Architecture</t>
  </si>
  <si>
    <t>D-SA-A-1-1</t>
  </si>
  <si>
    <t>D-SA-A-2-1</t>
  </si>
  <si>
    <t>D-SA-A-3-1</t>
  </si>
  <si>
    <t>D-SA-B-1-1</t>
  </si>
  <si>
    <t>D-SA-B-2-1</t>
  </si>
  <si>
    <t>D-SA-B-3-1</t>
  </si>
  <si>
    <t>Implementation</t>
  </si>
  <si>
    <t>Secure Build</t>
  </si>
  <si>
    <t>I-SB-A-1-1</t>
  </si>
  <si>
    <t>I-SB-A-2-1</t>
  </si>
  <si>
    <t>I-SB-A-3-1</t>
  </si>
  <si>
    <t>I-SB-B-1-1</t>
  </si>
  <si>
    <t>Solid knowledge is here interpreted as there is a clear way to see which dependencies you are relying on. I dont think anyone has “solid knowledge” of all dependencies.</t>
  </si>
  <si>
    <t>I-SB-B-2-1</t>
  </si>
  <si>
    <t>Not sure we do all of the extra stuff, but we do it for all applications</t>
  </si>
  <si>
    <t>I-SB-B-3-1</t>
  </si>
  <si>
    <t>Secure Deployment</t>
  </si>
  <si>
    <t>I-SD-A-1-1</t>
  </si>
  <si>
    <t>I-SD-A-2-1</t>
  </si>
  <si>
    <t>I-SD-A-3-1</t>
  </si>
  <si>
    <t>I-SD-B-1-1</t>
  </si>
  <si>
    <t>I-SD-B-2-1</t>
  </si>
  <si>
    <t>I-SD-B-3-1</t>
  </si>
  <si>
    <t>Defect Management</t>
  </si>
  <si>
    <t>I-DM-A-1-1</t>
  </si>
  <si>
    <t>I-DM-A-2-1</t>
  </si>
  <si>
    <t>I-DM-A-3-1</t>
  </si>
  <si>
    <t>I-DM-B-1-1</t>
  </si>
  <si>
    <t>I-DM-B-2-1</t>
  </si>
  <si>
    <t>I-DM-B-3-1</t>
  </si>
  <si>
    <t>Verification</t>
  </si>
  <si>
    <t>Architecture Assessment</t>
  </si>
  <si>
    <t>V-AA-A-1-1</t>
  </si>
  <si>
    <t>V-AA-A-2-1</t>
  </si>
  <si>
    <t>V-AA-A-3-1</t>
  </si>
  <si>
    <t>V-AA-B-1-1</t>
  </si>
  <si>
    <t>V-AA-B-2-1</t>
  </si>
  <si>
    <t>V-AA-B-3-1</t>
  </si>
  <si>
    <t>Requirements Testing</t>
  </si>
  <si>
    <t>V-RT-A-1-1</t>
  </si>
  <si>
    <t>V-RT-A-2-1</t>
  </si>
  <si>
    <t>V-RT-A-3-1</t>
  </si>
  <si>
    <t>V-RT-B-1-1</t>
  </si>
  <si>
    <t>V-RT-B-2-1</t>
  </si>
  <si>
    <t>V-RT-B-3-1</t>
  </si>
  <si>
    <t>Security Testing</t>
  </si>
  <si>
    <t>V-ST-A-1-1</t>
  </si>
  <si>
    <t>V-ST-A-2-1</t>
  </si>
  <si>
    <t>V-ST-A-3-1</t>
  </si>
  <si>
    <t>V-ST-B-1-1</t>
  </si>
  <si>
    <t>V-ST-B-2-1</t>
  </si>
  <si>
    <t>V-ST-B-3-1</t>
  </si>
  <si>
    <t>Operations</t>
  </si>
  <si>
    <t>Incident Management</t>
  </si>
  <si>
    <t>O-IM-A-1-1</t>
  </si>
  <si>
    <t>O-IM-A-2-1</t>
  </si>
  <si>
    <t>O-IM-A-3-1</t>
  </si>
  <si>
    <t>O-IM-B-1-1</t>
  </si>
  <si>
    <t>O-IM-B-2-1</t>
  </si>
  <si>
    <t>O-IM-B-3-1</t>
  </si>
  <si>
    <t>Environment Management</t>
  </si>
  <si>
    <t>O-EM-A-1-1</t>
  </si>
  <si>
    <t>O-EM-A-2-1</t>
  </si>
  <si>
    <t>O-EM-A-3-1</t>
  </si>
  <si>
    <t>O-EM-B-1-1</t>
  </si>
  <si>
    <t>O-EM-B-2-1</t>
  </si>
  <si>
    <t>O-EM-B-3-1</t>
  </si>
  <si>
    <t>Operational Management</t>
  </si>
  <si>
    <t>O-OM-A-1-1</t>
  </si>
  <si>
    <t>O-OM-A-2-1</t>
  </si>
  <si>
    <t>O-OM-A-3-1</t>
  </si>
  <si>
    <t>O-OM-B-1-1</t>
  </si>
  <si>
    <t>O-OM-B-2-1</t>
  </si>
  <si>
    <t>O-OM-B-3-1</t>
  </si>
  <si>
    <t>End Time (hh:mm):</t>
  </si>
  <si>
    <r>
      <rPr>
        <b/>
        <sz val="10"/>
        <rFont val="Trebuchet MS"/>
        <family val="2"/>
        <charset val="1"/>
      </rPr>
      <t xml:space="preserve">Notes:
</t>
    </r>
    <r>
      <rPr>
        <sz val="10"/>
        <rFont val="Trebuchet MS"/>
        <family val="2"/>
        <charset val="1"/>
      </rPr>
      <t>Data in this worksheet is automatically imported from the Interview and Roadmap worksheets and will automatically update when changed in the respective worksheets.  This is mostly a read-only worksheet, changes should be made in Interview or Roadmap worksheets.</t>
    </r>
  </si>
  <si>
    <t>Current Maturity Score</t>
  </si>
  <si>
    <t>Maturity</t>
  </si>
  <si>
    <t>Business Functions</t>
  </si>
  <si>
    <t>Security Practices</t>
  </si>
  <si>
    <t>Current</t>
  </si>
  <si>
    <t>Translated Value</t>
  </si>
  <si>
    <t>Phase 1 Maturity Score</t>
  </si>
  <si>
    <t>Phase 2 Maturity Score</t>
  </si>
  <si>
    <t>Phase 3 Maturity Score</t>
  </si>
  <si>
    <t>Phase 4 Maturity Score</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</si>
  <si>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</si>
  <si>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</si>
  <si>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</si>
  <si>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</si>
  <si>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</si>
  <si>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Phase I</t>
  </si>
  <si>
    <t>Phase II</t>
  </si>
  <si>
    <t>Phase III</t>
  </si>
  <si>
    <t>Phase IV</t>
  </si>
  <si>
    <t>Yes, but review is ad-hoc</t>
  </si>
  <si>
    <t>Software Assurance Maturity Model (SAMM) Roadmap</t>
  </si>
  <si>
    <t>Date</t>
  </si>
  <si>
    <t>Team Lead:</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</si>
  <si>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</si>
  <si>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</si>
  <si>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</si>
  <si>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</si>
  <si>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</si>
  <si>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</si>
  <si>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</si>
  <si>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</si>
  <si>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</si>
  <si>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</si>
  <si>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</si>
  <si>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</si>
  <si>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</si>
  <si>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</si>
  <si>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</si>
  <si>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</si>
  <si>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</si>
  <si>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</si>
  <si>
    <r>
      <rPr>
        <b/>
        <sz val="10"/>
        <rFont val="Trebuchet MS"/>
        <family val="2"/>
        <charset val="1"/>
      </rPr>
      <t xml:space="preserve">Notes:
</t>
    </r>
    <r>
      <rPr>
        <sz val="10"/>
        <rFont val="Trebuchet MS"/>
        <family val="2"/>
        <charset val="1"/>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</si>
  <si>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</si>
  <si>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Yes</t>
  </si>
  <si>
    <t>A</t>
  </si>
  <si>
    <t>2+</t>
  </si>
  <si>
    <t>Yes, it's less than a year old</t>
  </si>
  <si>
    <t>Yes, it's a number of years old</t>
  </si>
  <si>
    <t>1+</t>
  </si>
  <si>
    <t>Yes, it's a pretty mature program</t>
  </si>
  <si>
    <t>0+</t>
  </si>
  <si>
    <t>B</t>
  </si>
  <si>
    <t>2,3,6,9</t>
  </si>
  <si>
    <t>Yes, some of them are aware</t>
  </si>
  <si>
    <t>4,15</t>
  </si>
  <si>
    <t>Yes, approx. half of them are aware</t>
  </si>
  <si>
    <t>1,3,5,12</t>
  </si>
  <si>
    <t>Yes, most of them are aware</t>
  </si>
  <si>
    <t>C</t>
  </si>
  <si>
    <t>4,5,7,12,13,14,16,17,18</t>
  </si>
  <si>
    <t>1,2,3,6,7,8,10,11,12,15,19</t>
  </si>
  <si>
    <t>Yes, a small percentage are/do</t>
  </si>
  <si>
    <t>1,2,3,5,8,10,13,14,17,18</t>
  </si>
  <si>
    <t>Yes, at least half of them are/do</t>
  </si>
  <si>
    <t>6,7,9,11,14,15,16,17</t>
  </si>
  <si>
    <t>Yes, the majority of them are/do</t>
  </si>
  <si>
    <t>D</t>
  </si>
  <si>
    <t>8,15,20</t>
  </si>
  <si>
    <t>Yes, we did it once</t>
  </si>
  <si>
    <t>Yes, we do it every few years</t>
  </si>
  <si>
    <t>Yes, we do it at least annually</t>
  </si>
  <si>
    <t>E</t>
  </si>
  <si>
    <t>No, it is not applicable</t>
  </si>
  <si>
    <t>Yes, but on an adhoc basis</t>
  </si>
  <si>
    <t>F</t>
  </si>
  <si>
    <t>11,19</t>
  </si>
  <si>
    <t>9,14,17</t>
  </si>
  <si>
    <t>Yes, teams write/run their own</t>
  </si>
  <si>
    <t>Yes, there is a standard set</t>
  </si>
  <si>
    <t>Yes, the standard set is integrated</t>
  </si>
  <si>
    <t>G</t>
  </si>
  <si>
    <t>16,18</t>
  </si>
  <si>
    <t>Yes, localized to business areas</t>
  </si>
  <si>
    <t>6,7,9,11,12,16,19</t>
  </si>
  <si>
    <t>Yes, across the organization</t>
  </si>
  <si>
    <t>4,8,10,13</t>
  </si>
  <si>
    <t>Yes, across the organization and required</t>
  </si>
  <si>
    <t>H</t>
  </si>
  <si>
    <t>ID</t>
  </si>
  <si>
    <t>Business Function</t>
  </si>
  <si>
    <t>Activity</t>
  </si>
  <si>
    <t>Question</t>
  </si>
  <si>
    <t>Guidance</t>
  </si>
  <si>
    <t>Answer Option</t>
  </si>
  <si>
    <t>Configuration Hardening</t>
  </si>
  <si>
    <t>Do you monitor and enforce conformity with hardening baselines?</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</si>
  <si>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</si>
  <si>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System Decomissioning / Legacy Management</t>
  </si>
  <si>
    <t>Do you regularly evaluate the lifecycle state and support status of every software asset and underlying infrastructure component, and estimate their end of life?</t>
  </si>
  <si>
    <t>Your end of life management process is agreed upon
You inform customers and user groups of product timelines to prevent disruption of service or support
You review the process at least annually</t>
  </si>
  <si>
    <t>Scalable Baseline</t>
  </si>
  <si>
    <t>Do you integrate automated security testing into the build and deploy process?</t>
  </si>
  <si>
    <t>Management and business stakeholders track and review test results throughout the development cycle
You merge test results into a central dashboard and feed them into defect management</t>
  </si>
  <si>
    <t>Supplier Security</t>
  </si>
  <si>
    <t>Are vendors aligned with standard security controls and software development tools and processes that the organization utilizes?</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</si>
  <si>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</si>
  <si>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</si>
  <si>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Control Verification</t>
  </si>
  <si>
    <t>Do you automatically test applications for security regressions?</t>
  </si>
  <si>
    <t>You consistently write tests for all identified bugs (possibly exceeding a pre-defined severity threshhold)
You collect security tests in a test suite that is part of the existing unit testing framework</t>
  </si>
  <si>
    <t>Deployment Process</t>
  </si>
  <si>
    <t>Are deployment processes automated and employing security checks?</t>
  </si>
  <si>
    <t>Deployment processes are automated on all stages
Deployment includes automated security testing procedures
You alert responsible staff to identified vulnerabilities
You have logs available for your past deployments for a defined period of time</t>
  </si>
  <si>
    <t>Misuse/Abuse Testing</t>
  </si>
  <si>
    <t>Do you test applications using randomization or fuzzing techniques?</t>
  </si>
  <si>
    <t>Testing covers most or all of the application's main input parameters
You record and inspect all application crashes for security impact on a best-effort basis</t>
  </si>
  <si>
    <t>Software Requirements</t>
  </si>
  <si>
    <t>Do project teams specify security requirements during development?</t>
  </si>
  <si>
    <t>Teams derive security requirements from functional requirements and customer or organization concerns
Security requirements are specific, measurable, and reasonable
Security requirements are in line with the organizational baseline</t>
  </si>
  <si>
    <t>Deep Understanding</t>
  </si>
  <si>
    <t>Do you manually review the security quality of selected high-risk components?</t>
  </si>
  <si>
    <t>Criteria exist to help the reviewer focus on high-risk components
Qualified personnel conduct reviews following documented guidelines
You address findings in accordance with the organization's defect management policy</t>
  </si>
  <si>
    <t>Data Protection</t>
  </si>
  <si>
    <t>Do you protect and handle information according to protection requirements for data stored and processed on each application?</t>
  </si>
  <si>
    <t>You know the data elements processed and stored by each application
You know the type and sensitivity level of each identified data element
You have controls to prevent propagation of unsanitized sensitive data from production to lower environments</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</si>
  <si>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</si>
  <si>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</si>
  <si>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</si>
  <si>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Patching and Updating</t>
  </si>
  <si>
    <t>Do you identify and patch vulnerable components?</t>
  </si>
  <si>
    <t>You have an up-to-date list of components, including version information
You regularly review public sources for vulnerabilities related to your components</t>
  </si>
  <si>
    <t>Do you regularly evaluate components and review patch level status?</t>
  </si>
  <si>
    <t>You update the list with components and versions
You identify and update missing updates according to existing SLA
You review and update the process based on feedback from the people who perform patching</t>
  </si>
  <si>
    <t>Do you regularly review and update the data catalog and your data protection policies and procedures?</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</si>
  <si>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</si>
  <si>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Do you perform denial of service and security stress testing?</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</si>
  <si>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</si>
  <si>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Do you use a standard requirements framework to streamline the elicitation of security requirements?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</si>
  <si>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</si>
  <si>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Do you use the results of security testing to improve the development lifecycle?</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</si>
  <si>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</si>
  <si>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Secret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</si>
  <si>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</si>
  <si>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</si>
  <si>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Do you scan applications with automated security testing tools?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</si>
  <si>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</si>
  <si>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Do stakeholders review vendor collaborations for security requirements and methodology?</t>
  </si>
  <si>
    <t>You consider including specific security requirements, activities, and processes when creating third-party agreements
A vendor questionnaire is available and used to assess the strengths and weaknesses of your suppliers</t>
  </si>
  <si>
    <t>Do you test applications for the correct functioning of standard security controls?</t>
  </si>
  <si>
    <t>Security testing at least verifies the implementation of authentication, access control, input validation, encoding and escaping data, and encryption controls
Security testing executes whenever the application changes its use of the controls</t>
  </si>
  <si>
    <t>Do you identify and remove systems, applications, application dependencies, or services that are no longer used, have reached end of life, or are no longer actively developed or supported?</t>
  </si>
  <si>
    <t>You do not use unsupported applications or dependencies
You manage customer/user migration from older versions for each product and customer/user group</t>
  </si>
  <si>
    <t>Architecture Validation</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</si>
  <si>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</si>
  <si>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</si>
  <si>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harden configurations for key components of your technology stacks?</t>
  </si>
  <si>
    <t>You have identified the key components in each technology stack used
You have an established configuration standard for each key component</t>
  </si>
  <si>
    <t>Incident Detection</t>
  </si>
  <si>
    <t>Do you follow a documented process for incident detection?</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</si>
  <si>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</si>
  <si>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Organization and Culture</t>
  </si>
  <si>
    <t>Does the organization have a Secure Software Center of Excellence (SSCE)?</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</si>
  <si>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</si>
  <si>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Incident Response</t>
  </si>
  <si>
    <t>Do you use a repeatable process for incident handling?</t>
  </si>
  <si>
    <t>You have an agreed upon incident classification
The process considers Root Case Analysis for high severity incidents
Employees responsible for incident response are trained in this process
Forensic analysis tooling is available</t>
  </si>
  <si>
    <t>Training and Awareness</t>
  </si>
  <si>
    <t>Is training customized for individual roles such as developers, testers, or security champions?</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</si>
  <si>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</si>
  <si>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</si>
  <si>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</si>
  <si>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</si>
  <si>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</si>
  <si>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maintain a data catalog, including types, sensitivity levels, and processing and storage locations?</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</si>
  <si>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</si>
  <si>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</si>
  <si>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</si>
  <si>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Do you create abuse cases from functional requirements and use them to drive security tests?</t>
  </si>
  <si>
    <t>Important business functionality has corresponding abuse cases
You build abuse stories around relevant personas with well-defined motivations and characteristics
You capture identified weaknesses as security requirements</t>
  </si>
  <si>
    <t>Do you perform penetration testing for your applications at regular intervals?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</si>
  <si>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</si>
  <si>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Do you follow an established process for updating components of your technology stacks?</t>
  </si>
  <si>
    <t>The process includes vendor information for third-party patches
The process considers external sources to gather information about zero day attacks, and includes appropriate risk mitigation steps
The process includes guidance for prioritizing component updates</t>
  </si>
  <si>
    <t>Do you regularly review the effectiveness of the security controls?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</si>
  <si>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</si>
  <si>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Do you use repeatable deployment processes?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</si>
  <si>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</si>
  <si>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Do you consistently validate the integrity of deployed artifacts?</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</si>
  <si>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</si>
  <si>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</si>
  <si>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</si>
  <si>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follow an established process for removing all associated resources, as part of decommissioning of unused systems, applications, application dependencies, or services?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</si>
  <si>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</si>
  <si>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</si>
  <si>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</si>
  <si>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</si>
  <si>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</si>
  <si>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</si>
  <si>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</si>
  <si>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have hardening baselines for your components?</t>
  </si>
  <si>
    <t>You have assigned an owner for each baseline
The owner keeps their assigned baselines up to date
You store baselines in an accessible location
You train employees responsible for configurations in these baselines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</si>
  <si>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</si>
  <si>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</si>
  <si>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limit access to application secrets according to the least privilege principle?</t>
  </si>
  <si>
    <t>You store production secrets protected in a secured location
Developers do not have access to production secrets
Production secrets are not available in non-production environments</t>
  </si>
  <si>
    <t>Have you implemented a Learning Management System or equivalent to track employee training and certification processes?</t>
  </si>
  <si>
    <t>A Learning Management System (LMS) is used to track trainings and certifications
Training is based on internal standards, policies, and procedures
You use certification programs or attendance records to determine access to development systems and resources</t>
  </si>
  <si>
    <t>Do you have a dedicated incident response team available?</t>
  </si>
  <si>
    <t>The team performs Root Cause Analysis for all security incidents unless there is a specific reason not to do so
You review and update the response process at least annually</t>
  </si>
  <si>
    <t>Do you analyze log data for security incidents periodically?</t>
  </si>
  <si>
    <t>You have a contact point for the creation of security incidents
You analyze data in accordance with the log data retention periods
The frequency of this analysis is aligned with the criticality of your applications</t>
  </si>
  <si>
    <t>Have you identified a Security Champion for each development team?</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</si>
  <si>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</si>
  <si>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Is there a centralized portal where developers and application security professionals from different teams and business units are able to communicate and share information?</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</si>
  <si>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</si>
  <si>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review and update the incident detection process regularly?</t>
  </si>
  <si>
    <t>You perform reviews at least annually
You update the checklist of potential attacks with external and internal data</t>
  </si>
  <si>
    <t>Do you respond to detected incidents?</t>
  </si>
  <si>
    <t>You have a defined person or role for incident handling
You document security incidents</t>
  </si>
  <si>
    <t>Do you require employees involved with application development to take SDLC training?</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</si>
  <si>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</si>
  <si>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Policy &amp; Standards</t>
  </si>
  <si>
    <t>Do you regularly report on policy and standard compliance, and use that information to guide compliance improvement efforts?</t>
  </si>
  <si>
    <t>You have procedures (automated, if possible) to regularly generate compliance reports
You deliver compliance reports to all relevant stakeholders
Stakeholders use the reported compliance status information to identify areas for improvement</t>
  </si>
  <si>
    <t>Application Risk Profile</t>
  </si>
  <si>
    <t>Do you use centralized and quantified application risk profiles to evaluate business risk?</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</si>
  <si>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</si>
  <si>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Compliance Management</t>
  </si>
  <si>
    <t>Do you have a complete picture of your external compliance obligations?</t>
  </si>
  <si>
    <t>You have identified all sources of external compliance obligations
You have captured and reconciled compliance obligations from all sources</t>
  </si>
  <si>
    <t>Defect Tracking</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</si>
  <si>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</si>
  <si>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</si>
  <si>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regularly report on adherence to external compliance obligations and use that information to guide efforts to close compliance gaps?</t>
  </si>
  <si>
    <t>You have established, well-defined compliance metrics
You measure and report on applications' compliance metrics regularly
Stakeholders use the reported compliance status information to identify compliance gaps and prioritize gap remediation efforts</t>
  </si>
  <si>
    <t>Threat Modeling</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</si>
  <si>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</si>
  <si>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</si>
  <si>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Do you have and apply a common set of policies and standards throughout your organization?</t>
  </si>
  <si>
    <t>You have adapted existing standards appropriate for the organization’s industry to account for domain-specific considerations
Your standards are aligned with your policies and incorporate technology-specific implementation guidance</t>
  </si>
  <si>
    <t>Metrics and Feedback</t>
  </si>
  <si>
    <t>Do you improve your security assurance program upon standardized metrics?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</si>
  <si>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</si>
  <si>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Create and Promote</t>
  </si>
  <si>
    <t>Do you understand the enterprise-wide risk appetite for your applications ?</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</si>
  <si>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</si>
  <si>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Security Architecture</t>
  </si>
  <si>
    <t>Architecture Design</t>
  </si>
  <si>
    <t>Do teams use security principles during design?</t>
  </si>
  <si>
    <t>You have an agreed upon checklist of security principles
You store your checklist in an accessible location
Relevant stakeholders understand security principles</t>
  </si>
  <si>
    <t>Build Process</t>
  </si>
  <si>
    <t>Is the build process fully automated?</t>
  </si>
  <si>
    <t>The build process itself doesn't require any human interaction
Your build tools are hardened as per best practice and vendor guidance
You encrypt the secrets required by the build tools and control access based on the principle of least privilege</t>
  </si>
  <si>
    <t>Technology Management</t>
  </si>
  <si>
    <t>Do you enforce the use of recommended technologies within the organization?</t>
  </si>
  <si>
    <t>You monitor applications regularly for the correct use of the recommended technologies
You solve violations against the list accoranding to organizational policies
You take action if the number of violations falls outside the yearly objectives</t>
  </si>
  <si>
    <t>Measure and Improve</t>
  </si>
  <si>
    <t>Do you update the Application Security strategy and roadmap based on application security metrics and KPIs?</t>
  </si>
  <si>
    <t>You review KPIs at least yearly for their efficiency and effectiveness
KPIs and application security metrics trigger most of the changes to the application security strategy</t>
  </si>
  <si>
    <t>Do you use a set of metrics to measure the effectiveness and efficiency of the application security program across applications?</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</si>
  <si>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</si>
  <si>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Do you evaluate the security quality of important technologies used for development?</t>
  </si>
  <si>
    <t>You have a list of the most important technologies used in or in support of each application
You identify and track technological risks
You ensure the risks to these technologies are in line with the organizational baseline</t>
  </si>
  <si>
    <t>Software Dependencies</t>
  </si>
  <si>
    <t>Do you handle 3rd party dependency risk by a formal process?</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</si>
  <si>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</si>
  <si>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Do you base your design on available reference architectures?</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</si>
  <si>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</si>
  <si>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Do you regularly review and update the Strategic Plan for Application Security?</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</si>
  <si>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</si>
  <si>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Do you have a standard set of security requirements and verification procedures addressing the organization's external compliance obligations?</t>
  </si>
  <si>
    <t>You map each external compliance obligation to a well-defined set of application requirements
You define verification procedures, including automated tests, to verify compliance with compliance-related requirements</t>
  </si>
  <si>
    <t>Do you classify applications according to business risk based on a simple and predefined set of questions?</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</si>
  <si>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</si>
  <si>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</si>
  <si>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</si>
  <si>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</si>
  <si>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</si>
  <si>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</si>
  <si>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</si>
  <si>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publish the organization's policies as test scripts or run-books for easy interpretation by development teams?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</si>
  <si>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</si>
  <si>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Do you identify and manage architectural design flaws with threat modeling?</t>
  </si>
  <si>
    <t>You perform threat modeling for high-risk applications
You use simple threat checklists, such as STRIDE
You persist the outcome of a threat model for later use</t>
  </si>
  <si>
    <t>Do you use basic metrics about recorded security defects to carry out quick win improvement activities?</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</si>
  <si>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</si>
  <si>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</si>
  <si>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</si>
  <si>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regularly review and update the risk profiles for your applications?</t>
  </si>
  <si>
    <t>The organizational risk standard considers historical feedback to improve the evaluation method
Significant changes in the application or business context trigger a review of the relevant risk profiles</t>
  </si>
  <si>
    <t>Is your full build process formally described?</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</si>
  <si>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</si>
  <si>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Do you use shared security services during design?</t>
  </si>
  <si>
    <t>You have a documented list of reusable security services, available to relevant stakeholders
You have reviewed the baseline security posture for each selected service
Your designers are trained to integrate each selected service following available guidance</t>
  </si>
  <si>
    <t>Do you have a strategic plan for application security and use it to make decisions?</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</si>
  <si>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</si>
  <si>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Do you prevent build of software if it's affected by vulnerabilities in dependencies?</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</si>
  <si>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</si>
  <si>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Do you have solid knowledge about dependencies you're relying on?</t>
  </si>
  <si>
    <t>You have a current bill of materials (BOM) for every application
You can quickly find out which applications are affected by a particular CVE
You have analyzed, addressed, and documented findings from dependencies at least once in the last three months</t>
  </si>
  <si>
    <t>Do you have a list of recommended technologies for the organization?</t>
  </si>
  <si>
    <t>The list is based on technologies used in the software portfolio
Lead architects and developers review and approve the list
You share the list across the organization
You review and update the list at least yearly</t>
  </si>
  <si>
    <t>Did you define Key Perfomance Indicators (KPI) from available application security metrics?</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</si>
  <si>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</si>
  <si>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</si>
  <si>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</si>
  <si>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ANS_SET_CODE</t>
  </si>
  <si>
    <t>A_W</t>
  </si>
  <si>
    <t>B_W</t>
  </si>
  <si>
    <t>C_W</t>
  </si>
  <si>
    <t>D_W</t>
  </si>
  <si>
    <t>Yes, some content</t>
  </si>
  <si>
    <t>Yes, at least half of the content</t>
  </si>
  <si>
    <t>Yes, most or all of the content</t>
  </si>
  <si>
    <t>Yes, for some of the metrics</t>
  </si>
  <si>
    <t>Yes, for at least half of the metrics</t>
  </si>
  <si>
    <t>Yes, for most or all of the metrics</t>
  </si>
  <si>
    <t>Yes, at least half of them</t>
  </si>
  <si>
    <t>Yes, for some obligations</t>
  </si>
  <si>
    <t>Yes, for at least half of the obligations</t>
  </si>
  <si>
    <t>Yes, for most or all of the obligations</t>
  </si>
  <si>
    <t>Yes, but reporting is ad-hoc</t>
  </si>
  <si>
    <t>Yes, we report at regular times</t>
  </si>
  <si>
    <t>Yes, we report at least annually</t>
  </si>
  <si>
    <t>Yes, for some applications</t>
  </si>
  <si>
    <t>Yes, for at least half of the applications</t>
  </si>
  <si>
    <t>Yes, sporadically</t>
  </si>
  <si>
    <t>Yes, at least annually</t>
  </si>
  <si>
    <t>Yes, some of the time</t>
  </si>
  <si>
    <t>Yes, at least half of the time</t>
  </si>
  <si>
    <t>Yes, for some of the training</t>
  </si>
  <si>
    <t>Yes, for at least half of the training</t>
  </si>
  <si>
    <t>Yes, for some of the policies and standards</t>
  </si>
  <si>
    <t>Yes, for at least half of the policies and standards</t>
  </si>
  <si>
    <t>Yes, for most or all of the policies and standards</t>
  </si>
  <si>
    <t>Yes, for one metrics category</t>
  </si>
  <si>
    <t>Yes, for two metrics categories</t>
  </si>
  <si>
    <t>Yes, for all three metrics categories</t>
  </si>
  <si>
    <t>Yes, we started implementing it</t>
  </si>
  <si>
    <t>Yes, for part of the organization</t>
  </si>
  <si>
    <t>Yes, for some components</t>
  </si>
  <si>
    <t>Yes, for at least half of the components</t>
  </si>
  <si>
    <t>Yes, for most or all of the components</t>
  </si>
  <si>
    <t>Yes, we review it at regular times</t>
  </si>
  <si>
    <t>Yes, we review it at least annually</t>
  </si>
  <si>
    <t>Yes, for some of our data</t>
  </si>
  <si>
    <t>Yes, for at least half of our data</t>
  </si>
  <si>
    <t>Yes, for most or all of our data</t>
  </si>
  <si>
    <t>Yes, we do it when requested</t>
  </si>
  <si>
    <t>Yes, for some incident types</t>
  </si>
  <si>
    <t>Yes, for at least half of the incident types</t>
  </si>
  <si>
    <t>Yes, for most or all of the incident types</t>
  </si>
  <si>
    <t>Yes, for some incidents</t>
  </si>
  <si>
    <t>Yes, for at least half of the incidents</t>
  </si>
  <si>
    <t>Yes, for most or all of the incidents</t>
  </si>
  <si>
    <t>Yes, for some of the assets</t>
  </si>
  <si>
    <t>Yes, for at least half of the assets</t>
  </si>
  <si>
    <t>Yes, for most or all of the assets</t>
  </si>
  <si>
    <t>Yes, but we improve it ad-hoc</t>
  </si>
  <si>
    <t>Yes, we we improve it at regular times</t>
  </si>
  <si>
    <t>Yes, we improve it at least annually</t>
  </si>
  <si>
    <t>Yes, for some of the technology domains</t>
  </si>
  <si>
    <t>Yes, for at least half of the technology domains</t>
  </si>
  <si>
    <t>Yes, for most or all of the technology domains</t>
  </si>
  <si>
    <t>Yes, we review it annually</t>
  </si>
  <si>
    <t>Yes, we consult the plan before making significant decisions</t>
  </si>
  <si>
    <t>Yes, we consult the plan often, and it is aligned with our application security strategy</t>
  </si>
  <si>
    <t>Yes, for some teams</t>
  </si>
  <si>
    <t>Yes, for at least half of the teams</t>
  </si>
  <si>
    <t>Yes, some of it</t>
  </si>
  <si>
    <t>Yes, at least half of it</t>
  </si>
  <si>
    <t>Yes, most or all of it</t>
  </si>
  <si>
    <t>Yes, it covers general risks</t>
  </si>
  <si>
    <t>Yes, it covers organization-specific risks</t>
  </si>
  <si>
    <t>Yes, it covers risks and opportunities</t>
  </si>
  <si>
    <t>Software Assurance Maturity Model (SAMM) Roadmap Chart Template Background Images</t>
  </si>
  <si>
    <t>Role</t>
  </si>
  <si>
    <t>development</t>
  </si>
  <si>
    <t>229a43e68f7f67bd25211bf95ce5c4e8</t>
  </si>
  <si>
    <t>If you wish to provide additional informaiton for a question, please use the Comments column (column I) for it. Please also take Additional Infos for COMPANY (column K) into account.</t>
  </si>
  <si>
    <t>COMPANY</t>
  </si>
  <si>
    <t>Additional Infos for COMPANY</t>
  </si>
  <si>
    <t>Security Masters and Team Security Masters (Security Champion is a specific role on COMPANY higher up in our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</si>
</sst>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mmm\-yy"/>
    <numFmt numFmtId="166" formatCode="hh:mm:ss\ AM/PM"/>
    <numFmt numFmtId="167" formatCode="m/d/yyyy"/>
  </numFmts>
  <fonts count="31">
    <font>
      <sz val="10"/>
      <name val="Arial"/>
      <family val="2"/>
    </font>
    <font>
      <sz val="10"/>
      <name val="Arial"/>
      <family val="2"/>
      <charset val="1"/>
    </font>
    <font>
      <sz val="10"/>
      <name val="Lohit Devanagari"/>
      <family val="2"/>
    </font>
    <font>
      <sz val="10"/>
      <color rgb="FFFFFFFF"/>
      <name val="Trebuchet MS"/>
      <family val="2"/>
      <charset val="1"/>
    </font>
    <font>
      <sz val="20"/>
      <color rgb="FFFFFFFF"/>
      <name val="Trebuchet MS"/>
      <family val="2"/>
      <charset val="1"/>
    </font>
    <font>
      <b/>
      <sz val="10"/>
      <color rgb="FFFFFFFF"/>
      <name val="Trebuchet MS"/>
      <family val="2"/>
      <charset val="1"/>
    </font>
    <font>
      <b/>
      <u/>
      <sz val="10"/>
      <color rgb="FFFFFFFF"/>
      <name val="Arial"/>
      <family val="2"/>
      <charset val="1"/>
    </font>
    <font>
      <sz val="10"/>
      <name val="Arial"/>
      <charset val="1"/>
    </font>
    <font>
      <b/>
      <sz val="10"/>
      <name val="Arial"/>
      <family val="2"/>
      <charset val="1"/>
    </font>
    <font>
      <b/>
      <sz val="11"/>
      <name val="Arial"/>
      <family val="2"/>
      <charset val="1"/>
    </font>
    <font>
      <b/>
      <sz val="14"/>
      <color rgb="FF010000"/>
      <name val="Arial"/>
      <family val="2"/>
      <charset val="1"/>
    </font>
    <font>
      <b/>
      <sz val="11"/>
      <color rgb="FF010000"/>
      <name val="Arial"/>
      <family val="2"/>
      <charset val="1"/>
    </font>
    <font>
      <sz val="10"/>
      <color rgb="FF010000"/>
      <name val="Arial"/>
      <family val="2"/>
      <charset val="1"/>
    </font>
    <font>
      <b/>
      <sz val="10"/>
      <color rgb="FF010000"/>
      <name val="Arial"/>
      <family val="2"/>
      <charset val="1"/>
    </font>
    <font>
      <sz val="10"/>
      <color rgb="FFFFFFFF"/>
      <name val="Arial"/>
      <family val="2"/>
      <charset val="1"/>
    </font>
    <font>
      <b/>
      <sz val="18"/>
      <name val="Arial"/>
      <family val="2"/>
      <charset val="1"/>
    </font>
    <font>
      <b/>
      <sz val="10"/>
      <color rgb="FFFFFFFF"/>
      <name val="Arial"/>
      <family val="2"/>
      <charset val="1"/>
    </font>
    <font>
      <b/>
      <sz val="22"/>
      <color rgb="FF010000"/>
      <name val="Arial"/>
      <family val="2"/>
      <charset val="1"/>
    </font>
    <font>
      <i/>
      <sz val="10"/>
      <color rgb="FF010000"/>
      <name val="Arial"/>
      <family val="2"/>
      <charset val="1"/>
    </font>
    <font>
      <b/>
      <sz val="10"/>
      <name val="Trebuchet MS"/>
      <family val="2"/>
      <charset val="1"/>
    </font>
    <font>
      <sz val="10"/>
      <name val="Trebuchet MS"/>
      <family val="2"/>
      <charset val="1"/>
    </font>
    <font>
      <b/>
      <sz val="12"/>
      <color rgb="FF010000"/>
      <name val="Arial"/>
      <family val="2"/>
      <charset val="1"/>
    </font>
    <font>
      <b/>
      <sz val="12"/>
      <name val="Arial"/>
      <family val="2"/>
      <charset val="1"/>
    </font>
    <font>
      <sz val="20"/>
      <name val="Trebuchet MS"/>
      <family val="2"/>
      <charset val="1"/>
    </font>
    <font>
      <sz val="11"/>
      <name val="Trebuchet MS"/>
      <family val="2"/>
      <charset val="1"/>
    </font>
    <font>
      <b/>
      <sz val="10"/>
      <color rgb="FF3290C4"/>
      <name val="Trebuchet MS"/>
      <family val="2"/>
      <charset val="1"/>
    </font>
    <font>
      <b/>
      <sz val="10"/>
      <color rgb="FFB75727"/>
      <name val="Trebuchet MS"/>
      <family val="2"/>
      <charset val="1"/>
    </font>
    <font>
      <b/>
      <sz val="10"/>
      <color rgb="FFFFC221"/>
      <name val="Trebuchet MS"/>
      <family val="2"/>
      <charset val="1"/>
    </font>
    <font>
      <b/>
      <sz val="10"/>
      <color rgb="FF37793E"/>
      <name val="Trebuchet MS"/>
      <family val="2"/>
      <charset val="1"/>
    </font>
    <font>
      <b/>
      <sz val="10"/>
      <color rgb="FF791F17"/>
      <name val="Trebuchet MS"/>
      <family val="2"/>
      <charset val="1"/>
    </font>
    <font>
      <u/>
      <sz val="10"/>
      <name val="Trebuchet MS"/>
      <family val="2"/>
      <charset val="1"/>
    </font>
  </fonts>
  <fills count="24">
    <fill>
      <patternFill patternType="none"/>
    </fill>
    <fill>
      <patternFill patternType="gray125"/>
    </fill>
    <fill>
      <patternFill patternType="solid">
        <fgColor rgb="FF333333"/>
        <bgColor rgb="FF003366"/>
      </patternFill>
    </fill>
    <fill>
      <patternFill patternType="solid">
        <fgColor rgb="FF95B3D7"/>
        <bgColor rgb="FF94BCDD"/>
      </patternFill>
    </fill>
    <fill>
      <patternFill patternType="solid">
        <fgColor rgb="FFDCE6F2"/>
        <bgColor rgb="FFDDDDDD"/>
      </patternFill>
    </fill>
    <fill>
      <patternFill patternType="solid">
        <fgColor rgb="FFEBF1DE"/>
        <bgColor rgb="FFF2F2F2"/>
      </patternFill>
    </fill>
    <fill>
      <patternFill patternType="solid">
        <fgColor rgb="FFF2F2F2"/>
        <bgColor rgb="FFEBF1DE"/>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D9A619"/>
      </patternFill>
    </fill>
    <fill>
      <patternFill patternType="solid">
        <fgColor rgb="FFD9A619"/>
        <bgColor rgb="FFBDBF17"/>
      </patternFill>
    </fill>
    <fill>
      <patternFill patternType="solid">
        <fgColor rgb="FFFFC221"/>
        <bgColor rgb="FFFFC000"/>
      </patternFill>
    </fill>
    <fill>
      <patternFill patternType="solid">
        <fgColor rgb="FFD5D514"/>
        <bgColor rgb="FFD4D513"/>
      </patternFill>
    </fill>
    <fill>
      <patternFill patternType="solid">
        <fgColor rgb="FF37793E"/>
        <bgColor rgb="FF339966"/>
      </patternFill>
    </fill>
    <fill>
      <patternFill patternType="solid">
        <fgColor rgb="FF8BAA88"/>
        <bgColor rgb="FF8BA988"/>
      </patternFill>
    </fill>
    <fill>
      <patternFill patternType="solid">
        <fgColor rgb="FF8BA988"/>
        <bgColor rgb="FF8BAA88"/>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F2F2F2"/>
      </patternFill>
    </fill>
    <fill>
      <patternFill patternType="solid">
        <fgColor rgb="FFC0C0C0"/>
        <bgColor rgb="FFA7C0DE"/>
      </patternFill>
    </fill>
  </fills>
  <borders count="74">
    <border>
      <left/>
      <right/>
      <top/>
      <bottom/>
      <diagonal/>
    </border>
    <border>
      <left style="medium">
        <color auto="1"/>
      </left>
      <right style="medium">
        <color auto="1"/>
      </right>
      <top style="medium">
        <color auto="1"/>
      </top>
      <bottom style="thin">
        <color rgb="FF010000"/>
      </bottom>
      <diagonal/>
    </border>
    <border>
      <left style="medium">
        <color auto="1"/>
      </left>
      <right style="medium">
        <color auto="1"/>
      </right>
      <top style="thin">
        <color rgb="FF010000"/>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rgb="FF010000"/>
      </bottom>
      <diagonal/>
    </border>
    <border>
      <left style="thin">
        <color rgb="FF010000"/>
      </left>
      <right/>
      <top style="thin">
        <color rgb="FF010000"/>
      </top>
      <bottom style="thin">
        <color rgb="FF010000"/>
      </bottom>
      <diagonal/>
    </border>
    <border>
      <left/>
      <right/>
      <top style="thin">
        <color rgb="FF010000"/>
      </top>
      <bottom style="thin">
        <color rgb="FF010000"/>
      </bottom>
      <diagonal/>
    </border>
    <border>
      <left/>
      <right style="thin">
        <color rgb="FF010000"/>
      </right>
      <top style="thin">
        <color rgb="FF010000"/>
      </top>
      <bottom style="thin">
        <color rgb="FF010000"/>
      </bottom>
      <diagonal/>
    </border>
    <border>
      <left style="thin">
        <color rgb="FF010000"/>
      </left>
      <right style="thin">
        <color rgb="FF010000"/>
      </right>
      <top style="thin">
        <color rgb="FF010000"/>
      </top>
      <bottom style="thin">
        <color rgb="FF010000"/>
      </bottom>
      <diagonal/>
    </border>
    <border>
      <left style="thin">
        <color rgb="FF010000"/>
      </left>
      <right/>
      <top style="thin">
        <color rgb="FF010000"/>
      </top>
      <bottom/>
      <diagonal/>
    </border>
    <border>
      <left style="thin">
        <color auto="1"/>
      </left>
      <right style="thin">
        <color auto="1"/>
      </right>
      <top style="thin">
        <color rgb="FF010000"/>
      </top>
      <bottom style="thin">
        <color auto="1"/>
      </bottom>
      <diagonal/>
    </border>
    <border>
      <left/>
      <right style="thin">
        <color rgb="FF010000"/>
      </right>
      <top style="thin">
        <color rgb="FF010000"/>
      </top>
      <bottom/>
      <diagonal/>
    </border>
    <border>
      <left style="thin">
        <color rgb="FF010000"/>
      </left>
      <right style="thin">
        <color rgb="FF010000"/>
      </right>
      <top style="thin">
        <color rgb="FF010000"/>
      </top>
      <bottom/>
      <diagonal/>
    </border>
    <border>
      <left style="thin">
        <color auto="1"/>
      </left>
      <right/>
      <top style="thin">
        <color auto="1"/>
      </top>
      <bottom/>
      <diagonal/>
    </border>
    <border>
      <left/>
      <right style="thin">
        <color rgb="FF010000"/>
      </right>
      <top style="thin">
        <color auto="1"/>
      </top>
      <bottom style="thin">
        <color auto="1"/>
      </bottom>
      <diagonal/>
    </border>
    <border>
      <left style="thin">
        <color rgb="FF010000"/>
      </left>
      <right style="thin">
        <color rgb="FF010000"/>
      </right>
      <top style="thin">
        <color auto="1"/>
      </top>
      <bottom style="thin">
        <color auto="1"/>
      </bottom>
      <diagonal/>
    </border>
    <border>
      <left style="thin">
        <color rgb="FF010000"/>
      </left>
      <right style="thin">
        <color auto="1"/>
      </right>
      <top style="thin">
        <color auto="1"/>
      </top>
      <bottom style="thin">
        <color auto="1"/>
      </bottom>
      <diagonal/>
    </border>
    <border>
      <left/>
      <right style="thin">
        <color rgb="FF010000"/>
      </right>
      <top/>
      <bottom/>
      <diagonal/>
    </border>
    <border>
      <left style="thin">
        <color rgb="FF010000"/>
      </left>
      <right style="thin">
        <color rgb="FF010000"/>
      </right>
      <top/>
      <bottom/>
      <diagonal/>
    </border>
    <border>
      <left style="thin">
        <color rgb="FF010000"/>
      </left>
      <right style="thin">
        <color rgb="FF010000"/>
      </right>
      <top style="thin">
        <color rgb="FF010000"/>
      </top>
      <bottom style="thin">
        <color auto="1"/>
      </bottom>
      <diagonal/>
    </border>
    <border>
      <left style="thin">
        <color rgb="FF010000"/>
      </left>
      <right/>
      <top/>
      <bottom/>
      <diagonal/>
    </border>
    <border>
      <left style="thin">
        <color auto="1"/>
      </left>
      <right/>
      <top style="thin">
        <color auto="1"/>
      </top>
      <bottom style="thin">
        <color auto="1"/>
      </bottom>
      <diagonal/>
    </border>
    <border>
      <left/>
      <right style="thin">
        <color rgb="FF010000"/>
      </right>
      <top style="thin">
        <color auto="1"/>
      </top>
      <bottom/>
      <diagonal/>
    </border>
    <border>
      <left style="thin">
        <color rgb="FF010000"/>
      </left>
      <right style="thin">
        <color rgb="FF010000"/>
      </right>
      <top style="thin">
        <color auto="1"/>
      </top>
      <bottom/>
      <diagonal/>
    </border>
    <border>
      <left style="thin">
        <color rgb="FF010000"/>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rgb="FF010000"/>
      </right>
      <top style="thin">
        <color auto="1"/>
      </top>
      <bottom style="thin">
        <color auto="1"/>
      </bottom>
      <diagonal/>
    </border>
    <border>
      <left style="thin">
        <color rgb="FF010000"/>
      </left>
      <right/>
      <top style="thin">
        <color auto="1"/>
      </top>
      <bottom style="thin">
        <color auto="1"/>
      </bottom>
      <diagonal/>
    </border>
    <border>
      <left style="thin">
        <color rgb="FF010000"/>
      </left>
      <right/>
      <top/>
      <bottom style="thin">
        <color auto="1"/>
      </bottom>
      <diagonal/>
    </border>
    <border>
      <left style="thin">
        <color rgb="FF010000"/>
      </left>
      <right style="thin">
        <color rgb="FF010000"/>
      </right>
      <top/>
      <bottom style="thin">
        <color auto="1"/>
      </bottom>
      <diagonal/>
    </border>
    <border>
      <left style="thin">
        <color rgb="FF010000"/>
      </left>
      <right style="thin">
        <color rgb="FF010000"/>
      </right>
      <top/>
      <bottom style="thin">
        <color rgb="FF010000"/>
      </bottom>
      <diagonal/>
    </border>
    <border>
      <left style="thin">
        <color rgb="FF010000"/>
      </left>
      <right style="thin">
        <color auto="1"/>
      </right>
      <top/>
      <bottom style="thin">
        <color auto="1"/>
      </bottom>
      <diagonal/>
    </border>
    <border>
      <left style="thin">
        <color rgb="FF010000"/>
      </left>
      <right style="thin">
        <color auto="1"/>
      </right>
      <top/>
      <bottom/>
      <diagonal/>
    </border>
    <border>
      <left/>
      <right style="thin">
        <color rgb="FF010000"/>
      </right>
      <top/>
      <bottom style="thin">
        <color rgb="FF010000"/>
      </bottom>
      <diagonal/>
    </border>
    <border>
      <left/>
      <right style="thin">
        <color rgb="FF010000"/>
      </right>
      <top style="thin">
        <color rgb="FF010000"/>
      </top>
      <bottom style="thin">
        <color auto="1"/>
      </bottom>
      <diagonal/>
    </border>
    <border>
      <left style="thin">
        <color rgb="FF010000"/>
      </left>
      <right/>
      <top style="thin">
        <color rgb="FF010000"/>
      </top>
      <bottom style="thin">
        <color auto="1"/>
      </bottom>
      <diagonal/>
    </border>
    <border>
      <left style="thin">
        <color rgb="FF010000"/>
      </left>
      <right/>
      <top/>
      <bottom style="thin">
        <color rgb="FF010000"/>
      </bottom>
      <diagonal/>
    </border>
    <border>
      <left style="medium">
        <color auto="1"/>
      </left>
      <right style="medium">
        <color auto="1"/>
      </right>
      <top style="medium">
        <color auto="1"/>
      </top>
      <bottom style="medium">
        <color auto="1"/>
      </bottom>
      <diagonal/>
    </border>
    <border>
      <left/>
      <right/>
      <top style="thin">
        <color rgb="FF010000"/>
      </top>
      <bottom/>
      <diagonal/>
    </border>
    <border>
      <left style="medium">
        <color auto="1"/>
      </left>
      <right/>
      <top style="medium">
        <color auto="1"/>
      </top>
      <bottom style="thin">
        <color rgb="FF010000"/>
      </bottom>
      <diagonal/>
    </border>
    <border>
      <left/>
      <right/>
      <top style="medium">
        <color auto="1"/>
      </top>
      <bottom style="thin">
        <color rgb="FF010000"/>
      </bottom>
      <diagonal/>
    </border>
    <border>
      <left style="medium">
        <color auto="1"/>
      </left>
      <right/>
      <top style="thin">
        <color rgb="FF010000"/>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style="thin">
        <color rgb="FF010000"/>
      </bottom>
      <diagonal/>
    </border>
    <border>
      <left style="thin">
        <color auto="1"/>
      </left>
      <right style="thin">
        <color auto="1"/>
      </right>
      <top style="thin">
        <color auto="1"/>
      </top>
      <bottom style="thin">
        <color rgb="FF010000"/>
      </bottom>
      <diagonal/>
    </border>
    <border>
      <left style="thin">
        <color rgb="FF010000"/>
      </left>
      <right style="thin">
        <color auto="1"/>
      </right>
      <top style="thin">
        <color rgb="FF010000"/>
      </top>
      <bottom style="thin">
        <color auto="1"/>
      </bottom>
      <diagonal/>
    </border>
    <border>
      <left style="thin">
        <color rgb="FF010000"/>
      </left>
      <right style="thin">
        <color auto="1"/>
      </right>
      <top style="thin">
        <color rgb="FF010000"/>
      </top>
      <bottom style="thin">
        <color rgb="FF010000"/>
      </bottom>
      <diagonal/>
    </border>
    <border>
      <left style="thin">
        <color auto="1"/>
      </left>
      <right style="thin">
        <color rgb="FF010000"/>
      </right>
      <top style="thin">
        <color rgb="FF010000"/>
      </top>
      <bottom style="thin">
        <color auto="1"/>
      </bottom>
      <diagonal/>
    </border>
    <border>
      <left style="thin">
        <color auto="1"/>
      </left>
      <right style="thin">
        <color auto="1"/>
      </right>
      <top style="thin">
        <color rgb="FF010000"/>
      </top>
      <bottom style="thin">
        <color rgb="FF010000"/>
      </bottom>
      <diagonal/>
    </border>
    <border>
      <left style="thin">
        <color rgb="FF010000"/>
      </left>
      <right style="thin">
        <color auto="1"/>
      </right>
      <top style="thin">
        <color rgb="FF010000"/>
      </top>
      <bottom/>
      <diagonal/>
    </border>
    <border>
      <left style="thin">
        <color auto="1"/>
      </left>
      <right style="thin">
        <color auto="1"/>
      </right>
      <top style="thin">
        <color rgb="FF010000"/>
      </top>
      <bottom/>
      <diagonal/>
    </border>
    <border>
      <left/>
      <right/>
      <top style="medium">
        <color auto="1"/>
      </top>
      <bottom style="medium">
        <color auto="1"/>
      </bottom>
      <diagonal/>
    </border>
    <border>
      <left/>
      <right/>
      <top style="medium">
        <color auto="1"/>
      </top>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s>
  <cellStyleXfs count="2">
    <xf numFmtId="0" fontId="0" fillId="0" borderId="0"/>
    <xf numFmtId="9" fontId="2" fillId="0" borderId="0" applyBorder="0" applyAlignment="0" applyProtection="0"/>
  </cellStyleXfs>
  <cellXfs count="518">
    <xf numFmtId="0" fontId="0" fillId="0" borderId="0" xfId="0"/>
    <xf numFmtId="0" fontId="3" fillId="2" borderId="0" xfId="1" applyNumberFormat="1" applyFont="1" applyFill="1"/>
    <xf numFmtId="0" fontId="4" fillId="2" borderId="0" xfId="1" applyNumberFormat="1" applyFont="1" applyFill="1" applyAlignment="1">
      <alignment horizontal="left" vertical="top"/>
    </xf>
    <xf numFmtId="0" fontId="4" fillId="2" borderId="0" xfId="1" applyNumberFormat="1" applyFont="1" applyFill="1"/>
    <xf numFmtId="0" fontId="3" fillId="2" borderId="0" xfId="1" applyNumberFormat="1" applyFont="1" applyFill="1" applyAlignment="1">
      <alignment horizontal="left" vertical="top"/>
    </xf>
    <xf numFmtId="0" fontId="3" fillId="2" borderId="0" xfId="1" applyNumberFormat="1" applyFont="1" applyFill="1" applyAlignment="1">
      <alignment horizontal="left" vertical="top" wrapText="1"/>
    </xf>
    <xf numFmtId="0" fontId="5" fillId="2" borderId="0" xfId="1" applyNumberFormat="1" applyFont="1" applyFill="1" applyAlignment="1">
      <alignment horizontal="left" vertical="top"/>
    </xf>
    <xf numFmtId="0" fontId="5" fillId="2" borderId="0" xfId="1" applyNumberFormat="1" applyFont="1" applyFill="1" applyAlignment="1">
      <alignment horizontal="left" vertical="top" wrapText="1"/>
    </xf>
    <xf numFmtId="0" fontId="5" fillId="2" borderId="0" xfId="1" applyNumberFormat="1" applyFont="1" applyFill="1"/>
    <xf numFmtId="0" fontId="6" fillId="2" borderId="0" xfId="0" applyFont="1" applyFill="1" applyAlignment="1">
      <alignment horizontal="left" vertical="top"/>
    </xf>
    <xf numFmtId="0" fontId="7" fillId="0" borderId="0" xfId="0" applyFont="1" applyAlignment="1">
      <alignment horizontal="center"/>
    </xf>
    <xf numFmtId="0" fontId="7" fillId="0" borderId="0" xfId="0" applyFont="1" applyAlignment="1">
      <alignment vertical="top"/>
    </xf>
    <xf numFmtId="0" fontId="7" fillId="0" borderId="0" xfId="0" applyFont="1" applyAlignment="1">
      <alignment wrapText="1"/>
    </xf>
    <xf numFmtId="0" fontId="7" fillId="0" borderId="0" xfId="0" applyFont="1" applyAlignment="1">
      <alignment horizontal="center" wrapText="1"/>
    </xf>
    <xf numFmtId="0" fontId="8" fillId="0" borderId="0" xfId="0" applyFont="1" applyAlignment="1">
      <alignment horizontal="center"/>
    </xf>
    <xf numFmtId="164" fontId="7" fillId="0" borderId="0" xfId="0" applyNumberFormat="1" applyFont="1" applyAlignment="1">
      <alignment horizontal="center"/>
    </xf>
    <xf numFmtId="0" fontId="9" fillId="0" borderId="0" xfId="0" applyFont="1" applyAlignment="1">
      <alignment horizontal="left"/>
    </xf>
    <xf numFmtId="0" fontId="11" fillId="0" borderId="0" xfId="0" applyFont="1" applyAlignment="1">
      <alignment horizontal="left"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horizontal="center" wrapText="1"/>
    </xf>
    <xf numFmtId="0" fontId="13" fillId="0" borderId="0" xfId="0" applyFont="1" applyAlignment="1">
      <alignment horizontal="center" wrapText="1"/>
    </xf>
    <xf numFmtId="164" fontId="12" fillId="0" borderId="0" xfId="0" applyNumberFormat="1" applyFont="1" applyAlignment="1">
      <alignment horizontal="center" wrapText="1"/>
    </xf>
    <xf numFmtId="0" fontId="12" fillId="0" borderId="0" xfId="0" applyFont="1"/>
    <xf numFmtId="0" fontId="14" fillId="0" borderId="0" xfId="0" applyFont="1" applyAlignment="1">
      <alignment wrapText="1"/>
    </xf>
    <xf numFmtId="0" fontId="12" fillId="0" borderId="6" xfId="0" applyFont="1" applyBorder="1" applyAlignment="1">
      <alignment wrapText="1"/>
    </xf>
    <xf numFmtId="0" fontId="12" fillId="0" borderId="8" xfId="0" applyFont="1" applyBorder="1" applyAlignment="1">
      <alignment wrapText="1"/>
    </xf>
    <xf numFmtId="165" fontId="12" fillId="0" borderId="8" xfId="0" applyNumberFormat="1" applyFont="1" applyBorder="1" applyAlignment="1">
      <alignment horizontal="left" wrapText="1"/>
    </xf>
    <xf numFmtId="165" fontId="12" fillId="0" borderId="0" xfId="0" applyNumberFormat="1" applyFont="1" applyAlignment="1">
      <alignment horizontal="center" wrapText="1"/>
    </xf>
    <xf numFmtId="0" fontId="15" fillId="0" borderId="0" xfId="0" applyFont="1"/>
    <xf numFmtId="0" fontId="12" fillId="5" borderId="10" xfId="0" applyFont="1" applyFill="1" applyBorder="1" applyAlignment="1" applyProtection="1">
      <alignment vertical="center" wrapText="1"/>
      <protection locked="0"/>
    </xf>
    <xf numFmtId="0" fontId="12" fillId="0" borderId="0" xfId="0" applyFont="1" applyAlignment="1">
      <alignment horizontal="center" vertical="center" wrapText="1"/>
    </xf>
    <xf numFmtId="0" fontId="13" fillId="0" borderId="11" xfId="0" applyFont="1" applyBorder="1" applyAlignment="1">
      <alignment horizontal="center" vertical="center" wrapText="1"/>
    </xf>
    <xf numFmtId="0" fontId="12" fillId="0" borderId="12" xfId="0" applyFont="1" applyBorder="1" applyAlignment="1">
      <alignment horizontal="center" vertical="center" wrapText="1"/>
    </xf>
    <xf numFmtId="164" fontId="12" fillId="0" borderId="12" xfId="0" applyNumberFormat="1" applyFont="1" applyBorder="1" applyAlignment="1">
      <alignment horizontal="center" vertical="center" wrapText="1"/>
    </xf>
    <xf numFmtId="166" fontId="12" fillId="5" borderId="13" xfId="0" applyNumberFormat="1" applyFont="1" applyFill="1" applyBorder="1" applyAlignment="1" applyProtection="1">
      <alignment horizontal="center" vertical="center"/>
      <protection locked="0"/>
    </xf>
    <xf numFmtId="0" fontId="11" fillId="0" borderId="0" xfId="0" applyFont="1" applyAlignment="1">
      <alignment horizontal="left" vertical="center" wrapText="1"/>
    </xf>
    <xf numFmtId="0" fontId="13" fillId="6" borderId="11" xfId="0" applyFont="1" applyFill="1" applyBorder="1" applyAlignment="1">
      <alignment vertical="center"/>
    </xf>
    <xf numFmtId="0" fontId="13" fillId="0" borderId="11" xfId="0" applyFont="1" applyBorder="1" applyAlignment="1">
      <alignment vertical="center" wrapText="1"/>
    </xf>
    <xf numFmtId="0" fontId="13" fillId="8" borderId="15" xfId="0" applyFont="1" applyFill="1" applyBorder="1" applyAlignment="1">
      <alignment wrapText="1"/>
    </xf>
    <xf numFmtId="0" fontId="13" fillId="8" borderId="16" xfId="0" applyFont="1" applyFill="1" applyBorder="1" applyAlignment="1">
      <alignment horizontal="center" wrapText="1"/>
    </xf>
    <xf numFmtId="0" fontId="13" fillId="8" borderId="15" xfId="0" applyFont="1" applyFill="1" applyBorder="1" applyAlignment="1">
      <alignment horizontal="center" wrapText="1"/>
    </xf>
    <xf numFmtId="0" fontId="13" fillId="8" borderId="17" xfId="0" applyFont="1" applyFill="1" applyBorder="1" applyAlignment="1">
      <alignment horizontal="center" wrapText="1"/>
    </xf>
    <xf numFmtId="0" fontId="13" fillId="8" borderId="18" xfId="0" applyFont="1" applyFill="1" applyBorder="1" applyAlignment="1">
      <alignment horizontal="center" wrapText="1"/>
    </xf>
    <xf numFmtId="164" fontId="13" fillId="8" borderId="18" xfId="0" applyNumberFormat="1" applyFont="1" applyFill="1" applyBorder="1" applyAlignment="1">
      <alignment horizontal="center" wrapText="1"/>
    </xf>
    <xf numFmtId="0" fontId="13" fillId="8" borderId="18" xfId="0" applyFont="1" applyFill="1" applyBorder="1" applyAlignment="1">
      <alignment horizontal="center"/>
    </xf>
    <xf numFmtId="0" fontId="13" fillId="8" borderId="15" xfId="0" applyFont="1" applyFill="1" applyBorder="1" applyAlignment="1">
      <alignment horizontal="center"/>
    </xf>
    <xf numFmtId="0" fontId="1" fillId="0" borderId="0" xfId="0" applyFont="1" applyAlignment="1">
      <alignment horizontal="center"/>
    </xf>
    <xf numFmtId="0" fontId="13" fillId="8" borderId="20" xfId="0" applyFont="1" applyFill="1" applyBorder="1" applyAlignment="1">
      <alignment horizontal="center" wrapText="1"/>
    </xf>
    <xf numFmtId="0" fontId="13" fillId="0" borderId="21" xfId="0" applyFont="1" applyBorder="1" applyAlignment="1">
      <alignment vertical="top" wrapText="1"/>
    </xf>
    <xf numFmtId="0" fontId="13" fillId="0" borderId="21" xfId="0" applyFont="1" applyBorder="1" applyAlignment="1">
      <alignment horizontal="center" wrapText="1"/>
    </xf>
    <xf numFmtId="0" fontId="13" fillId="5" borderId="22" xfId="0" applyFont="1" applyFill="1" applyBorder="1" applyAlignment="1" applyProtection="1">
      <alignment horizontal="center" wrapText="1"/>
      <protection locked="0"/>
    </xf>
    <xf numFmtId="0" fontId="12" fillId="0" borderId="22" xfId="0" applyFont="1" applyBorder="1" applyAlignment="1">
      <alignment horizontal="center"/>
    </xf>
    <xf numFmtId="164" fontId="12" fillId="0" borderId="22" xfId="0" applyNumberFormat="1" applyFont="1" applyBorder="1" applyAlignment="1">
      <alignment horizontal="center"/>
    </xf>
    <xf numFmtId="0" fontId="18" fillId="9" borderId="23" xfId="0" applyFont="1" applyFill="1" applyBorder="1" applyAlignment="1">
      <alignment horizontal="right" vertical="top" wrapText="1"/>
    </xf>
    <xf numFmtId="0" fontId="12" fillId="9" borderId="24" xfId="0" applyFont="1" applyFill="1" applyBorder="1" applyAlignment="1">
      <alignment vertical="top" wrapText="1"/>
    </xf>
    <xf numFmtId="0" fontId="12" fillId="9" borderId="24" xfId="0" applyFont="1" applyFill="1" applyBorder="1" applyAlignment="1">
      <alignment horizontal="center" wrapText="1"/>
    </xf>
    <xf numFmtId="0" fontId="12" fillId="9" borderId="25" xfId="0" applyFont="1" applyFill="1" applyBorder="1" applyAlignment="1">
      <alignment wrapText="1"/>
    </xf>
    <xf numFmtId="0" fontId="12" fillId="9" borderId="25" xfId="0" applyFont="1" applyFill="1" applyBorder="1" applyAlignment="1">
      <alignment horizontal="center" wrapText="1"/>
    </xf>
    <xf numFmtId="164" fontId="12" fillId="9" borderId="26" xfId="0" applyNumberFormat="1" applyFont="1" applyFill="1" applyBorder="1" applyAlignment="1">
      <alignment horizontal="center"/>
    </xf>
    <xf numFmtId="0" fontId="13" fillId="0" borderId="27" xfId="0" applyFont="1" applyBorder="1" applyAlignment="1">
      <alignment horizontal="center" wrapText="1"/>
    </xf>
    <xf numFmtId="0" fontId="13" fillId="5" borderId="28" xfId="0" applyFont="1" applyFill="1" applyBorder="1" applyAlignment="1" applyProtection="1">
      <alignment horizontal="center" wrapText="1"/>
      <protection locked="0"/>
    </xf>
    <xf numFmtId="0" fontId="12" fillId="0" borderId="28" xfId="0" applyFont="1" applyBorder="1" applyAlignment="1">
      <alignment horizontal="center"/>
    </xf>
    <xf numFmtId="164" fontId="12" fillId="0" borderId="28" xfId="0" applyNumberFormat="1" applyFont="1" applyBorder="1" applyAlignment="1">
      <alignment horizontal="center" wrapText="1"/>
    </xf>
    <xf numFmtId="0" fontId="11" fillId="0" borderId="30" xfId="0" applyFont="1" applyBorder="1" applyAlignment="1">
      <alignment horizontal="left" wrapText="1"/>
    </xf>
    <xf numFmtId="0" fontId="18" fillId="9" borderId="31" xfId="0" applyFont="1" applyFill="1" applyBorder="1" applyAlignment="1">
      <alignment horizontal="right" vertical="top" wrapText="1"/>
    </xf>
    <xf numFmtId="0" fontId="13" fillId="9" borderId="25" xfId="0" applyFont="1" applyFill="1" applyBorder="1" applyAlignment="1">
      <alignment horizontal="center" wrapText="1"/>
    </xf>
    <xf numFmtId="164" fontId="12" fillId="9" borderId="26" xfId="0" applyNumberFormat="1" applyFont="1" applyFill="1" applyBorder="1" applyAlignment="1">
      <alignment horizontal="center" wrapText="1"/>
    </xf>
    <xf numFmtId="0" fontId="12" fillId="9" borderId="32" xfId="0" applyFont="1" applyFill="1" applyBorder="1" applyAlignment="1">
      <alignment vertical="top" wrapText="1"/>
    </xf>
    <xf numFmtId="0" fontId="12" fillId="9" borderId="32" xfId="0" applyFont="1" applyFill="1" applyBorder="1" applyAlignment="1">
      <alignment horizontal="center" wrapText="1"/>
    </xf>
    <xf numFmtId="0" fontId="13" fillId="9" borderId="33" xfId="0" applyFont="1" applyFill="1" applyBorder="1" applyAlignment="1">
      <alignment horizontal="center" wrapText="1"/>
    </xf>
    <xf numFmtId="0" fontId="12" fillId="9" borderId="33" xfId="0" applyFont="1" applyFill="1" applyBorder="1" applyAlignment="1">
      <alignment horizontal="center" wrapText="1"/>
    </xf>
    <xf numFmtId="164" fontId="12" fillId="9" borderId="34" xfId="0" applyNumberFormat="1" applyFont="1" applyFill="1" applyBorder="1" applyAlignment="1">
      <alignment horizontal="center" wrapText="1"/>
    </xf>
    <xf numFmtId="0" fontId="12" fillId="10" borderId="31" xfId="0" applyFont="1" applyFill="1" applyBorder="1" applyAlignment="1">
      <alignment wrapText="1"/>
    </xf>
    <xf numFmtId="0" fontId="12" fillId="10" borderId="12" xfId="0" applyFont="1" applyFill="1" applyBorder="1" applyAlignment="1">
      <alignment wrapText="1"/>
    </xf>
    <xf numFmtId="0" fontId="11" fillId="0" borderId="12" xfId="0" applyFont="1" applyBorder="1" applyAlignment="1">
      <alignment horizontal="left" wrapText="1"/>
    </xf>
    <xf numFmtId="0" fontId="12" fillId="10" borderId="13" xfId="0" applyFont="1" applyFill="1" applyBorder="1" applyAlignment="1">
      <alignment wrapText="1"/>
    </xf>
    <xf numFmtId="0" fontId="13" fillId="8" borderId="35" xfId="0" applyFont="1" applyFill="1" applyBorder="1" applyAlignment="1">
      <alignment horizontal="center" wrapText="1"/>
    </xf>
    <xf numFmtId="0" fontId="13" fillId="0" borderId="27" xfId="0" applyFont="1" applyBorder="1" applyAlignment="1">
      <alignment vertical="top" wrapText="1"/>
    </xf>
    <xf numFmtId="164" fontId="12" fillId="0" borderId="28" xfId="0" applyNumberFormat="1" applyFont="1" applyBorder="1" applyAlignment="1">
      <alignment horizontal="center"/>
    </xf>
    <xf numFmtId="0" fontId="13" fillId="8" borderId="24" xfId="0" applyFont="1" applyFill="1" applyBorder="1" applyAlignment="1">
      <alignment horizontal="center" wrapText="1"/>
    </xf>
    <xf numFmtId="0" fontId="13" fillId="8" borderId="25" xfId="0" applyFont="1" applyFill="1" applyBorder="1" applyAlignment="1">
      <alignment horizontal="center" wrapText="1"/>
    </xf>
    <xf numFmtId="164" fontId="13" fillId="8" borderId="25" xfId="0" applyNumberFormat="1" applyFont="1" applyFill="1" applyBorder="1" applyAlignment="1">
      <alignment horizontal="center" wrapText="1"/>
    </xf>
    <xf numFmtId="0" fontId="13" fillId="8" borderId="25" xfId="0" applyFont="1" applyFill="1" applyBorder="1" applyAlignment="1">
      <alignment horizontal="center"/>
    </xf>
    <xf numFmtId="0" fontId="13" fillId="8" borderId="37" xfId="0" applyFont="1" applyFill="1" applyBorder="1" applyAlignment="1">
      <alignment horizontal="center"/>
    </xf>
    <xf numFmtId="0" fontId="13" fillId="8" borderId="37" xfId="0" applyFont="1" applyFill="1" applyBorder="1" applyAlignment="1">
      <alignment wrapText="1"/>
    </xf>
    <xf numFmtId="0" fontId="13" fillId="8" borderId="12" xfId="0" applyFont="1" applyFill="1" applyBorder="1" applyAlignment="1">
      <alignment wrapText="1"/>
    </xf>
    <xf numFmtId="0" fontId="13" fillId="8" borderId="13" xfId="0" applyFont="1" applyFill="1" applyBorder="1" applyAlignment="1">
      <alignment wrapText="1"/>
    </xf>
    <xf numFmtId="0" fontId="13" fillId="5" borderId="25" xfId="0" applyFont="1" applyFill="1" applyBorder="1" applyAlignment="1" applyProtection="1">
      <alignment horizontal="center" wrapText="1"/>
      <protection locked="0"/>
    </xf>
    <xf numFmtId="164" fontId="12" fillId="0" borderId="39" xfId="0" applyNumberFormat="1" applyFont="1" applyBorder="1" applyAlignment="1">
      <alignment horizontal="center" wrapText="1"/>
    </xf>
    <xf numFmtId="0" fontId="13" fillId="9" borderId="39" xfId="0" applyFont="1" applyFill="1" applyBorder="1" applyAlignment="1">
      <alignment horizontal="center" wrapText="1"/>
    </xf>
    <xf numFmtId="0" fontId="12" fillId="9" borderId="39" xfId="0" applyFont="1" applyFill="1" applyBorder="1" applyAlignment="1">
      <alignment horizontal="center" wrapText="1"/>
    </xf>
    <xf numFmtId="164" fontId="12" fillId="9" borderId="41" xfId="0" applyNumberFormat="1" applyFont="1" applyFill="1" applyBorder="1" applyAlignment="1">
      <alignment horizontal="center" wrapText="1"/>
    </xf>
    <xf numFmtId="0" fontId="13" fillId="9" borderId="28" xfId="0" applyFont="1" applyFill="1" applyBorder="1" applyAlignment="1">
      <alignment horizontal="center" wrapText="1"/>
    </xf>
    <xf numFmtId="0" fontId="12" fillId="9" borderId="28" xfId="0" applyFont="1" applyFill="1" applyBorder="1" applyAlignment="1">
      <alignment horizontal="center" wrapText="1"/>
    </xf>
    <xf numFmtId="164" fontId="12" fillId="9" borderId="42" xfId="0" applyNumberFormat="1" applyFont="1" applyFill="1" applyBorder="1" applyAlignment="1">
      <alignment horizontal="center" wrapText="1"/>
    </xf>
    <xf numFmtId="0" fontId="7" fillId="0" borderId="0" xfId="0" applyFont="1"/>
    <xf numFmtId="0" fontId="16" fillId="11" borderId="14" xfId="0" applyFont="1" applyFill="1" applyBorder="1" applyAlignment="1">
      <alignment wrapText="1"/>
    </xf>
    <xf numFmtId="0" fontId="13" fillId="12" borderId="18" xfId="0" applyFont="1" applyFill="1" applyBorder="1" applyAlignment="1">
      <alignment horizontal="center" wrapText="1"/>
    </xf>
    <xf numFmtId="0" fontId="13" fillId="12" borderId="17" xfId="0" applyFont="1" applyFill="1" applyBorder="1" applyAlignment="1">
      <alignment horizontal="center" wrapText="1"/>
    </xf>
    <xf numFmtId="164" fontId="13" fillId="12" borderId="18" xfId="0" applyNumberFormat="1" applyFont="1" applyFill="1" applyBorder="1" applyAlignment="1">
      <alignment horizontal="center" wrapText="1"/>
    </xf>
    <xf numFmtId="0" fontId="13" fillId="12" borderId="18" xfId="0" applyFont="1" applyFill="1" applyBorder="1" applyAlignment="1">
      <alignment horizontal="center"/>
    </xf>
    <xf numFmtId="0" fontId="13" fillId="12" borderId="15" xfId="0" applyFont="1" applyFill="1" applyBorder="1" applyAlignment="1">
      <alignment horizontal="center"/>
    </xf>
    <xf numFmtId="0" fontId="13" fillId="12" borderId="15" xfId="0" applyFont="1" applyFill="1" applyBorder="1" applyAlignment="1">
      <alignment wrapText="1"/>
    </xf>
    <xf numFmtId="0" fontId="13" fillId="12" borderId="16" xfId="0" applyFont="1" applyFill="1" applyBorder="1" applyAlignment="1">
      <alignment wrapText="1"/>
    </xf>
    <xf numFmtId="0" fontId="13" fillId="12" borderId="17" xfId="0" applyFont="1" applyFill="1" applyBorder="1" applyAlignment="1">
      <alignment wrapText="1"/>
    </xf>
    <xf numFmtId="0" fontId="13" fillId="12" borderId="15" xfId="0" applyFont="1" applyFill="1" applyBorder="1" applyAlignment="1">
      <alignment horizontal="center" vertical="center" wrapText="1"/>
    </xf>
    <xf numFmtId="0" fontId="13" fillId="12" borderId="20" xfId="0" applyFont="1" applyFill="1" applyBorder="1" applyAlignment="1">
      <alignment horizontal="center" wrapText="1"/>
    </xf>
    <xf numFmtId="0" fontId="13" fillId="5" borderId="29" xfId="0" applyFont="1" applyFill="1" applyBorder="1" applyAlignment="1" applyProtection="1">
      <alignment horizontal="center" wrapText="1"/>
      <protection locked="0"/>
    </xf>
    <xf numFmtId="0" fontId="11" fillId="0" borderId="0" xfId="0" applyFont="1" applyAlignment="1" applyProtection="1">
      <alignment horizontal="left" wrapText="1"/>
      <protection locked="0"/>
    </xf>
    <xf numFmtId="0" fontId="12" fillId="0" borderId="39" xfId="0" applyFont="1" applyBorder="1" applyAlignment="1">
      <alignment horizontal="center"/>
    </xf>
    <xf numFmtId="0" fontId="11" fillId="0" borderId="30" xfId="0" applyFont="1" applyBorder="1" applyAlignment="1" applyProtection="1">
      <alignment horizontal="left" wrapText="1"/>
      <protection locked="0"/>
    </xf>
    <xf numFmtId="0" fontId="13" fillId="12" borderId="24" xfId="0" applyFont="1" applyFill="1" applyBorder="1" applyAlignment="1">
      <alignment horizontal="center" wrapText="1"/>
    </xf>
    <xf numFmtId="0" fontId="13" fillId="12" borderId="25" xfId="0" applyFont="1" applyFill="1" applyBorder="1" applyAlignment="1">
      <alignment horizontal="center" wrapText="1"/>
    </xf>
    <xf numFmtId="164" fontId="13" fillId="12" borderId="25" xfId="0" applyNumberFormat="1" applyFont="1" applyFill="1" applyBorder="1" applyAlignment="1">
      <alignment horizontal="center" wrapText="1"/>
    </xf>
    <xf numFmtId="0" fontId="13" fillId="12" borderId="25" xfId="0" applyFont="1" applyFill="1" applyBorder="1" applyAlignment="1">
      <alignment horizontal="center"/>
    </xf>
    <xf numFmtId="0" fontId="13" fillId="12" borderId="37" xfId="0" applyFont="1" applyFill="1" applyBorder="1" applyAlignment="1">
      <alignment horizontal="center"/>
    </xf>
    <xf numFmtId="0" fontId="13" fillId="12" borderId="37" xfId="0" applyFont="1" applyFill="1" applyBorder="1" applyAlignment="1">
      <alignment wrapText="1"/>
    </xf>
    <xf numFmtId="0" fontId="13" fillId="12" borderId="12" xfId="0" applyFont="1" applyFill="1" applyBorder="1" applyAlignment="1">
      <alignment wrapText="1"/>
    </xf>
    <xf numFmtId="0" fontId="13" fillId="12" borderId="13" xfId="0" applyFont="1" applyFill="1" applyBorder="1" applyAlignment="1">
      <alignment wrapText="1"/>
    </xf>
    <xf numFmtId="0" fontId="13" fillId="12" borderId="35" xfId="0" applyFont="1" applyFill="1" applyBorder="1" applyAlignment="1">
      <alignment horizontal="center" wrapText="1"/>
    </xf>
    <xf numFmtId="0" fontId="13" fillId="5" borderId="39" xfId="0" applyFont="1" applyFill="1" applyBorder="1" applyAlignment="1" applyProtection="1">
      <alignment horizontal="center" wrapText="1"/>
      <protection locked="0"/>
    </xf>
    <xf numFmtId="0" fontId="16" fillId="13" borderId="12" xfId="0" applyFont="1" applyFill="1" applyBorder="1" applyAlignment="1">
      <alignment wrapText="1"/>
    </xf>
    <xf numFmtId="0" fontId="16" fillId="13" borderId="13" xfId="0" applyFont="1" applyFill="1" applyBorder="1" applyAlignment="1">
      <alignment wrapText="1"/>
    </xf>
    <xf numFmtId="0" fontId="13" fillId="14" borderId="40" xfId="0" applyFont="1" applyFill="1" applyBorder="1" applyAlignment="1">
      <alignment horizontal="center" wrapText="1"/>
    </xf>
    <xf numFmtId="0" fontId="13" fillId="14" borderId="43" xfId="0" applyFont="1" applyFill="1" applyBorder="1" applyAlignment="1">
      <alignment horizontal="center" wrapText="1"/>
    </xf>
    <xf numFmtId="164" fontId="13" fillId="14" borderId="40" xfId="0" applyNumberFormat="1" applyFont="1" applyFill="1" applyBorder="1" applyAlignment="1">
      <alignment horizontal="center" wrapText="1"/>
    </xf>
    <xf numFmtId="0" fontId="13" fillId="14" borderId="40" xfId="0" applyFont="1" applyFill="1" applyBorder="1" applyAlignment="1">
      <alignment horizontal="center"/>
    </xf>
    <xf numFmtId="0" fontId="13" fillId="14" borderId="46" xfId="0" applyFont="1" applyFill="1" applyBorder="1" applyAlignment="1">
      <alignment horizontal="center"/>
    </xf>
    <xf numFmtId="0" fontId="13" fillId="14" borderId="46" xfId="0" applyFont="1" applyFill="1" applyBorder="1" applyAlignment="1">
      <alignment wrapText="1"/>
    </xf>
    <xf numFmtId="0" fontId="13" fillId="14" borderId="14" xfId="0" applyFont="1" applyFill="1" applyBorder="1" applyAlignment="1">
      <alignment wrapText="1"/>
    </xf>
    <xf numFmtId="0" fontId="13" fillId="14" borderId="43" xfId="0" applyFont="1" applyFill="1" applyBorder="1" applyAlignment="1">
      <alignment wrapText="1"/>
    </xf>
    <xf numFmtId="0" fontId="13" fillId="14" borderId="15" xfId="0" applyFont="1" applyFill="1" applyBorder="1" applyAlignment="1">
      <alignment horizontal="center" vertical="center" wrapText="1"/>
    </xf>
    <xf numFmtId="0" fontId="13" fillId="14" borderId="20" xfId="0" applyFont="1" applyFill="1" applyBorder="1" applyAlignment="1">
      <alignment horizontal="center" wrapText="1"/>
    </xf>
    <xf numFmtId="0" fontId="13" fillId="15" borderId="24" xfId="0" applyFont="1" applyFill="1" applyBorder="1" applyAlignment="1">
      <alignment horizontal="center" wrapText="1"/>
    </xf>
    <xf numFmtId="0" fontId="13" fillId="14" borderId="25" xfId="0" applyFont="1" applyFill="1" applyBorder="1" applyAlignment="1">
      <alignment horizontal="center" wrapText="1"/>
    </xf>
    <xf numFmtId="0" fontId="13" fillId="15" borderId="25" xfId="0" applyFont="1" applyFill="1" applyBorder="1" applyAlignment="1">
      <alignment horizontal="center" wrapText="1"/>
    </xf>
    <xf numFmtId="164" fontId="13" fillId="15" borderId="25" xfId="0" applyNumberFormat="1" applyFont="1" applyFill="1" applyBorder="1" applyAlignment="1">
      <alignment horizontal="center" wrapText="1"/>
    </xf>
    <xf numFmtId="0" fontId="13" fillId="14" borderId="25" xfId="0" applyFont="1" applyFill="1" applyBorder="1" applyAlignment="1">
      <alignment horizontal="center"/>
    </xf>
    <xf numFmtId="0" fontId="13" fillId="14" borderId="37" xfId="0" applyFont="1" applyFill="1" applyBorder="1" applyAlignment="1">
      <alignment horizontal="center"/>
    </xf>
    <xf numFmtId="0" fontId="13" fillId="14" borderId="37" xfId="0" applyFont="1" applyFill="1" applyBorder="1" applyAlignment="1">
      <alignment wrapText="1"/>
    </xf>
    <xf numFmtId="0" fontId="13" fillId="14" borderId="12" xfId="0" applyFont="1" applyFill="1" applyBorder="1" applyAlignment="1">
      <alignment wrapText="1"/>
    </xf>
    <xf numFmtId="0" fontId="13" fillId="14" borderId="13" xfId="0" applyFont="1" applyFill="1" applyBorder="1" applyAlignment="1">
      <alignment wrapText="1"/>
    </xf>
    <xf numFmtId="0" fontId="13" fillId="14" borderId="46" xfId="0" applyFont="1" applyFill="1" applyBorder="1" applyAlignment="1">
      <alignment horizontal="center" vertical="center" wrapText="1"/>
    </xf>
    <xf numFmtId="0" fontId="13" fillId="14" borderId="35" xfId="0" applyFont="1" applyFill="1" applyBorder="1" applyAlignment="1">
      <alignment horizontal="center" wrapText="1"/>
    </xf>
    <xf numFmtId="0" fontId="13" fillId="15" borderId="43" xfId="0" applyFont="1" applyFill="1" applyBorder="1" applyAlignment="1">
      <alignment horizontal="center" wrapText="1"/>
    </xf>
    <xf numFmtId="0" fontId="13" fillId="15" borderId="40" xfId="0" applyFont="1" applyFill="1" applyBorder="1" applyAlignment="1">
      <alignment horizontal="center" wrapText="1"/>
    </xf>
    <xf numFmtId="164" fontId="13" fillId="15" borderId="40" xfId="0" applyNumberFormat="1" applyFont="1" applyFill="1" applyBorder="1" applyAlignment="1">
      <alignment horizontal="center" wrapText="1"/>
    </xf>
    <xf numFmtId="0" fontId="13" fillId="14" borderId="18" xfId="0" applyFont="1" applyFill="1" applyBorder="1" applyAlignment="1">
      <alignment horizontal="center"/>
    </xf>
    <xf numFmtId="0" fontId="13" fillId="14" borderId="15" xfId="0" applyFont="1" applyFill="1" applyBorder="1" applyAlignment="1">
      <alignment horizontal="center"/>
    </xf>
    <xf numFmtId="0" fontId="16" fillId="16" borderId="14" xfId="0" applyFont="1" applyFill="1" applyBorder="1" applyAlignment="1">
      <alignment wrapText="1"/>
    </xf>
    <xf numFmtId="0" fontId="13" fillId="17" borderId="18" xfId="0" applyFont="1" applyFill="1" applyBorder="1" applyAlignment="1">
      <alignment horizontal="center" wrapText="1"/>
    </xf>
    <xf numFmtId="0" fontId="13" fillId="17" borderId="17" xfId="0" applyFont="1" applyFill="1" applyBorder="1" applyAlignment="1">
      <alignment horizontal="center" wrapText="1"/>
    </xf>
    <xf numFmtId="164" fontId="13" fillId="17" borderId="18" xfId="0" applyNumberFormat="1" applyFont="1" applyFill="1" applyBorder="1" applyAlignment="1">
      <alignment horizontal="center" wrapText="1"/>
    </xf>
    <xf numFmtId="0" fontId="13" fillId="17" borderId="18" xfId="0" applyFont="1" applyFill="1" applyBorder="1" applyAlignment="1">
      <alignment horizontal="center"/>
    </xf>
    <xf numFmtId="0" fontId="13" fillId="17" borderId="15" xfId="0" applyFont="1" applyFill="1" applyBorder="1" applyAlignment="1">
      <alignment horizontal="center"/>
    </xf>
    <xf numFmtId="0" fontId="13" fillId="17" borderId="15" xfId="0" applyFont="1" applyFill="1" applyBorder="1" applyAlignment="1">
      <alignment wrapText="1"/>
    </xf>
    <xf numFmtId="0" fontId="13" fillId="17" borderId="16" xfId="0" applyFont="1" applyFill="1" applyBorder="1" applyAlignment="1">
      <alignment wrapText="1"/>
    </xf>
    <xf numFmtId="0" fontId="13" fillId="17" borderId="17" xfId="0" applyFont="1" applyFill="1" applyBorder="1" applyAlignment="1">
      <alignment wrapText="1"/>
    </xf>
    <xf numFmtId="0" fontId="13" fillId="18" borderId="20" xfId="0" applyFont="1" applyFill="1" applyBorder="1" applyAlignment="1">
      <alignment horizontal="center" vertical="top" wrapText="1"/>
    </xf>
    <xf numFmtId="0" fontId="13" fillId="0" borderId="21" xfId="0" applyFont="1" applyBorder="1" applyAlignment="1">
      <alignment horizontal="center" vertical="top" wrapText="1"/>
    </xf>
    <xf numFmtId="0" fontId="12" fillId="9" borderId="24" xfId="0" applyFont="1" applyFill="1" applyBorder="1" applyAlignment="1">
      <alignment horizontal="center" vertical="top" wrapText="1"/>
    </xf>
    <xf numFmtId="0" fontId="13" fillId="9" borderId="39" xfId="0" applyFont="1" applyFill="1" applyBorder="1" applyAlignment="1">
      <alignment horizontal="center" vertical="top" wrapText="1"/>
    </xf>
    <xf numFmtId="0" fontId="12" fillId="9" borderId="39" xfId="0" applyFont="1" applyFill="1" applyBorder="1" applyAlignment="1">
      <alignment horizontal="center" vertical="top" wrapText="1"/>
    </xf>
    <xf numFmtId="164" fontId="12" fillId="0" borderId="28" xfId="0" applyNumberFormat="1" applyFont="1" applyBorder="1" applyAlignment="1">
      <alignment horizontal="center" vertical="top" wrapText="1"/>
    </xf>
    <xf numFmtId="164" fontId="12" fillId="9" borderId="41" xfId="0" applyNumberFormat="1" applyFont="1" applyFill="1" applyBorder="1" applyAlignment="1">
      <alignment horizontal="center" vertical="top" wrapText="1"/>
    </xf>
    <xf numFmtId="0" fontId="12" fillId="9" borderId="32" xfId="0" applyFont="1" applyFill="1" applyBorder="1" applyAlignment="1">
      <alignment horizontal="center" vertical="top" wrapText="1"/>
    </xf>
    <xf numFmtId="0" fontId="13" fillId="9" borderId="28" xfId="0" applyFont="1" applyFill="1" applyBorder="1" applyAlignment="1">
      <alignment horizontal="center" vertical="top" wrapText="1"/>
    </xf>
    <xf numFmtId="0" fontId="12" fillId="9" borderId="28" xfId="0" applyFont="1" applyFill="1" applyBorder="1" applyAlignment="1">
      <alignment horizontal="center" vertical="top" wrapText="1"/>
    </xf>
    <xf numFmtId="164" fontId="12" fillId="9" borderId="42" xfId="0" applyNumberFormat="1" applyFont="1" applyFill="1" applyBorder="1" applyAlignment="1">
      <alignment horizontal="center" vertical="top" wrapText="1"/>
    </xf>
    <xf numFmtId="0" fontId="13" fillId="17" borderId="24" xfId="0" applyFont="1" applyFill="1" applyBorder="1" applyAlignment="1">
      <alignment horizontal="center" wrapText="1"/>
    </xf>
    <xf numFmtId="0" fontId="13" fillId="17" borderId="25" xfId="0" applyFont="1" applyFill="1" applyBorder="1" applyAlignment="1">
      <alignment horizontal="center" wrapText="1"/>
    </xf>
    <xf numFmtId="164" fontId="13" fillId="17" borderId="25" xfId="0" applyNumberFormat="1" applyFont="1" applyFill="1" applyBorder="1" applyAlignment="1">
      <alignment horizontal="center" wrapText="1"/>
    </xf>
    <xf numFmtId="0" fontId="13" fillId="17" borderId="25" xfId="0" applyFont="1" applyFill="1" applyBorder="1" applyAlignment="1">
      <alignment horizontal="center"/>
    </xf>
    <xf numFmtId="0" fontId="13" fillId="17" borderId="37" xfId="0" applyFont="1" applyFill="1" applyBorder="1" applyAlignment="1">
      <alignment horizontal="center"/>
    </xf>
    <xf numFmtId="0" fontId="13" fillId="17" borderId="37" xfId="0" applyFont="1" applyFill="1" applyBorder="1" applyAlignment="1">
      <alignment wrapText="1"/>
    </xf>
    <xf numFmtId="0" fontId="13" fillId="17" borderId="12" xfId="0" applyFont="1" applyFill="1" applyBorder="1" applyAlignment="1">
      <alignment wrapText="1"/>
    </xf>
    <xf numFmtId="0" fontId="13" fillId="17" borderId="13" xfId="0" applyFont="1" applyFill="1" applyBorder="1" applyAlignment="1">
      <alignment wrapText="1"/>
    </xf>
    <xf numFmtId="0" fontId="13" fillId="18" borderId="35" xfId="0" applyFont="1" applyFill="1" applyBorder="1" applyAlignment="1">
      <alignment horizontal="center" vertical="top" wrapText="1"/>
    </xf>
    <xf numFmtId="0" fontId="12" fillId="0" borderId="28" xfId="0" applyFont="1" applyBorder="1" applyAlignment="1">
      <alignment horizontal="center" vertical="top"/>
    </xf>
    <xf numFmtId="0" fontId="16" fillId="19" borderId="12" xfId="0" applyFont="1" applyFill="1" applyBorder="1" applyAlignment="1">
      <alignment wrapText="1"/>
    </xf>
    <xf numFmtId="0" fontId="16" fillId="19" borderId="13" xfId="0" applyFont="1" applyFill="1" applyBorder="1" applyAlignment="1">
      <alignment wrapText="1"/>
    </xf>
    <xf numFmtId="0" fontId="13" fillId="20" borderId="40" xfId="0" applyFont="1" applyFill="1" applyBorder="1" applyAlignment="1">
      <alignment horizontal="center" wrapText="1"/>
    </xf>
    <xf numFmtId="0" fontId="13" fillId="20" borderId="43" xfId="0" applyFont="1" applyFill="1" applyBorder="1" applyAlignment="1">
      <alignment horizontal="center" wrapText="1"/>
    </xf>
    <xf numFmtId="164" fontId="13" fillId="20" borderId="40" xfId="0" applyNumberFormat="1" applyFont="1" applyFill="1" applyBorder="1" applyAlignment="1">
      <alignment horizontal="center" wrapText="1"/>
    </xf>
    <xf numFmtId="0" fontId="13" fillId="20" borderId="40" xfId="0" applyFont="1" applyFill="1" applyBorder="1" applyAlignment="1">
      <alignment horizontal="center"/>
    </xf>
    <xf numFmtId="0" fontId="13" fillId="20" borderId="46" xfId="0" applyFont="1" applyFill="1" applyBorder="1" applyAlignment="1">
      <alignment horizontal="center"/>
    </xf>
    <xf numFmtId="0" fontId="13" fillId="20" borderId="46" xfId="0" applyFont="1" applyFill="1" applyBorder="1" applyAlignment="1">
      <alignment wrapText="1"/>
    </xf>
    <xf numFmtId="0" fontId="13" fillId="20" borderId="14" xfId="0" applyFont="1" applyFill="1" applyBorder="1" applyAlignment="1">
      <alignment wrapText="1"/>
    </xf>
    <xf numFmtId="0" fontId="13" fillId="20" borderId="43" xfId="0" applyFont="1" applyFill="1" applyBorder="1" applyAlignment="1">
      <alignment wrapText="1"/>
    </xf>
    <xf numFmtId="0" fontId="13" fillId="20" borderId="15" xfId="0" applyFont="1" applyFill="1" applyBorder="1" applyAlignment="1">
      <alignment horizontal="center" vertical="center" wrapText="1"/>
    </xf>
    <xf numFmtId="0" fontId="13" fillId="20" borderId="20" xfId="0" applyFont="1" applyFill="1" applyBorder="1" applyAlignment="1">
      <alignment horizontal="center" vertical="top" wrapText="1"/>
    </xf>
    <xf numFmtId="0" fontId="13" fillId="20" borderId="18" xfId="0" applyFont="1" applyFill="1" applyBorder="1" applyAlignment="1">
      <alignment horizontal="center"/>
    </xf>
    <xf numFmtId="0" fontId="13" fillId="20" borderId="15" xfId="0" applyFont="1" applyFill="1" applyBorder="1" applyAlignment="1">
      <alignment horizontal="center"/>
    </xf>
    <xf numFmtId="0" fontId="13" fillId="20" borderId="24" xfId="0" applyFont="1" applyFill="1" applyBorder="1" applyAlignment="1">
      <alignment horizontal="center" wrapText="1"/>
    </xf>
    <xf numFmtId="0" fontId="13" fillId="20" borderId="25" xfId="0" applyFont="1" applyFill="1" applyBorder="1" applyAlignment="1">
      <alignment horizontal="center" wrapText="1"/>
    </xf>
    <xf numFmtId="164" fontId="13" fillId="20" borderId="25" xfId="0" applyNumberFormat="1" applyFont="1" applyFill="1" applyBorder="1" applyAlignment="1">
      <alignment horizontal="center" wrapText="1"/>
    </xf>
    <xf numFmtId="0" fontId="13" fillId="20" borderId="25" xfId="0" applyFont="1" applyFill="1" applyBorder="1" applyAlignment="1">
      <alignment horizontal="center"/>
    </xf>
    <xf numFmtId="0" fontId="13" fillId="20" borderId="37" xfId="0" applyFont="1" applyFill="1" applyBorder="1" applyAlignment="1">
      <alignment horizontal="center"/>
    </xf>
    <xf numFmtId="0" fontId="13" fillId="20" borderId="37" xfId="0" applyFont="1" applyFill="1" applyBorder="1" applyAlignment="1">
      <alignment wrapText="1"/>
    </xf>
    <xf numFmtId="0" fontId="13" fillId="20" borderId="12" xfId="0" applyFont="1" applyFill="1" applyBorder="1" applyAlignment="1">
      <alignment wrapText="1"/>
    </xf>
    <xf numFmtId="0" fontId="13" fillId="20" borderId="13" xfId="0" applyFont="1" applyFill="1" applyBorder="1" applyAlignment="1">
      <alignment wrapText="1"/>
    </xf>
    <xf numFmtId="0" fontId="13" fillId="20" borderId="35" xfId="0" applyFont="1" applyFill="1" applyBorder="1" applyAlignment="1">
      <alignment horizontal="center" vertical="top" wrapText="1"/>
    </xf>
    <xf numFmtId="164" fontId="12" fillId="0" borderId="30" xfId="0" applyNumberFormat="1" applyFont="1" applyBorder="1" applyAlignment="1">
      <alignment horizontal="center" wrapText="1"/>
    </xf>
    <xf numFmtId="0" fontId="11" fillId="0" borderId="11" xfId="0" applyFont="1" applyBorder="1" applyAlignment="1">
      <alignment horizontal="left" wrapText="1"/>
    </xf>
    <xf numFmtId="164" fontId="12" fillId="9" borderId="37" xfId="0" applyNumberFormat="1" applyFont="1" applyFill="1" applyBorder="1" applyAlignment="1">
      <alignment horizontal="center" wrapText="1"/>
    </xf>
    <xf numFmtId="0" fontId="12" fillId="0" borderId="11" xfId="0" applyFont="1" applyBorder="1" applyAlignment="1">
      <alignment horizontal="center" vertical="center" wrapText="1"/>
    </xf>
    <xf numFmtId="164" fontId="12" fillId="0" borderId="11" xfId="0" applyNumberFormat="1" applyFont="1" applyBorder="1" applyAlignment="1">
      <alignment horizontal="center" vertical="center" wrapText="1"/>
    </xf>
    <xf numFmtId="166" fontId="12" fillId="5" borderId="11" xfId="0" applyNumberFormat="1" applyFont="1" applyFill="1" applyBorder="1" applyAlignment="1" applyProtection="1">
      <alignment horizontal="center" vertical="center"/>
      <protection locked="0"/>
    </xf>
    <xf numFmtId="0" fontId="10" fillId="0" borderId="0" xfId="0" applyFont="1" applyAlignment="1">
      <alignment horizontal="center" vertical="center" wrapText="1"/>
    </xf>
    <xf numFmtId="0" fontId="12" fillId="0" borderId="14" xfId="0" applyFont="1" applyBorder="1" applyAlignment="1">
      <alignment wrapText="1"/>
    </xf>
    <xf numFmtId="0" fontId="12" fillId="0" borderId="48" xfId="0" applyFont="1" applyBorder="1" applyAlignment="1">
      <alignment wrapText="1"/>
    </xf>
    <xf numFmtId="0" fontId="13" fillId="0" borderId="0" xfId="0" applyFont="1" applyAlignment="1">
      <alignment horizontal="right" wrapText="1"/>
    </xf>
    <xf numFmtId="0" fontId="13" fillId="21" borderId="18" xfId="0" applyFont="1" applyFill="1" applyBorder="1" applyAlignment="1">
      <alignment horizontal="center" wrapText="1"/>
    </xf>
    <xf numFmtId="0" fontId="13" fillId="21" borderId="40" xfId="0" applyFont="1" applyFill="1" applyBorder="1" applyAlignment="1">
      <alignment horizontal="center" vertical="center" wrapText="1"/>
    </xf>
    <xf numFmtId="0" fontId="13" fillId="0" borderId="30" xfId="0" applyFont="1" applyBorder="1" applyAlignment="1">
      <alignment horizontal="center" wrapText="1"/>
    </xf>
    <xf numFmtId="0" fontId="16" fillId="7" borderId="18" xfId="0" applyFont="1" applyFill="1" applyBorder="1" applyAlignment="1">
      <alignment horizontal="center" vertical="center" wrapText="1"/>
    </xf>
    <xf numFmtId="0" fontId="13" fillId="8" borderId="18" xfId="0" applyFont="1" applyFill="1" applyBorder="1" applyAlignment="1">
      <alignment horizontal="left" vertical="center" wrapText="1"/>
    </xf>
    <xf numFmtId="2" fontId="13" fillId="0" borderId="18" xfId="0" applyNumberFormat="1" applyFont="1" applyBorder="1" applyAlignment="1">
      <alignment horizontal="center" vertical="center" wrapText="1"/>
    </xf>
    <xf numFmtId="0" fontId="12" fillId="0" borderId="28" xfId="0" applyFont="1" applyBorder="1" applyAlignment="1">
      <alignment horizontal="center" wrapText="1"/>
    </xf>
    <xf numFmtId="0" fontId="12" fillId="0" borderId="30" xfId="0" applyFont="1" applyBorder="1" applyAlignment="1">
      <alignment wrapText="1"/>
    </xf>
    <xf numFmtId="0" fontId="16" fillId="11" borderId="18" xfId="0" applyFont="1" applyFill="1" applyBorder="1" applyAlignment="1">
      <alignment horizontal="center" vertical="center" wrapText="1"/>
    </xf>
    <xf numFmtId="0" fontId="16" fillId="13" borderId="18" xfId="0" applyFont="1" applyFill="1" applyBorder="1" applyAlignment="1">
      <alignment horizontal="center" vertical="center" wrapText="1"/>
    </xf>
    <xf numFmtId="0" fontId="13" fillId="12" borderId="18" xfId="0" applyFont="1" applyFill="1" applyBorder="1" applyAlignment="1">
      <alignment vertical="center" wrapText="1"/>
    </xf>
    <xf numFmtId="0" fontId="16" fillId="16" borderId="18" xfId="0" applyFont="1" applyFill="1" applyBorder="1" applyAlignment="1">
      <alignment horizontal="center" vertical="center" wrapText="1"/>
    </xf>
    <xf numFmtId="0" fontId="16" fillId="19" borderId="18" xfId="0" applyFont="1" applyFill="1" applyBorder="1" applyAlignment="1">
      <alignment horizontal="center" vertical="center" wrapText="1"/>
    </xf>
    <xf numFmtId="0" fontId="13" fillId="14" borderId="18" xfId="0" applyFont="1" applyFill="1" applyBorder="1" applyAlignment="1">
      <alignment vertical="center" wrapText="1"/>
    </xf>
    <xf numFmtId="0" fontId="13" fillId="14" borderId="18" xfId="0" applyFont="1" applyFill="1" applyBorder="1" applyAlignment="1">
      <alignment horizontal="left" vertical="center" wrapText="1"/>
    </xf>
    <xf numFmtId="0" fontId="13" fillId="17" borderId="18" xfId="0" applyFont="1" applyFill="1" applyBorder="1" applyAlignment="1">
      <alignment horizontal="left" vertical="center" wrapText="1"/>
    </xf>
    <xf numFmtId="0" fontId="13" fillId="20" borderId="18" xfId="0" applyFont="1" applyFill="1" applyBorder="1" applyAlignment="1">
      <alignment vertical="center" wrapText="1"/>
    </xf>
    <xf numFmtId="0" fontId="7" fillId="0" borderId="0" xfId="0" applyFont="1" applyAlignment="1">
      <alignment horizontal="center" vertical="center"/>
    </xf>
    <xf numFmtId="0" fontId="10" fillId="0" borderId="0" xfId="0" applyFont="1" applyAlignment="1">
      <alignment horizontal="left" vertical="top"/>
    </xf>
    <xf numFmtId="0" fontId="10" fillId="0" borderId="0" xfId="0" applyFont="1" applyAlignment="1">
      <alignment wrapText="1"/>
    </xf>
    <xf numFmtId="0" fontId="12" fillId="0" borderId="0" xfId="0" applyFont="1" applyAlignment="1">
      <alignment horizontal="left" vertical="top"/>
    </xf>
    <xf numFmtId="0" fontId="13" fillId="3" borderId="49" xfId="0" applyFont="1" applyFill="1" applyBorder="1" applyAlignment="1">
      <alignment horizontal="left" vertical="top"/>
    </xf>
    <xf numFmtId="0" fontId="13" fillId="3" borderId="50" xfId="0" applyFont="1" applyFill="1" applyBorder="1" applyAlignment="1">
      <alignment horizontal="center" vertical="center" wrapText="1"/>
    </xf>
    <xf numFmtId="0" fontId="13" fillId="3" borderId="50" xfId="0" applyFont="1" applyFill="1" applyBorder="1" applyAlignment="1">
      <alignment wrapText="1"/>
    </xf>
    <xf numFmtId="0" fontId="12" fillId="4" borderId="51" xfId="0" applyFont="1" applyFill="1" applyBorder="1" applyAlignment="1">
      <alignment horizontal="left" vertical="top"/>
    </xf>
    <xf numFmtId="0" fontId="12" fillId="4" borderId="48" xfId="0" applyFont="1" applyFill="1" applyBorder="1" applyAlignment="1">
      <alignment horizontal="center" vertical="center" wrapText="1"/>
    </xf>
    <xf numFmtId="0" fontId="12" fillId="4" borderId="48" xfId="0" applyFont="1" applyFill="1" applyBorder="1" applyAlignment="1">
      <alignment wrapText="1"/>
    </xf>
    <xf numFmtId="0" fontId="12" fillId="4" borderId="52" xfId="0" applyFont="1" applyFill="1" applyBorder="1" applyAlignment="1">
      <alignment horizontal="left" vertical="top"/>
    </xf>
    <xf numFmtId="0" fontId="12" fillId="4" borderId="0" xfId="0" applyFont="1" applyFill="1" applyAlignment="1">
      <alignment horizontal="center" vertical="center" wrapText="1"/>
    </xf>
    <xf numFmtId="0" fontId="12" fillId="4" borderId="0" xfId="0" applyFont="1" applyFill="1" applyAlignment="1">
      <alignment wrapText="1"/>
    </xf>
    <xf numFmtId="0" fontId="12" fillId="4" borderId="53" xfId="0" applyFont="1" applyFill="1" applyBorder="1" applyAlignment="1">
      <alignment horizontal="left" vertical="top"/>
    </xf>
    <xf numFmtId="0" fontId="12" fillId="4" borderId="54" xfId="0" applyFont="1" applyFill="1" applyBorder="1" applyAlignment="1">
      <alignment horizontal="center" vertical="center" wrapText="1"/>
    </xf>
    <xf numFmtId="0" fontId="12" fillId="4" borderId="54" xfId="0" applyFont="1" applyFill="1" applyBorder="1" applyAlignment="1">
      <alignment wrapText="1"/>
    </xf>
    <xf numFmtId="0" fontId="13" fillId="0" borderId="5" xfId="0" applyFont="1" applyBorder="1" applyAlignment="1">
      <alignment horizontal="left" vertical="top"/>
    </xf>
    <xf numFmtId="0" fontId="13" fillId="0" borderId="55" xfId="0" applyFont="1" applyBorder="1" applyAlignment="1">
      <alignment horizontal="center" vertical="center" wrapText="1"/>
    </xf>
    <xf numFmtId="0" fontId="12" fillId="0" borderId="6" xfId="0" applyFont="1" applyBorder="1" applyAlignment="1">
      <alignment horizontal="left" wrapText="1"/>
    </xf>
    <xf numFmtId="0" fontId="13" fillId="0" borderId="7" xfId="0" applyFont="1" applyBorder="1" applyAlignment="1">
      <alignment horizontal="left" vertical="top"/>
    </xf>
    <xf numFmtId="0" fontId="12" fillId="0" borderId="31" xfId="0" applyFont="1" applyBorder="1" applyAlignment="1">
      <alignment horizontal="center" vertical="center" wrapText="1"/>
    </xf>
    <xf numFmtId="167" fontId="12" fillId="0" borderId="6" xfId="0" applyNumberFormat="1" applyFont="1" applyBorder="1" applyAlignment="1">
      <alignment horizontal="left" wrapText="1"/>
    </xf>
    <xf numFmtId="0" fontId="13" fillId="0" borderId="31" xfId="0" applyFont="1" applyBorder="1" applyAlignment="1">
      <alignment horizontal="center" vertical="center" wrapText="1"/>
    </xf>
    <xf numFmtId="0" fontId="13" fillId="0" borderId="9" xfId="0" applyFont="1" applyBorder="1" applyAlignment="1">
      <alignment horizontal="left" vertical="top"/>
    </xf>
    <xf numFmtId="0" fontId="13" fillId="0" borderId="56" xfId="0" applyFont="1" applyBorder="1" applyAlignment="1">
      <alignment horizontal="center" vertical="center" wrapText="1"/>
    </xf>
    <xf numFmtId="0" fontId="12" fillId="0" borderId="57" xfId="0" applyFont="1" applyBorder="1" applyAlignment="1">
      <alignment horizontal="left" wrapText="1"/>
    </xf>
    <xf numFmtId="0" fontId="16" fillId="7" borderId="58" xfId="0" applyFont="1" applyFill="1" applyBorder="1" applyAlignment="1">
      <alignment horizontal="center" vertical="center" wrapText="1"/>
    </xf>
    <xf numFmtId="0" fontId="16" fillId="7" borderId="58" xfId="0" applyFont="1" applyFill="1" applyBorder="1" applyAlignment="1">
      <alignment wrapText="1"/>
    </xf>
    <xf numFmtId="0" fontId="13" fillId="8" borderId="15"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8" borderId="22" xfId="0" applyFont="1" applyFill="1" applyBorder="1" applyAlignment="1">
      <alignment horizontal="center" wrapText="1"/>
    </xf>
    <xf numFmtId="0" fontId="11" fillId="8" borderId="18" xfId="0" applyFont="1" applyFill="1" applyBorder="1" applyAlignment="1">
      <alignment horizontal="center"/>
    </xf>
    <xf numFmtId="0" fontId="13" fillId="8" borderId="20" xfId="0" applyFont="1" applyFill="1" applyBorder="1" applyAlignment="1">
      <alignment horizontal="center" vertical="center" wrapText="1"/>
    </xf>
    <xf numFmtId="0" fontId="13" fillId="0" borderId="25" xfId="0" applyFont="1" applyBorder="1" applyAlignment="1">
      <alignment horizontal="center" wrapText="1"/>
    </xf>
    <xf numFmtId="0" fontId="13" fillId="0" borderId="44" xfId="0" applyFont="1" applyBorder="1" applyAlignment="1">
      <alignment horizontal="center" wrapText="1"/>
    </xf>
    <xf numFmtId="0" fontId="13" fillId="0" borderId="62" xfId="0" applyFont="1" applyBorder="1" applyAlignment="1">
      <alignment vertical="top" wrapText="1"/>
    </xf>
    <xf numFmtId="0" fontId="13" fillId="0" borderId="39" xfId="0" applyFont="1" applyBorder="1" applyAlignment="1">
      <alignment horizontal="center" wrapText="1"/>
    </xf>
    <xf numFmtId="0" fontId="12" fillId="10" borderId="46" xfId="0" applyFont="1" applyFill="1" applyBorder="1" applyAlignment="1">
      <alignment horizontal="center" vertical="center" wrapText="1"/>
    </xf>
    <xf numFmtId="0" fontId="12" fillId="10" borderId="14" xfId="0" applyFont="1" applyFill="1" applyBorder="1" applyAlignment="1">
      <alignment horizontal="center" vertical="center" wrapText="1"/>
    </xf>
    <xf numFmtId="0" fontId="12" fillId="10" borderId="14" xfId="0" applyFont="1" applyFill="1" applyBorder="1" applyAlignment="1">
      <alignment wrapText="1"/>
    </xf>
    <xf numFmtId="0" fontId="13" fillId="0" borderId="29" xfId="0" applyFont="1" applyBorder="1" applyAlignment="1">
      <alignment horizontal="center" wrapText="1"/>
    </xf>
    <xf numFmtId="0" fontId="13" fillId="8" borderId="46" xfId="0" applyFont="1" applyFill="1" applyBorder="1" applyAlignment="1">
      <alignment horizontal="center" wrapText="1"/>
    </xf>
    <xf numFmtId="0" fontId="13" fillId="8" borderId="43" xfId="0" applyFont="1" applyFill="1" applyBorder="1" applyAlignment="1">
      <alignment horizontal="center" wrapText="1"/>
    </xf>
    <xf numFmtId="0" fontId="13" fillId="8" borderId="40" xfId="0" applyFont="1" applyFill="1" applyBorder="1" applyAlignment="1">
      <alignment horizontal="center" wrapText="1"/>
    </xf>
    <xf numFmtId="164" fontId="13" fillId="8" borderId="40" xfId="0" applyNumberFormat="1" applyFont="1" applyFill="1" applyBorder="1" applyAlignment="1">
      <alignment horizontal="center" wrapText="1"/>
    </xf>
    <xf numFmtId="0" fontId="13" fillId="0" borderId="22" xfId="0" applyFont="1" applyBorder="1" applyAlignment="1">
      <alignment horizontal="center" wrapText="1"/>
    </xf>
    <xf numFmtId="164" fontId="12" fillId="0" borderId="19" xfId="0" applyNumberFormat="1" applyFont="1" applyBorder="1" applyAlignment="1">
      <alignment horizontal="center"/>
    </xf>
    <xf numFmtId="0" fontId="12" fillId="10" borderId="31" xfId="0" applyFont="1" applyFill="1" applyBorder="1" applyAlignment="1">
      <alignment horizontal="center" vertical="center" wrapText="1"/>
    </xf>
    <xf numFmtId="0" fontId="12" fillId="10" borderId="12" xfId="0" applyFont="1" applyFill="1" applyBorder="1" applyAlignment="1">
      <alignment horizontal="center" vertical="center" wrapText="1"/>
    </xf>
    <xf numFmtId="164" fontId="12" fillId="0" borderId="38" xfId="0" applyNumberFormat="1" applyFont="1" applyBorder="1" applyAlignment="1">
      <alignment horizontal="center" wrapText="1"/>
    </xf>
    <xf numFmtId="0" fontId="16" fillId="11" borderId="14" xfId="0" applyFont="1" applyFill="1" applyBorder="1" applyAlignment="1">
      <alignment horizontal="center" vertical="center" wrapText="1"/>
    </xf>
    <xf numFmtId="0" fontId="13" fillId="12" borderId="16" xfId="0" applyFont="1" applyFill="1" applyBorder="1" applyAlignment="1">
      <alignment horizontal="center" vertical="center" wrapText="1"/>
    </xf>
    <xf numFmtId="0" fontId="13" fillId="12" borderId="15" xfId="0" applyFont="1" applyFill="1" applyBorder="1" applyAlignment="1">
      <alignment horizontal="center" wrapText="1"/>
    </xf>
    <xf numFmtId="0" fontId="11" fillId="12" borderId="18" xfId="0" applyFont="1" applyFill="1" applyBorder="1" applyAlignment="1">
      <alignment horizontal="center"/>
    </xf>
    <xf numFmtId="0" fontId="13" fillId="12" borderId="20" xfId="0" applyFont="1" applyFill="1" applyBorder="1" applyAlignment="1">
      <alignment horizontal="center" vertical="center" wrapText="1"/>
    </xf>
    <xf numFmtId="0" fontId="13" fillId="12" borderId="46" xfId="0" applyFont="1" applyFill="1" applyBorder="1" applyAlignment="1">
      <alignment horizontal="center" wrapText="1"/>
    </xf>
    <xf numFmtId="0" fontId="13" fillId="12" borderId="43" xfId="0" applyFont="1" applyFill="1" applyBorder="1" applyAlignment="1">
      <alignment horizontal="center" wrapText="1"/>
    </xf>
    <xf numFmtId="0" fontId="13" fillId="12" borderId="40" xfId="0" applyFont="1" applyFill="1" applyBorder="1" applyAlignment="1">
      <alignment horizontal="center" wrapText="1"/>
    </xf>
    <xf numFmtId="164" fontId="13" fillId="12" borderId="40" xfId="0" applyNumberFormat="1" applyFont="1" applyFill="1" applyBorder="1" applyAlignment="1">
      <alignment horizontal="center" wrapText="1"/>
    </xf>
    <xf numFmtId="0" fontId="12" fillId="10" borderId="15" xfId="0" applyFont="1" applyFill="1" applyBorder="1" applyAlignment="1">
      <alignment horizontal="center" vertical="center" wrapText="1"/>
    </xf>
    <xf numFmtId="0" fontId="16" fillId="13" borderId="14" xfId="0" applyFont="1" applyFill="1" applyBorder="1" applyAlignment="1">
      <alignment horizontal="center" vertical="center" wrapText="1"/>
    </xf>
    <xf numFmtId="0" fontId="16" fillId="13" borderId="14" xfId="0" applyFont="1" applyFill="1" applyBorder="1" applyAlignment="1">
      <alignment wrapText="1"/>
    </xf>
    <xf numFmtId="0" fontId="13" fillId="14" borderId="16" xfId="0" applyFont="1" applyFill="1" applyBorder="1" applyAlignment="1">
      <alignment horizontal="center" vertical="center" wrapText="1"/>
    </xf>
    <xf numFmtId="0" fontId="13" fillId="14" borderId="17" xfId="0" applyFont="1" applyFill="1" applyBorder="1" applyAlignment="1">
      <alignment horizontal="center" wrapText="1"/>
    </xf>
    <xf numFmtId="0" fontId="13" fillId="14" borderId="18" xfId="0" applyFont="1" applyFill="1" applyBorder="1" applyAlignment="1">
      <alignment horizontal="center" wrapText="1"/>
    </xf>
    <xf numFmtId="164" fontId="13" fillId="14" borderId="18" xfId="0" applyNumberFormat="1" applyFont="1" applyFill="1" applyBorder="1" applyAlignment="1">
      <alignment horizontal="center" wrapText="1"/>
    </xf>
    <xf numFmtId="0" fontId="11" fillId="14" borderId="18" xfId="0" applyFont="1" applyFill="1" applyBorder="1" applyAlignment="1">
      <alignment horizontal="center"/>
    </xf>
    <xf numFmtId="0" fontId="13" fillId="14" borderId="20" xfId="0" applyFont="1" applyFill="1" applyBorder="1" applyAlignment="1">
      <alignment horizontal="center" vertical="center" wrapText="1"/>
    </xf>
    <xf numFmtId="0" fontId="16" fillId="16" borderId="14" xfId="0" applyFont="1" applyFill="1" applyBorder="1" applyAlignment="1">
      <alignment horizontal="center" vertical="center" wrapText="1"/>
    </xf>
    <xf numFmtId="0" fontId="13" fillId="17" borderId="15" xfId="0" applyFont="1" applyFill="1" applyBorder="1" applyAlignment="1">
      <alignment horizontal="center" vertical="center" wrapText="1"/>
    </xf>
    <xf numFmtId="0" fontId="13" fillId="17" borderId="16" xfId="0" applyFont="1" applyFill="1" applyBorder="1" applyAlignment="1">
      <alignment horizontal="center" vertical="center" wrapText="1"/>
    </xf>
    <xf numFmtId="0" fontId="13" fillId="17" borderId="15" xfId="0" applyFont="1" applyFill="1" applyBorder="1" applyAlignment="1">
      <alignment horizontal="left" vertical="center" wrapText="1"/>
    </xf>
    <xf numFmtId="0" fontId="11" fillId="17" borderId="18" xfId="0" applyFont="1" applyFill="1" applyBorder="1" applyAlignment="1">
      <alignment horizontal="center"/>
    </xf>
    <xf numFmtId="0" fontId="13" fillId="18" borderId="20" xfId="0" applyFont="1" applyFill="1" applyBorder="1" applyAlignment="1">
      <alignment horizontal="center" vertical="center" wrapText="1"/>
    </xf>
    <xf numFmtId="0" fontId="12" fillId="10" borderId="14" xfId="0" applyFont="1" applyFill="1" applyBorder="1" applyAlignment="1">
      <alignment vertical="top" wrapText="1"/>
    </xf>
    <xf numFmtId="0" fontId="13" fillId="0" borderId="29" xfId="0" applyFont="1" applyBorder="1" applyAlignment="1">
      <alignment horizontal="center" vertical="top" wrapText="1"/>
    </xf>
    <xf numFmtId="164" fontId="12" fillId="0" borderId="30" xfId="0" applyNumberFormat="1" applyFont="1" applyBorder="1" applyAlignment="1">
      <alignment horizontal="center" vertical="top" wrapText="1"/>
    </xf>
    <xf numFmtId="0" fontId="13" fillId="0" borderId="39" xfId="0" applyFont="1" applyBorder="1" applyAlignment="1">
      <alignment horizontal="center" vertical="top" wrapText="1"/>
    </xf>
    <xf numFmtId="0" fontId="13" fillId="17" borderId="46" xfId="0" applyFont="1" applyFill="1" applyBorder="1" applyAlignment="1">
      <alignment horizontal="left" vertical="center" wrapText="1"/>
    </xf>
    <xf numFmtId="0" fontId="13" fillId="17" borderId="43" xfId="0" applyFont="1" applyFill="1" applyBorder="1" applyAlignment="1">
      <alignment horizontal="center" wrapText="1"/>
    </xf>
    <xf numFmtId="0" fontId="13" fillId="17" borderId="40" xfId="0" applyFont="1" applyFill="1" applyBorder="1" applyAlignment="1">
      <alignment horizontal="center" wrapText="1"/>
    </xf>
    <xf numFmtId="164" fontId="13" fillId="17" borderId="40" xfId="0" applyNumberFormat="1" applyFont="1" applyFill="1" applyBorder="1" applyAlignment="1">
      <alignment horizontal="center" wrapText="1"/>
    </xf>
    <xf numFmtId="0" fontId="16" fillId="19" borderId="14" xfId="0" applyFont="1" applyFill="1" applyBorder="1" applyAlignment="1">
      <alignment horizontal="center" vertical="center" wrapText="1"/>
    </xf>
    <xf numFmtId="0" fontId="16" fillId="19" borderId="14" xfId="0" applyFont="1" applyFill="1" applyBorder="1" applyAlignment="1">
      <alignment wrapText="1"/>
    </xf>
    <xf numFmtId="0" fontId="13" fillId="20" borderId="16" xfId="0" applyFont="1" applyFill="1" applyBorder="1" applyAlignment="1">
      <alignment horizontal="center" vertical="center" wrapText="1"/>
    </xf>
    <xf numFmtId="0" fontId="13" fillId="20" borderId="15" xfId="0" applyFont="1" applyFill="1" applyBorder="1" applyAlignment="1">
      <alignment horizontal="left" vertical="center" wrapText="1"/>
    </xf>
    <xf numFmtId="0" fontId="13" fillId="20" borderId="17" xfId="0" applyFont="1" applyFill="1" applyBorder="1" applyAlignment="1">
      <alignment horizontal="center" wrapText="1"/>
    </xf>
    <xf numFmtId="0" fontId="13" fillId="20" borderId="18" xfId="0" applyFont="1" applyFill="1" applyBorder="1" applyAlignment="1">
      <alignment horizontal="center" wrapText="1"/>
    </xf>
    <xf numFmtId="164" fontId="13" fillId="20" borderId="18" xfId="0" applyNumberFormat="1" applyFont="1" applyFill="1" applyBorder="1" applyAlignment="1">
      <alignment horizontal="center" wrapText="1"/>
    </xf>
    <xf numFmtId="0" fontId="11" fillId="20" borderId="18" xfId="0" applyFont="1" applyFill="1" applyBorder="1" applyAlignment="1">
      <alignment horizontal="center"/>
    </xf>
    <xf numFmtId="0" fontId="13" fillId="20" borderId="20" xfId="0" applyFont="1" applyFill="1" applyBorder="1" applyAlignment="1">
      <alignment horizontal="center" vertical="center" wrapText="1"/>
    </xf>
    <xf numFmtId="0" fontId="13" fillId="20" borderId="46" xfId="0" applyFont="1" applyFill="1" applyBorder="1" applyAlignment="1">
      <alignment horizontal="left" vertical="center" wrapText="1"/>
    </xf>
    <xf numFmtId="0" fontId="13" fillId="0" borderId="28" xfId="0" applyFont="1" applyBorder="1" applyAlignment="1">
      <alignment horizontal="center" wrapText="1"/>
    </xf>
    <xf numFmtId="0" fontId="20" fillId="0" borderId="0" xfId="1" applyNumberFormat="1" applyFont="1"/>
    <xf numFmtId="0" fontId="23" fillId="0" borderId="0" xfId="1" applyNumberFormat="1" applyFont="1"/>
    <xf numFmtId="0" fontId="24" fillId="0" borderId="0" xfId="1" applyNumberFormat="1" applyFont="1"/>
    <xf numFmtId="167" fontId="24" fillId="0" borderId="0" xfId="1" applyNumberFormat="1" applyFont="1" applyAlignment="1">
      <alignment horizontal="left"/>
    </xf>
    <xf numFmtId="0" fontId="24" fillId="22" borderId="0" xfId="1" applyNumberFormat="1" applyFont="1" applyFill="1"/>
    <xf numFmtId="0" fontId="24" fillId="22" borderId="0" xfId="1" applyNumberFormat="1" applyFont="1" applyFill="1" applyBorder="1"/>
    <xf numFmtId="0" fontId="24" fillId="0" borderId="0" xfId="1" applyNumberFormat="1" applyFont="1" applyAlignment="1">
      <alignment horizontal="center"/>
    </xf>
    <xf numFmtId="0" fontId="24" fillId="22" borderId="54" xfId="1" applyNumberFormat="1" applyFont="1" applyFill="1" applyBorder="1"/>
    <xf numFmtId="0" fontId="19" fillId="0" borderId="66" xfId="1" applyNumberFormat="1" applyFont="1" applyBorder="1"/>
    <xf numFmtId="0" fontId="19" fillId="0" borderId="66" xfId="1" applyNumberFormat="1" applyFont="1" applyBorder="1" applyAlignment="1">
      <alignment horizontal="center"/>
    </xf>
    <xf numFmtId="0" fontId="5" fillId="0" borderId="66" xfId="1" applyNumberFormat="1" applyFont="1" applyBorder="1" applyAlignment="1">
      <alignment horizontal="center"/>
    </xf>
    <xf numFmtId="0" fontId="3" fillId="0" borderId="66" xfId="1" applyNumberFormat="1" applyFont="1" applyBorder="1" applyAlignment="1">
      <alignment horizontal="center"/>
    </xf>
    <xf numFmtId="0" fontId="20" fillId="0" borderId="0" xfId="1" applyNumberFormat="1" applyFont="1" applyAlignment="1">
      <alignment horizontal="center"/>
    </xf>
    <xf numFmtId="0" fontId="20" fillId="22" borderId="0" xfId="1" applyNumberFormat="1" applyFont="1" applyFill="1" applyAlignment="1">
      <alignment horizontal="center"/>
    </xf>
    <xf numFmtId="0" fontId="20" fillId="22" borderId="0" xfId="1" applyNumberFormat="1" applyFont="1" applyFill="1"/>
    <xf numFmtId="0" fontId="25" fillId="0" borderId="67" xfId="1" applyNumberFormat="1" applyFont="1" applyBorder="1"/>
    <xf numFmtId="2" fontId="12" fillId="0" borderId="68" xfId="0" applyNumberFormat="1" applyFont="1" applyBorder="1" applyAlignment="1">
      <alignment horizontal="center" wrapText="1"/>
    </xf>
    <xf numFmtId="2" fontId="20" fillId="0" borderId="67" xfId="1" applyNumberFormat="1" applyFont="1" applyBorder="1" applyAlignment="1" applyProtection="1">
      <alignment horizontal="center"/>
      <protection locked="0"/>
    </xf>
    <xf numFmtId="0" fontId="3" fillId="0" borderId="0" xfId="1" applyNumberFormat="1" applyFont="1" applyBorder="1" applyAlignment="1">
      <alignment horizontal="center"/>
    </xf>
    <xf numFmtId="0" fontId="3" fillId="0" borderId="67" xfId="1" applyNumberFormat="1" applyFont="1" applyBorder="1" applyAlignment="1">
      <alignment horizontal="center"/>
    </xf>
    <xf numFmtId="2" fontId="20" fillId="0" borderId="0" xfId="1" applyNumberFormat="1" applyFont="1" applyAlignment="1">
      <alignment horizontal="center"/>
    </xf>
    <xf numFmtId="0" fontId="20" fillId="22" borderId="0" xfId="1" applyNumberFormat="1" applyFont="1" applyFill="1" applyBorder="1"/>
    <xf numFmtId="2" fontId="20" fillId="0" borderId="0" xfId="1" applyNumberFormat="1" applyFont="1"/>
    <xf numFmtId="0" fontId="25" fillId="0" borderId="0" xfId="1" applyNumberFormat="1" applyFont="1" applyBorder="1"/>
    <xf numFmtId="2" fontId="20" fillId="0" borderId="0" xfId="1" applyNumberFormat="1" applyFont="1" applyBorder="1" applyAlignment="1" applyProtection="1">
      <alignment horizontal="center"/>
      <protection locked="0"/>
    </xf>
    <xf numFmtId="0" fontId="25" fillId="0" borderId="69" xfId="1" applyNumberFormat="1" applyFont="1" applyBorder="1"/>
    <xf numFmtId="2" fontId="12" fillId="0" borderId="35" xfId="0" applyNumberFormat="1" applyFont="1" applyBorder="1" applyAlignment="1">
      <alignment horizontal="center" wrapText="1"/>
    </xf>
    <xf numFmtId="0" fontId="3" fillId="0" borderId="69" xfId="1" applyNumberFormat="1" applyFont="1" applyBorder="1" applyAlignment="1">
      <alignment horizontal="center"/>
    </xf>
    <xf numFmtId="0" fontId="26" fillId="0" borderId="70" xfId="1" applyNumberFormat="1" applyFont="1" applyBorder="1"/>
    <xf numFmtId="2" fontId="20" fillId="0" borderId="23" xfId="1" applyNumberFormat="1" applyFont="1" applyBorder="1" applyAlignment="1" applyProtection="1">
      <alignment horizontal="center"/>
      <protection locked="0"/>
    </xf>
    <xf numFmtId="0" fontId="3" fillId="0" borderId="70" xfId="1" applyNumberFormat="1" applyFont="1" applyBorder="1" applyAlignment="1">
      <alignment horizontal="center"/>
    </xf>
    <xf numFmtId="0" fontId="26" fillId="0" borderId="0" xfId="1" applyNumberFormat="1" applyFont="1" applyBorder="1"/>
    <xf numFmtId="0" fontId="26" fillId="0" borderId="69" xfId="1" applyNumberFormat="1" applyFont="1" applyBorder="1"/>
    <xf numFmtId="0" fontId="27" fillId="0" borderId="0" xfId="1" applyNumberFormat="1" applyFont="1" applyBorder="1"/>
    <xf numFmtId="2" fontId="12" fillId="0" borderId="71" xfId="0" applyNumberFormat="1" applyFont="1" applyBorder="1" applyAlignment="1">
      <alignment horizontal="center" wrapText="1"/>
    </xf>
    <xf numFmtId="2" fontId="20" fillId="0" borderId="70" xfId="1" applyNumberFormat="1" applyFont="1" applyBorder="1" applyAlignment="1" applyProtection="1">
      <alignment horizontal="center"/>
      <protection locked="0"/>
    </xf>
    <xf numFmtId="0" fontId="28" fillId="0" borderId="70" xfId="1" applyNumberFormat="1" applyFont="1" applyBorder="1"/>
    <xf numFmtId="2" fontId="12" fillId="0" borderId="23" xfId="0" applyNumberFormat="1" applyFont="1" applyBorder="1" applyAlignment="1">
      <alignment horizontal="center" wrapText="1"/>
    </xf>
    <xf numFmtId="0" fontId="28" fillId="0" borderId="0" xfId="1" applyNumberFormat="1" applyFont="1" applyBorder="1"/>
    <xf numFmtId="0" fontId="28" fillId="0" borderId="69" xfId="1" applyNumberFormat="1" applyFont="1" applyBorder="1"/>
    <xf numFmtId="0" fontId="29" fillId="0" borderId="70" xfId="1" applyNumberFormat="1" applyFont="1" applyBorder="1"/>
    <xf numFmtId="0" fontId="29" fillId="0" borderId="0" xfId="1" applyNumberFormat="1" applyFont="1" applyBorder="1"/>
    <xf numFmtId="0" fontId="29" fillId="0" borderId="54" xfId="1" applyNumberFormat="1" applyFont="1" applyBorder="1"/>
    <xf numFmtId="2" fontId="12" fillId="0" borderId="72" xfId="0" applyNumberFormat="1" applyFont="1" applyBorder="1" applyAlignment="1">
      <alignment horizontal="center" wrapText="1"/>
    </xf>
    <xf numFmtId="2" fontId="20" fillId="0" borderId="73" xfId="1" applyNumberFormat="1" applyFont="1" applyBorder="1" applyAlignment="1" applyProtection="1">
      <alignment horizontal="center"/>
      <protection locked="0"/>
    </xf>
    <xf numFmtId="0" fontId="3" fillId="0" borderId="54" xfId="1" applyNumberFormat="1" applyFont="1" applyBorder="1" applyAlignment="1">
      <alignment horizontal="center"/>
    </xf>
    <xf numFmtId="0" fontId="30" fillId="0" borderId="0" xfId="1" applyNumberFormat="1" applyFont="1" applyAlignment="1">
      <alignment horizontal="right"/>
    </xf>
    <xf numFmtId="9" fontId="20" fillId="0" borderId="0" xfId="1" applyFont="1" applyBorder="1" applyAlignment="1" applyProtection="1"/>
    <xf numFmtId="9" fontId="20" fillId="0" borderId="0" xfId="1" applyFont="1" applyBorder="1" applyAlignment="1" applyProtection="1">
      <alignment horizontal="center"/>
    </xf>
    <xf numFmtId="0" fontId="20" fillId="0" borderId="67" xfId="1" applyNumberFormat="1" applyFont="1" applyBorder="1"/>
    <xf numFmtId="0" fontId="20" fillId="0" borderId="67" xfId="1" applyNumberFormat="1" applyFont="1" applyBorder="1" applyAlignment="1">
      <alignment horizontal="center"/>
    </xf>
    <xf numFmtId="0" fontId="20" fillId="0" borderId="0" xfId="1" applyNumberFormat="1" applyFont="1" applyBorder="1"/>
    <xf numFmtId="0" fontId="20" fillId="0" borderId="0" xfId="1" applyNumberFormat="1" applyFont="1" applyBorder="1" applyAlignment="1">
      <alignment horizontal="center"/>
    </xf>
    <xf numFmtId="0" fontId="20" fillId="0" borderId="54" xfId="1" applyNumberFormat="1" applyFont="1" applyBorder="1"/>
    <xf numFmtId="0" fontId="20" fillId="0" borderId="54" xfId="1" applyNumberFormat="1" applyFont="1" applyBorder="1" applyAlignment="1">
      <alignment horizontal="center"/>
    </xf>
    <xf numFmtId="0" fontId="20" fillId="22" borderId="54" xfId="1" applyNumberFormat="1" applyFont="1" applyFill="1" applyBorder="1"/>
    <xf numFmtId="0" fontId="8" fillId="0" borderId="11" xfId="0" applyFont="1" applyBorder="1"/>
    <xf numFmtId="0" fontId="8" fillId="0" borderId="0" xfId="0" applyFont="1"/>
    <xf numFmtId="0" fontId="1" fillId="0" borderId="11" xfId="0" applyFont="1" applyBorder="1"/>
    <xf numFmtId="0" fontId="7" fillId="0" borderId="11" xfId="0" applyFont="1" applyBorder="1" applyAlignment="1">
      <alignment horizontal="center" vertical="center"/>
    </xf>
    <xf numFmtId="0" fontId="7" fillId="8" borderId="0" xfId="0" applyFont="1" applyFill="1" applyAlignment="1">
      <alignment horizontal="center" vertical="center"/>
    </xf>
    <xf numFmtId="0" fontId="1" fillId="0" borderId="0" xfId="0" applyFont="1"/>
    <xf numFmtId="0" fontId="1" fillId="0" borderId="11" xfId="0" applyFont="1" applyBorder="1" applyAlignment="1">
      <alignment horizontal="center" vertical="center"/>
    </xf>
    <xf numFmtId="0" fontId="7" fillId="0" borderId="11" xfId="0" applyFont="1" applyBorder="1" applyAlignment="1">
      <alignment horizontal="center"/>
    </xf>
    <xf numFmtId="0" fontId="7" fillId="12" borderId="0" xfId="0" applyFont="1" applyFill="1" applyAlignment="1">
      <alignment horizontal="center"/>
    </xf>
    <xf numFmtId="0" fontId="7" fillId="17" borderId="0" xfId="0" applyFont="1" applyFill="1" applyAlignment="1">
      <alignment horizontal="center"/>
    </xf>
    <xf numFmtId="0" fontId="7" fillId="15" borderId="0" xfId="0" applyFont="1" applyFill="1" applyAlignment="1">
      <alignment horizontal="center"/>
    </xf>
    <xf numFmtId="0" fontId="7" fillId="20" borderId="0" xfId="0" applyFont="1" applyFill="1" applyAlignment="1">
      <alignment horizontal="center"/>
    </xf>
    <xf numFmtId="0" fontId="7" fillId="11" borderId="0" xfId="0" applyFont="1" applyFill="1" applyAlignment="1">
      <alignment horizontal="center"/>
    </xf>
    <xf numFmtId="0" fontId="7" fillId="8" borderId="0" xfId="0" applyFont="1" applyFill="1" applyAlignment="1">
      <alignment horizontal="center"/>
    </xf>
    <xf numFmtId="0" fontId="1" fillId="23" borderId="0" xfId="1" applyNumberFormat="1" applyFont="1" applyFill="1"/>
    <xf numFmtId="0" fontId="23" fillId="23" borderId="0" xfId="1" applyNumberFormat="1" applyFont="1" applyFill="1" applyAlignment="1">
      <alignment horizontal="left" vertical="top"/>
    </xf>
    <xf numFmtId="0" fontId="13" fillId="20" borderId="15" xfId="0" applyFont="1" applyFill="1" applyBorder="1" applyAlignment="1">
      <alignment horizontal="center" vertical="center" wrapText="1"/>
    </xf>
    <xf numFmtId="0" fontId="12" fillId="5" borderId="17" xfId="0" applyFont="1" applyFill="1" applyBorder="1" applyAlignment="1" applyProtection="1">
      <alignment horizontal="left" vertical="center"/>
      <protection locked="0"/>
    </xf>
    <xf numFmtId="0" fontId="12" fillId="0" borderId="22" xfId="0" applyFont="1" applyBorder="1" applyAlignment="1">
      <alignment horizontal="left" vertical="center"/>
    </xf>
    <xf numFmtId="0" fontId="1" fillId="5" borderId="11" xfId="0" applyFont="1" applyFill="1" applyBorder="1" applyAlignment="1" applyProtection="1">
      <alignment horizontal="center" vertical="center"/>
      <protection locked="0"/>
    </xf>
    <xf numFmtId="0" fontId="12" fillId="5" borderId="11" xfId="0" applyFont="1" applyFill="1" applyBorder="1" applyAlignment="1" applyProtection="1">
      <alignment horizontal="center" vertical="center" wrapText="1"/>
      <protection locked="0"/>
    </xf>
    <xf numFmtId="0" fontId="12" fillId="0" borderId="11" xfId="0" applyFont="1" applyBorder="1" applyAlignment="1">
      <alignment horizontal="left" vertical="center"/>
    </xf>
    <xf numFmtId="0" fontId="13" fillId="20" borderId="36" xfId="0" applyFont="1" applyFill="1" applyBorder="1" applyAlignment="1">
      <alignment horizontal="center" wrapText="1"/>
    </xf>
    <xf numFmtId="0" fontId="13" fillId="20" borderId="46" xfId="0" applyFont="1" applyFill="1" applyBorder="1" applyAlignment="1">
      <alignment horizontal="center" vertical="center" wrapText="1"/>
    </xf>
    <xf numFmtId="2" fontId="17" fillId="20" borderId="30" xfId="0" applyNumberFormat="1" applyFont="1" applyFill="1" applyBorder="1" applyAlignment="1">
      <alignment horizontal="center" vertical="center"/>
    </xf>
    <xf numFmtId="0" fontId="12" fillId="0" borderId="43" xfId="0" applyFont="1" applyBorder="1" applyAlignment="1">
      <alignment horizontal="left" vertical="center"/>
    </xf>
    <xf numFmtId="0" fontId="12" fillId="0" borderId="17" xfId="0" applyFont="1" applyBorder="1" applyAlignment="1">
      <alignment horizontal="left" vertical="center"/>
    </xf>
    <xf numFmtId="0" fontId="13" fillId="20" borderId="19" xfId="0" applyFont="1" applyFill="1" applyBorder="1" applyAlignment="1">
      <alignment horizontal="center" vertical="center" wrapText="1"/>
    </xf>
    <xf numFmtId="0" fontId="13" fillId="20" borderId="40" xfId="0" applyFont="1" applyFill="1" applyBorder="1" applyAlignment="1">
      <alignment horizontal="center" wrapText="1"/>
    </xf>
    <xf numFmtId="2" fontId="17" fillId="20" borderId="19" xfId="0" applyNumberFormat="1" applyFont="1" applyFill="1" applyBorder="1" applyAlignment="1">
      <alignment horizontal="center" vertical="center"/>
    </xf>
    <xf numFmtId="0" fontId="16" fillId="19" borderId="31" xfId="0" applyFont="1" applyFill="1" applyBorder="1" applyAlignment="1">
      <alignment horizontal="center" wrapText="1"/>
    </xf>
    <xf numFmtId="0" fontId="13" fillId="18" borderId="19" xfId="0" applyFont="1" applyFill="1" applyBorder="1" applyAlignment="1">
      <alignment horizontal="center" vertical="center" wrapText="1"/>
    </xf>
    <xf numFmtId="0" fontId="12" fillId="0" borderId="21" xfId="0" applyFont="1" applyBorder="1" applyAlignment="1">
      <alignment horizontal="left" vertical="center"/>
    </xf>
    <xf numFmtId="0" fontId="13" fillId="17" borderId="36" xfId="0" applyFont="1" applyFill="1" applyBorder="1" applyAlignment="1">
      <alignment horizontal="center" wrapText="1"/>
    </xf>
    <xf numFmtId="0" fontId="13" fillId="18" borderId="46" xfId="0" applyFont="1" applyFill="1" applyBorder="1" applyAlignment="1">
      <alignment horizontal="center" vertical="center" wrapText="1"/>
    </xf>
    <xf numFmtId="2" fontId="17" fillId="18" borderId="30" xfId="0" applyNumberFormat="1" applyFont="1" applyFill="1" applyBorder="1" applyAlignment="1" applyProtection="1">
      <alignment horizontal="center" vertical="center"/>
      <protection locked="0"/>
    </xf>
    <xf numFmtId="0" fontId="12" fillId="0" borderId="44" xfId="0" applyFont="1" applyBorder="1" applyAlignment="1">
      <alignment horizontal="left" vertical="center"/>
    </xf>
    <xf numFmtId="0" fontId="12" fillId="0" borderId="24" xfId="0" applyFont="1" applyBorder="1" applyAlignment="1">
      <alignment horizontal="left" vertical="center"/>
    </xf>
    <xf numFmtId="0" fontId="12" fillId="0" borderId="17" xfId="0" applyFont="1" applyBorder="1" applyAlignment="1">
      <alignment horizontal="left" vertical="top"/>
    </xf>
    <xf numFmtId="0" fontId="12" fillId="0" borderId="21" xfId="0" applyFont="1" applyBorder="1" applyAlignment="1">
      <alignment horizontal="left" vertical="top"/>
    </xf>
    <xf numFmtId="0" fontId="16" fillId="16" borderId="14" xfId="0" applyFont="1" applyFill="1" applyBorder="1" applyAlignment="1">
      <alignment horizontal="center" wrapText="1"/>
    </xf>
    <xf numFmtId="0" fontId="13" fillId="17" borderId="18" xfId="0" applyFont="1" applyFill="1" applyBorder="1" applyAlignment="1">
      <alignment horizontal="center" wrapText="1"/>
    </xf>
    <xf numFmtId="0" fontId="13" fillId="18" borderId="15" xfId="0" applyFont="1" applyFill="1" applyBorder="1" applyAlignment="1">
      <alignment horizontal="center" vertical="center" wrapText="1"/>
    </xf>
    <xf numFmtId="2" fontId="17" fillId="18" borderId="19" xfId="0" applyNumberFormat="1" applyFont="1" applyFill="1" applyBorder="1" applyAlignment="1" applyProtection="1">
      <alignment horizontal="center" vertical="center"/>
      <protection locked="0"/>
    </xf>
    <xf numFmtId="0" fontId="13" fillId="14" borderId="15" xfId="0" applyFont="1" applyFill="1" applyBorder="1" applyAlignment="1">
      <alignment horizontal="center" vertical="center" wrapText="1"/>
    </xf>
    <xf numFmtId="0" fontId="13" fillId="14" borderId="40" xfId="0" applyFont="1" applyFill="1" applyBorder="1" applyAlignment="1">
      <alignment horizontal="center" wrapText="1"/>
    </xf>
    <xf numFmtId="2" fontId="17" fillId="14" borderId="19" xfId="0" applyNumberFormat="1" applyFont="1" applyFill="1" applyBorder="1" applyAlignment="1" applyProtection="1">
      <alignment horizontal="center" vertical="center"/>
      <protection locked="0"/>
    </xf>
    <xf numFmtId="0" fontId="13" fillId="14" borderId="36" xfId="0" applyFont="1" applyFill="1" applyBorder="1" applyAlignment="1">
      <alignment horizontal="center" wrapText="1"/>
    </xf>
    <xf numFmtId="0" fontId="13" fillId="14" borderId="46" xfId="0" applyFont="1" applyFill="1" applyBorder="1" applyAlignment="1">
      <alignment horizontal="center" vertical="center" wrapText="1"/>
    </xf>
    <xf numFmtId="0" fontId="12" fillId="5" borderId="43" xfId="0" applyFont="1" applyFill="1" applyBorder="1" applyAlignment="1" applyProtection="1">
      <alignment horizontal="left" vertical="center"/>
      <protection locked="0"/>
    </xf>
    <xf numFmtId="2" fontId="17" fillId="14" borderId="30" xfId="0" applyNumberFormat="1" applyFont="1" applyFill="1" applyBorder="1" applyAlignment="1" applyProtection="1">
      <alignment horizontal="center" vertical="center"/>
      <protection locked="0"/>
    </xf>
    <xf numFmtId="0" fontId="12" fillId="5" borderId="44" xfId="0" applyFont="1" applyFill="1" applyBorder="1" applyAlignment="1" applyProtection="1">
      <alignment horizontal="left" vertical="center"/>
      <protection locked="0"/>
    </xf>
    <xf numFmtId="0" fontId="12" fillId="5" borderId="24" xfId="0" applyFont="1" applyFill="1" applyBorder="1" applyAlignment="1" applyProtection="1">
      <alignment horizontal="left" vertical="center"/>
      <protection locked="0"/>
    </xf>
    <xf numFmtId="0" fontId="13" fillId="14" borderId="19" xfId="0" applyFont="1" applyFill="1" applyBorder="1" applyAlignment="1">
      <alignment horizontal="center" vertical="center" wrapText="1"/>
    </xf>
    <xf numFmtId="0" fontId="12" fillId="5" borderId="21" xfId="0" applyFont="1" applyFill="1" applyBorder="1" applyAlignment="1" applyProtection="1">
      <alignment horizontal="left" vertical="center"/>
      <protection locked="0"/>
    </xf>
    <xf numFmtId="0" fontId="16" fillId="13" borderId="31" xfId="0" applyFont="1" applyFill="1" applyBorder="1" applyAlignment="1">
      <alignment horizontal="center" wrapText="1"/>
    </xf>
    <xf numFmtId="0" fontId="13" fillId="12" borderId="19" xfId="0" applyFont="1" applyFill="1" applyBorder="1" applyAlignment="1">
      <alignment horizontal="center" vertical="center" wrapText="1"/>
    </xf>
    <xf numFmtId="0" fontId="12" fillId="5" borderId="18" xfId="0" applyFont="1" applyFill="1" applyBorder="1" applyAlignment="1" applyProtection="1">
      <alignment horizontal="left" vertical="center"/>
      <protection locked="0"/>
    </xf>
    <xf numFmtId="0" fontId="12" fillId="0" borderId="18" xfId="0" applyFont="1" applyBorder="1" applyAlignment="1">
      <alignment horizontal="left" vertical="center"/>
    </xf>
    <xf numFmtId="0" fontId="12" fillId="5" borderId="22" xfId="0" applyFont="1" applyFill="1" applyBorder="1" applyAlignment="1" applyProtection="1">
      <alignment horizontal="left" vertical="center"/>
      <protection locked="0"/>
    </xf>
    <xf numFmtId="0" fontId="13" fillId="12" borderId="36" xfId="0" applyFont="1" applyFill="1" applyBorder="1" applyAlignment="1">
      <alignment horizontal="center" wrapText="1"/>
    </xf>
    <xf numFmtId="0" fontId="13" fillId="12" borderId="15" xfId="0" applyFont="1" applyFill="1" applyBorder="1" applyAlignment="1">
      <alignment horizontal="center" vertical="center" wrapText="1"/>
    </xf>
    <xf numFmtId="2" fontId="17" fillId="12" borderId="19" xfId="0" applyNumberFormat="1" applyFont="1" applyFill="1" applyBorder="1" applyAlignment="1" applyProtection="1">
      <alignment horizontal="center" vertical="center"/>
      <protection locked="0"/>
    </xf>
    <xf numFmtId="0" fontId="12" fillId="6" borderId="18" xfId="0" applyFont="1" applyFill="1" applyBorder="1" applyAlignment="1">
      <alignment horizontal="left" vertical="center" wrapText="1"/>
    </xf>
    <xf numFmtId="0" fontId="13" fillId="12" borderId="46" xfId="0" applyFont="1" applyFill="1" applyBorder="1" applyAlignment="1">
      <alignment horizontal="center" vertical="center" wrapText="1"/>
    </xf>
    <xf numFmtId="2" fontId="17" fillId="12" borderId="30" xfId="0" applyNumberFormat="1" applyFont="1" applyFill="1" applyBorder="1" applyAlignment="1" applyProtection="1">
      <alignment horizontal="center" vertical="center"/>
      <protection locked="0"/>
    </xf>
    <xf numFmtId="0" fontId="12" fillId="6" borderId="17" xfId="0" applyFont="1" applyFill="1" applyBorder="1" applyAlignment="1">
      <alignment horizontal="left" vertical="center" wrapText="1"/>
    </xf>
    <xf numFmtId="0" fontId="16" fillId="11" borderId="14" xfId="0" applyFont="1" applyFill="1" applyBorder="1" applyAlignment="1">
      <alignment horizontal="center" wrapText="1"/>
    </xf>
    <xf numFmtId="0" fontId="13" fillId="12" borderId="18" xfId="0" applyFont="1" applyFill="1" applyBorder="1" applyAlignment="1">
      <alignment horizontal="center" wrapText="1"/>
    </xf>
    <xf numFmtId="0" fontId="13" fillId="8" borderId="45" xfId="0" applyFont="1" applyFill="1" applyBorder="1" applyAlignment="1">
      <alignment horizontal="center" vertical="center" wrapText="1"/>
    </xf>
    <xf numFmtId="0" fontId="12" fillId="6" borderId="22" xfId="0" applyFont="1" applyFill="1" applyBorder="1" applyAlignment="1">
      <alignment horizontal="left" vertical="center"/>
    </xf>
    <xf numFmtId="0" fontId="12" fillId="5" borderId="29" xfId="0" applyFont="1" applyFill="1" applyBorder="1" applyAlignment="1" applyProtection="1">
      <alignment horizontal="left" vertical="center"/>
      <protection locked="0"/>
    </xf>
    <xf numFmtId="0" fontId="13" fillId="8" borderId="36" xfId="0" applyFont="1" applyFill="1" applyBorder="1" applyAlignment="1">
      <alignment horizontal="center" wrapText="1"/>
    </xf>
    <xf numFmtId="0" fontId="13" fillId="8" borderId="38" xfId="0" applyFont="1" applyFill="1" applyBorder="1" applyAlignment="1">
      <alignment horizontal="center" vertical="center" wrapText="1"/>
    </xf>
    <xf numFmtId="2" fontId="17" fillId="8" borderId="30" xfId="0" applyNumberFormat="1" applyFont="1" applyFill="1" applyBorder="1" applyAlignment="1">
      <alignment horizontal="center" vertical="center"/>
    </xf>
    <xf numFmtId="0" fontId="12" fillId="6" borderId="44" xfId="0" applyFont="1" applyFill="1" applyBorder="1" applyAlignment="1">
      <alignment horizontal="left" vertical="center" wrapText="1"/>
    </xf>
    <xf numFmtId="0" fontId="13" fillId="8" borderId="19" xfId="0" applyFont="1" applyFill="1" applyBorder="1" applyAlignment="1">
      <alignment horizontal="center" vertical="center" wrapText="1"/>
    </xf>
    <xf numFmtId="0" fontId="12" fillId="5" borderId="40" xfId="0" applyFont="1" applyFill="1" applyBorder="1" applyAlignment="1" applyProtection="1">
      <alignment horizontal="left" vertical="center"/>
      <protection locked="0"/>
    </xf>
    <xf numFmtId="0" fontId="12" fillId="0" borderId="40" xfId="0" applyFont="1" applyBorder="1" applyAlignment="1">
      <alignment horizontal="left" vertical="center"/>
    </xf>
    <xf numFmtId="0" fontId="12" fillId="5" borderId="28" xfId="0" applyFont="1" applyFill="1" applyBorder="1" applyAlignment="1" applyProtection="1">
      <alignment horizontal="left" vertical="center"/>
      <protection locked="0"/>
    </xf>
    <xf numFmtId="0" fontId="12" fillId="0" borderId="28" xfId="0" applyFont="1" applyBorder="1" applyAlignment="1">
      <alignment horizontal="left" vertical="center"/>
    </xf>
    <xf numFmtId="0" fontId="12" fillId="0" borderId="29" xfId="0" applyFont="1" applyBorder="1" applyAlignment="1">
      <alignment horizontal="left" vertical="center"/>
    </xf>
    <xf numFmtId="0" fontId="13" fillId="8" borderId="30" xfId="0" applyFont="1" applyFill="1" applyBorder="1" applyAlignment="1">
      <alignment horizontal="center" vertical="center" wrapText="1"/>
    </xf>
    <xf numFmtId="0" fontId="13" fillId="0" borderId="7" xfId="0" applyFont="1" applyBorder="1" applyAlignment="1">
      <alignment horizontal="right" wrapText="1"/>
    </xf>
    <xf numFmtId="0" fontId="13" fillId="0" borderId="9" xfId="0" applyFont="1" applyBorder="1" applyAlignment="1">
      <alignment horizontal="right" vertical="center" wrapText="1"/>
    </xf>
    <xf numFmtId="0" fontId="16" fillId="7" borderId="14" xfId="0" applyFont="1" applyFill="1" applyBorder="1" applyAlignment="1">
      <alignment horizontal="center" wrapText="1"/>
    </xf>
    <xf numFmtId="2" fontId="17" fillId="8" borderId="19" xfId="0" applyNumberFormat="1" applyFont="1" applyFill="1" applyBorder="1" applyAlignment="1">
      <alignment horizontal="center" vertical="center"/>
    </xf>
    <xf numFmtId="0" fontId="10" fillId="0" borderId="0" xfId="0" applyFont="1" applyAlignment="1">
      <alignment horizontal="center" wrapText="1"/>
    </xf>
    <xf numFmtId="0" fontId="13" fillId="3" borderId="1" xfId="0" applyFont="1" applyFill="1" applyBorder="1" applyAlignment="1">
      <alignment horizontal="center" wrapText="1"/>
    </xf>
    <xf numFmtId="0" fontId="12" fillId="4" borderId="2" xfId="0" applyFont="1" applyFill="1" applyBorder="1" applyAlignment="1">
      <alignment wrapText="1"/>
    </xf>
    <xf numFmtId="0" fontId="12" fillId="4" borderId="3" xfId="0" applyFont="1" applyFill="1" applyBorder="1" applyAlignment="1">
      <alignment wrapText="1"/>
    </xf>
    <xf numFmtId="0" fontId="12" fillId="4" borderId="4" xfId="0" applyFont="1" applyFill="1" applyBorder="1" applyAlignment="1">
      <alignment wrapText="1"/>
    </xf>
    <xf numFmtId="0" fontId="13" fillId="0" borderId="5" xfId="0" applyFont="1" applyBorder="1" applyAlignment="1">
      <alignment horizontal="right" wrapText="1"/>
    </xf>
    <xf numFmtId="0" fontId="13" fillId="21" borderId="35" xfId="0" applyFont="1" applyFill="1" applyBorder="1" applyAlignment="1">
      <alignment horizontal="center" vertical="center" wrapText="1"/>
    </xf>
    <xf numFmtId="0" fontId="21" fillId="10" borderId="47" xfId="0" applyFont="1" applyFill="1" applyBorder="1" applyAlignment="1">
      <alignment horizontal="center" vertical="center" wrapText="1"/>
    </xf>
    <xf numFmtId="0" fontId="22" fillId="10" borderId="47" xfId="0" applyFont="1" applyFill="1" applyBorder="1" applyAlignment="1">
      <alignment horizontal="center" vertical="center"/>
    </xf>
    <xf numFmtId="0" fontId="13" fillId="0" borderId="0" xfId="0" applyFont="1" applyAlignment="1">
      <alignment horizontal="right" wrapText="1"/>
    </xf>
    <xf numFmtId="167" fontId="12" fillId="0" borderId="0" xfId="0" applyNumberFormat="1" applyFont="1" applyAlignment="1">
      <alignment horizontal="left" wrapText="1"/>
    </xf>
    <xf numFmtId="0" fontId="12" fillId="0" borderId="0" xfId="0" applyFont="1" applyAlignment="1">
      <alignment wrapText="1"/>
    </xf>
    <xf numFmtId="0" fontId="12" fillId="0" borderId="0" xfId="0" applyFont="1" applyAlignment="1">
      <alignment horizontal="left" wrapText="1"/>
    </xf>
    <xf numFmtId="0" fontId="10" fillId="0" borderId="0" xfId="0" applyFont="1" applyAlignment="1">
      <alignment horizontal="center" vertical="center" wrapText="1"/>
    </xf>
    <xf numFmtId="0" fontId="19" fillId="4" borderId="47" xfId="1" applyNumberFormat="1" applyFont="1" applyFill="1" applyBorder="1" applyAlignment="1">
      <alignment horizontal="left" vertical="center" wrapText="1"/>
    </xf>
    <xf numFmtId="0" fontId="13" fillId="20" borderId="61" xfId="0" applyFont="1" applyFill="1" applyBorder="1" applyAlignment="1">
      <alignment horizontal="center" vertical="center" wrapText="1"/>
    </xf>
    <xf numFmtId="2" fontId="17" fillId="20" borderId="63" xfId="0" applyNumberFormat="1" applyFont="1" applyFill="1" applyBorder="1" applyAlignment="1">
      <alignment horizontal="center" vertical="center"/>
    </xf>
    <xf numFmtId="0" fontId="13" fillId="20" borderId="64" xfId="0" applyFont="1" applyFill="1" applyBorder="1" applyAlignment="1">
      <alignment horizontal="center" vertical="center" wrapText="1"/>
    </xf>
    <xf numFmtId="2" fontId="17" fillId="20" borderId="65" xfId="0" applyNumberFormat="1" applyFont="1" applyFill="1" applyBorder="1" applyAlignment="1">
      <alignment horizontal="center" vertical="center"/>
    </xf>
    <xf numFmtId="0" fontId="13" fillId="20" borderId="60" xfId="0" applyFont="1" applyFill="1" applyBorder="1" applyAlignment="1">
      <alignment horizontal="center" vertical="center" wrapText="1"/>
    </xf>
    <xf numFmtId="0" fontId="16" fillId="19" borderId="16" xfId="0" applyFont="1" applyFill="1" applyBorder="1" applyAlignment="1">
      <alignment horizontal="center" wrapText="1"/>
    </xf>
    <xf numFmtId="0" fontId="16" fillId="19" borderId="63" xfId="0" applyFont="1" applyFill="1" applyBorder="1" applyAlignment="1">
      <alignment horizontal="center" wrapText="1"/>
    </xf>
    <xf numFmtId="0" fontId="13" fillId="18" borderId="60" xfId="0" applyFont="1" applyFill="1" applyBorder="1" applyAlignment="1">
      <alignment horizontal="center" vertical="center" wrapText="1"/>
    </xf>
    <xf numFmtId="2" fontId="17" fillId="18" borderId="63" xfId="0" applyNumberFormat="1" applyFont="1" applyFill="1" applyBorder="1" applyAlignment="1">
      <alignment horizontal="center" vertical="center"/>
    </xf>
    <xf numFmtId="2" fontId="17" fillId="18" borderId="20" xfId="0" applyNumberFormat="1" applyFont="1" applyFill="1" applyBorder="1" applyAlignment="1">
      <alignment horizontal="center" vertical="center"/>
    </xf>
    <xf numFmtId="0" fontId="16" fillId="16" borderId="16" xfId="0" applyFont="1" applyFill="1" applyBorder="1" applyAlignment="1">
      <alignment horizontal="center" wrapText="1"/>
    </xf>
    <xf numFmtId="0" fontId="16" fillId="16" borderId="63" xfId="0" applyFont="1" applyFill="1" applyBorder="1" applyAlignment="1">
      <alignment horizontal="center" wrapText="1"/>
    </xf>
    <xf numFmtId="0" fontId="13" fillId="14" borderId="60" xfId="0" applyFont="1" applyFill="1" applyBorder="1" applyAlignment="1">
      <alignment horizontal="center" vertical="center" wrapText="1"/>
    </xf>
    <xf numFmtId="2" fontId="17" fillId="14" borderId="63" xfId="0" applyNumberFormat="1" applyFont="1" applyFill="1" applyBorder="1" applyAlignment="1">
      <alignment horizontal="center" vertical="center"/>
    </xf>
    <xf numFmtId="2" fontId="17" fillId="14" borderId="20" xfId="0" applyNumberFormat="1" applyFont="1" applyFill="1" applyBorder="1" applyAlignment="1">
      <alignment horizontal="center" vertical="center"/>
    </xf>
    <xf numFmtId="0" fontId="16" fillId="13" borderId="16" xfId="0" applyFont="1" applyFill="1" applyBorder="1" applyAlignment="1">
      <alignment horizontal="center" wrapText="1"/>
    </xf>
    <xf numFmtId="0" fontId="16" fillId="13" borderId="63" xfId="0" applyFont="1" applyFill="1" applyBorder="1" applyAlignment="1">
      <alignment horizontal="center" wrapText="1"/>
    </xf>
    <xf numFmtId="0" fontId="13" fillId="12" borderId="61" xfId="0" applyFont="1" applyFill="1" applyBorder="1" applyAlignment="1">
      <alignment horizontal="center" vertical="center" wrapText="1"/>
    </xf>
    <xf numFmtId="2" fontId="17" fillId="12" borderId="63" xfId="0" applyNumberFormat="1" applyFont="1" applyFill="1" applyBorder="1" applyAlignment="1">
      <alignment horizontal="center" vertical="center"/>
    </xf>
    <xf numFmtId="0" fontId="13" fillId="12" borderId="60" xfId="0" applyFont="1" applyFill="1" applyBorder="1" applyAlignment="1">
      <alignment horizontal="center" vertical="center" wrapText="1"/>
    </xf>
    <xf numFmtId="2" fontId="17" fillId="12" borderId="20" xfId="0" applyNumberFormat="1" applyFont="1" applyFill="1" applyBorder="1" applyAlignment="1">
      <alignment horizontal="center" vertical="center"/>
    </xf>
    <xf numFmtId="0" fontId="13" fillId="12" borderId="64" xfId="0" applyFont="1" applyFill="1" applyBorder="1" applyAlignment="1">
      <alignment horizontal="center" vertical="center" wrapText="1"/>
    </xf>
    <xf numFmtId="0" fontId="16" fillId="11" borderId="16" xfId="0" applyFont="1" applyFill="1" applyBorder="1" applyAlignment="1">
      <alignment horizontal="center" wrapText="1"/>
    </xf>
    <xf numFmtId="0" fontId="16" fillId="11" borderId="63" xfId="0" applyFont="1" applyFill="1" applyBorder="1" applyAlignment="1">
      <alignment horizontal="center" wrapText="1"/>
    </xf>
    <xf numFmtId="0" fontId="13" fillId="8" borderId="60" xfId="0" applyFont="1" applyFill="1" applyBorder="1" applyAlignment="1">
      <alignment horizontal="center" vertical="center" wrapText="1"/>
    </xf>
    <xf numFmtId="2" fontId="17" fillId="8" borderId="63" xfId="0" applyNumberFormat="1" applyFont="1" applyFill="1" applyBorder="1" applyAlignment="1">
      <alignment horizontal="center" vertical="center"/>
    </xf>
    <xf numFmtId="0" fontId="13" fillId="8" borderId="34" xfId="0" applyFont="1" applyFill="1" applyBorder="1" applyAlignment="1">
      <alignment horizontal="center" vertical="center" wrapText="1"/>
    </xf>
    <xf numFmtId="2" fontId="17" fillId="8" borderId="20" xfId="0" applyNumberFormat="1" applyFont="1" applyFill="1" applyBorder="1" applyAlignment="1">
      <alignment horizontal="center" vertical="center"/>
    </xf>
    <xf numFmtId="0" fontId="16" fillId="7" borderId="59" xfId="0" applyFont="1" applyFill="1" applyBorder="1" applyAlignment="1">
      <alignment horizontal="center" wrapText="1"/>
    </xf>
    <xf numFmtId="2" fontId="17" fillId="8" borderId="61" xfId="0" applyNumberFormat="1" applyFont="1" applyFill="1" applyBorder="1" applyAlignment="1">
      <alignment horizontal="center" vertical="center"/>
    </xf>
    <xf numFmtId="0" fontId="24" fillId="22" borderId="54" xfId="1" applyNumberFormat="1" applyFont="1" applyFill="1" applyBorder="1" applyAlignment="1">
      <alignment horizontal="center"/>
    </xf>
    <xf numFmtId="0" fontId="20" fillId="22" borderId="0" xfId="1" applyNumberFormat="1" applyFont="1" applyFill="1" applyBorder="1" applyAlignment="1">
      <alignment horizontal="center"/>
    </xf>
    <xf numFmtId="167" fontId="24" fillId="0" borderId="0" xfId="1" applyNumberFormat="1" applyFont="1" applyBorder="1" applyAlignment="1" applyProtection="1">
      <alignment horizontal="left"/>
      <protection locked="0"/>
    </xf>
    <xf numFmtId="0" fontId="24" fillId="22" borderId="0" xfId="1" applyNumberFormat="1" applyFont="1" applyFill="1" applyBorder="1" applyAlignment="1">
      <alignment horizontal="center"/>
    </xf>
    <xf numFmtId="0" fontId="24" fillId="0" borderId="0" xfId="1" applyNumberFormat="1" applyFont="1" applyBorder="1" applyAlignment="1" applyProtection="1">
      <alignment horizontal="left"/>
      <protection locked="0"/>
    </xf>
    <xf numFmtId="0" fontId="7" fillId="9" borderId="0" xfId="0" applyFont="1" applyFill="1" applyAlignment="1">
      <alignment horizontal="center" vertical="center"/>
    </xf>
    <xf numFmtId="0" fontId="8" fillId="0" borderId="11" xfId="0" applyFont="1" applyBorder="1" applyAlignment="1">
      <alignment horizontal="center"/>
    </xf>
  </cellXfs>
  <cellStyles count="2">
    <cellStyle name="Explanatory Text" xfId="1" builtinId="53" customBuiltin="1"/>
    <cellStyle name="Normal" xfId="0" builtinId="0"/>
  </cellStyles>
  <dxfs count="6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A7C0DE"/>
        </patternFill>
      </fill>
    </dxf>
    <dxf>
      <fill>
        <patternFill>
          <bgColor rgb="FFA7C0DE"/>
        </patternFill>
      </fill>
    </dxf>
    <dxf>
      <fill>
        <patternFill>
          <bgColor rgb="FFA7C0DE"/>
        </patternFill>
      </fill>
    </dxf>
  </dxfs>
  <tableStyles count="0" defaultTableStyle="TableStyleMedium2" defaultPivotStyle="PivotStyleLight16"/>
  <colors>
    <indexedColors>
      <rgbColor rgb="FF000000"/>
      <rgbColor rgb="FFFFFFFF"/>
      <rgbColor rgb="FFFF0000"/>
      <rgbColor rgb="FF9BBB59"/>
      <rgbColor rgb="FF0000FF"/>
      <rgbColor rgb="FFD5D514"/>
      <rgbColor rgb="FFFF00FF"/>
      <rgbColor rgb="FF94BCDD"/>
      <rgbColor rgb="FF9C0006"/>
      <rgbColor rgb="FF006100"/>
      <rgbColor rgb="FF000080"/>
      <rgbColor rgb="FFB07667"/>
      <rgbColor rgb="FF800080"/>
      <rgbColor rgb="FF2988A1"/>
      <rgbColor rgb="FFC0C0C0"/>
      <rgbColor rgb="FF808080"/>
      <rgbColor rgb="FF95B3D7"/>
      <rgbColor rgb="FFC0504D"/>
      <rgbColor rgb="FFEBF1DE"/>
      <rgbColor rgb="FFDCE6F2"/>
      <rgbColor rgb="FF611816"/>
      <rgbColor rgb="FFD59E7B"/>
      <rgbColor rgb="FF8BA988"/>
      <rgbColor rgb="FFD9D9D9"/>
      <rgbColor rgb="FF000080"/>
      <rgbColor rgb="FFFF00FF"/>
      <rgbColor rgb="FFD4D513"/>
      <rgbColor rgb="FF00FFFF"/>
      <rgbColor rgb="FF800080"/>
      <rgbColor rgb="FF791F17"/>
      <rgbColor rgb="FF3290C4"/>
      <rgbColor rgb="FF0000FF"/>
      <rgbColor rgb="FF00B0F0"/>
      <rgbColor rgb="FFF2F2F2"/>
      <rgbColor rgb="FFC6EFCE"/>
      <rgbColor rgb="FFDDD9C3"/>
      <rgbColor rgb="FF99CCFF"/>
      <rgbColor rgb="FFDDDDDD"/>
      <rgbColor rgb="FFA7C0DE"/>
      <rgbColor rgb="FFFFC7CE"/>
      <rgbColor rgb="FF878787"/>
      <rgbColor rgb="FF36B0D1"/>
      <rgbColor rgb="FFBDBF17"/>
      <rgbColor rgb="FFFFC000"/>
      <rgbColor rgb="FFD9A619"/>
      <rgbColor rgb="FFFFC221"/>
      <rgbColor rgb="FF595959"/>
      <rgbColor rgb="FF969696"/>
      <rgbColor rgb="FF003366"/>
      <rgbColor rgb="FF339966"/>
      <rgbColor rgb="FF010000"/>
      <rgbColor rgb="FF37793E"/>
      <rgbColor rgb="FF7E1F1D"/>
      <rgbColor rgb="FFB75727"/>
      <rgbColor rgb="FF8BAA88"/>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SAMM Current Score</a:t>
            </a:r>
          </a:p>
        </c:rich>
      </c:tx>
      <c:layout>
        <c:manualLayout>
          <c:xMode val="edge"/>
          <c:yMode val="edge"/>
          <c:x val="0.68850949277415696"/>
          <c:y val="0.91070775085998701"/>
        </c:manualLayout>
      </c:layout>
      <c:overlay val="0"/>
      <c:spPr>
        <a:noFill/>
        <a:ln>
          <a:noFill/>
        </a:ln>
      </c:spPr>
    </c:title>
    <c:autoTitleDeleted val="0"/>
    <c:plotArea>
      <c:layout/>
      <c:radarChart>
        <c:radarStyle val="filled"/>
        <c:varyColors val="0"/>
        <c:ser>
          <c:idx val="0"/>
          <c:order val="0"/>
          <c:tx>
            <c:strRef>
              <c:f>Scorecard!$Z$13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A70-ED4E-9962-394DDEC92D37}"/>
            </c:ext>
          </c:extLst>
        </c:ser>
        <c:ser>
          <c:idx val="1"/>
          <c:order val="1"/>
          <c:tx>
            <c:strRef>
              <c:f>Scorecard!$Y$13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A70-ED4E-9962-394DDEC92D37}"/>
            </c:ext>
          </c:extLst>
        </c:ser>
        <c:ser>
          <c:idx val="2"/>
          <c:order val="2"/>
          <c:tx>
            <c:strRef>
              <c:f>Scorecard!$X$13</c:f>
              <c:strCache>
                <c:ptCount val="1"/>
                <c:pt idx="0">
                  <c:v>Implementation</c:v>
                </c:pt>
              </c:strCache>
            </c:strRef>
          </c:tx>
          <c:spPr>
            <a:solidFill>
              <a:srgbClr val="FFC221"/>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2.5</c:v>
                </c:pt>
                <c:pt idx="7">
                  <c:v>1</c:v>
                </c:pt>
                <c:pt idx="8">
                  <c:v>0.5</c:v>
                </c:pt>
                <c:pt idx="9">
                  <c:v>0</c:v>
                </c:pt>
                <c:pt idx="10">
                  <c:v>0</c:v>
                </c:pt>
                <c:pt idx="11">
                  <c:v>0</c:v>
                </c:pt>
                <c:pt idx="12">
                  <c:v>0</c:v>
                </c:pt>
                <c:pt idx="13">
                  <c:v>0</c:v>
                </c:pt>
                <c:pt idx="14">
                  <c:v>0</c:v>
                </c:pt>
              </c:numCache>
            </c:numRef>
          </c:val>
          <c:extLst>
            <c:ext xmlns:c16="http://schemas.microsoft.com/office/drawing/2014/chart" uri="{C3380CC4-5D6E-409C-BE32-E72D297353CC}">
              <c16:uniqueId val="{00000002-3A70-ED4E-9962-394DDEC92D37}"/>
            </c:ext>
          </c:extLst>
        </c:ser>
        <c:ser>
          <c:idx val="3"/>
          <c:order val="3"/>
          <c:tx>
            <c:strRef>
              <c:f>Scorecard!$W$13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2.25</c:v>
                </c:pt>
                <c:pt idx="4">
                  <c:v>1.5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3A70-ED4E-9962-394DDEC92D37}"/>
            </c:ext>
          </c:extLst>
        </c:ser>
        <c:ser>
          <c:idx val="4"/>
          <c:order val="4"/>
          <c:tx>
            <c:strRef>
              <c:f>Scorecard!$V$13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2.625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3A70-ED4E-9962-394DDEC92D37}"/>
            </c:ext>
          </c:extLst>
        </c:ser>
        <c:dLbls>
          <c:showLegendKey val="0"/>
          <c:showVal val="0"/>
          <c:showCatName val="0"/>
          <c:showSerName val="0"/>
          <c:showPercent val="0"/>
          <c:showBubbleSize val="0"/>
        </c:dLbls>
        <c:axId val="58418102"/>
        <c:axId val="12270754"/>
      </c:radarChart>
      <c:catAx>
        <c:axId val="58418102"/>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12270754"/>
        <c:crosses val="autoZero"/>
        <c:auto val="1"/>
        <c:lblAlgn val="ctr"/>
        <c:lblOffset val="100"/>
        <c:noMultiLvlLbl val="1"/>
      </c:catAx>
      <c:valAx>
        <c:axId val="12270754"/>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58418102"/>
        <c:crosses val="autoZero"/>
        <c:crossBetween val="between"/>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37624599770402E-2"/>
          <c:y val="0.15830758260042799"/>
          <c:w val="0.92043738295173105"/>
          <c:h val="0.64535298312336598"/>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Chart'!$B$15:$J$15</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D628-7A4B-9EA6-D96833CF9EA3}"/>
            </c:ext>
          </c:extLst>
        </c:ser>
        <c:dLbls>
          <c:showLegendKey val="0"/>
          <c:showVal val="0"/>
          <c:showCatName val="0"/>
          <c:showSerName val="0"/>
          <c:showPercent val="0"/>
          <c:showBubbleSize val="0"/>
        </c:dLbls>
        <c:axId val="68576198"/>
        <c:axId val="36074459"/>
      </c:areaChart>
      <c:catAx>
        <c:axId val="6857619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36074459"/>
        <c:crosses val="autoZero"/>
        <c:auto val="1"/>
        <c:lblAlgn val="ctr"/>
        <c:lblOffset val="100"/>
        <c:noMultiLvlLbl val="1"/>
      </c:catAx>
      <c:valAx>
        <c:axId val="36074459"/>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68576198"/>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75845410627997E-2"/>
          <c:y val="0.15813397129186599"/>
          <c:w val="0.92041062801932405"/>
          <c:h val="0.64545454545454595"/>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Chart'!$B$16:$J$16</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37AD-7742-980F-47A225D8C1EE}"/>
            </c:ext>
          </c:extLst>
        </c:ser>
        <c:dLbls>
          <c:showLegendKey val="0"/>
          <c:showVal val="0"/>
          <c:showCatName val="0"/>
          <c:showSerName val="0"/>
          <c:showPercent val="0"/>
          <c:showBubbleSize val="0"/>
        </c:dLbls>
        <c:axId val="97194216"/>
        <c:axId val="49180942"/>
      </c:areaChart>
      <c:catAx>
        <c:axId val="9719421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49180942"/>
        <c:crosses val="autoZero"/>
        <c:auto val="1"/>
        <c:lblAlgn val="ctr"/>
        <c:lblOffset val="100"/>
        <c:noMultiLvlLbl val="1"/>
      </c:catAx>
      <c:valAx>
        <c:axId val="49180942"/>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719421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08174904943001"/>
          <c:w val="0.92058111380145302"/>
          <c:h val="0.64757604562737703"/>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Chart'!$B$17:$J$17</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E203-B74E-98B1-45871B8E157B}"/>
            </c:ext>
          </c:extLst>
        </c:ser>
        <c:dLbls>
          <c:showLegendKey val="0"/>
          <c:showVal val="0"/>
          <c:showCatName val="0"/>
          <c:showSerName val="0"/>
          <c:showPercent val="0"/>
          <c:showBubbleSize val="0"/>
        </c:dLbls>
        <c:axId val="88373605"/>
        <c:axId val="97336080"/>
      </c:areaChart>
      <c:catAx>
        <c:axId val="8837360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7336080"/>
        <c:crosses val="autoZero"/>
        <c:auto val="1"/>
        <c:lblAlgn val="ctr"/>
        <c:lblOffset val="100"/>
        <c:noMultiLvlLbl val="1"/>
      </c:catAx>
      <c:valAx>
        <c:axId val="9733608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8837360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615402787621099"/>
          <c:w val="0.920401014615292"/>
          <c:h val="0.64989369241672601"/>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07FF-B54D-993B-119EE0C0D1CE}"/>
            </c:ext>
          </c:extLst>
        </c:ser>
        <c:dLbls>
          <c:showLegendKey val="0"/>
          <c:showVal val="0"/>
          <c:showCatName val="0"/>
          <c:showSerName val="0"/>
          <c:showPercent val="0"/>
          <c:showBubbleSize val="0"/>
        </c:dLbls>
        <c:axId val="32089426"/>
        <c:axId val="29276175"/>
      </c:areaChart>
      <c:catAx>
        <c:axId val="3208942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29276175"/>
        <c:crosses val="autoZero"/>
        <c:auto val="1"/>
        <c:lblAlgn val="ctr"/>
        <c:lblOffset val="100"/>
        <c:noMultiLvlLbl val="1"/>
      </c:catAx>
      <c:valAx>
        <c:axId val="2927617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3208942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520075135008199"/>
          <c:w val="0.920582195917381"/>
          <c:h val="0.65203099319088997"/>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2785-9C4B-8524-4CE861BEF875}"/>
            </c:ext>
          </c:extLst>
        </c:ser>
        <c:dLbls>
          <c:showLegendKey val="0"/>
          <c:showVal val="0"/>
          <c:showCatName val="0"/>
          <c:showSerName val="0"/>
          <c:showPercent val="0"/>
          <c:showBubbleSize val="0"/>
        </c:dLbls>
        <c:axId val="46121480"/>
        <c:axId val="43412390"/>
      </c:areaChart>
      <c:catAx>
        <c:axId val="4612148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43412390"/>
        <c:crosses val="autoZero"/>
        <c:auto val="1"/>
        <c:lblAlgn val="ctr"/>
        <c:lblOffset val="100"/>
        <c:noMultiLvlLbl val="1"/>
      </c:catAx>
      <c:valAx>
        <c:axId val="4341239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612148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542577605991098E-2"/>
          <c:y val="0.15516431924882601"/>
          <c:w val="0.92028022708056501"/>
          <c:h val="0.65211267605633805"/>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B22-2743-9383-BDD0F9B026D5}"/>
            </c:ext>
          </c:extLst>
        </c:ser>
        <c:dLbls>
          <c:showLegendKey val="0"/>
          <c:showVal val="0"/>
          <c:showCatName val="0"/>
          <c:showSerName val="0"/>
          <c:showPercent val="0"/>
          <c:showBubbleSize val="0"/>
        </c:dLbls>
        <c:axId val="90558992"/>
        <c:axId val="99837464"/>
      </c:areaChart>
      <c:catAx>
        <c:axId val="9055899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99837464"/>
        <c:crosses val="autoZero"/>
        <c:auto val="1"/>
        <c:lblAlgn val="ctr"/>
        <c:lblOffset val="100"/>
        <c:noMultiLvlLbl val="1"/>
      </c:catAx>
      <c:valAx>
        <c:axId val="99837464"/>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055899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4316631380852"/>
          <c:w val="0.920401014615292"/>
          <c:h val="0.654199011997177"/>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5AE-1147-AEDF-02E907420507}"/>
            </c:ext>
          </c:extLst>
        </c:ser>
        <c:dLbls>
          <c:showLegendKey val="0"/>
          <c:showVal val="0"/>
          <c:showCatName val="0"/>
          <c:showSerName val="0"/>
          <c:showPercent val="0"/>
          <c:showBubbleSize val="0"/>
        </c:dLbls>
        <c:axId val="53031750"/>
        <c:axId val="44964241"/>
      </c:areaChart>
      <c:catAx>
        <c:axId val="5303175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44964241"/>
        <c:crosses val="autoZero"/>
        <c:auto val="1"/>
        <c:lblAlgn val="ctr"/>
        <c:lblOffset val="100"/>
        <c:noMultiLvlLbl val="1"/>
      </c:catAx>
      <c:valAx>
        <c:axId val="44964241"/>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303175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83256714251099E-2"/>
          <c:y val="0.15337853635726001"/>
          <c:w val="0.92057827244132595"/>
          <c:h val="0.656301145662848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B70-2F4C-8FE0-2ECF0EBB91FC}"/>
            </c:ext>
          </c:extLst>
        </c:ser>
        <c:dLbls>
          <c:showLegendKey val="0"/>
          <c:showVal val="0"/>
          <c:showCatName val="0"/>
          <c:showSerName val="0"/>
          <c:showPercent val="0"/>
          <c:showBubbleSize val="0"/>
        </c:dLbls>
        <c:axId val="42792115"/>
        <c:axId val="54101868"/>
      </c:areaChart>
      <c:catAx>
        <c:axId val="4279211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54101868"/>
        <c:crosses val="autoZero"/>
        <c:auto val="1"/>
        <c:lblAlgn val="ctr"/>
        <c:lblOffset val="100"/>
        <c:noMultiLvlLbl val="1"/>
      </c:catAx>
      <c:valAx>
        <c:axId val="5410186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279211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3351698806244"/>
          <c:w val="0.920582195917381"/>
          <c:h val="0.656336088154270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0738-C64A-9933-2FA818A2DB00}"/>
            </c:ext>
          </c:extLst>
        </c:ser>
        <c:dLbls>
          <c:showLegendKey val="0"/>
          <c:showVal val="0"/>
          <c:showCatName val="0"/>
          <c:showSerName val="0"/>
          <c:showPercent val="0"/>
          <c:showBubbleSize val="0"/>
        </c:dLbls>
        <c:axId val="58071316"/>
        <c:axId val="85590013"/>
      </c:areaChart>
      <c:catAx>
        <c:axId val="5807131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85590013"/>
        <c:crosses val="autoZero"/>
        <c:auto val="1"/>
        <c:lblAlgn val="ctr"/>
        <c:lblOffset val="100"/>
        <c:noMultiLvlLbl val="1"/>
      </c:catAx>
      <c:valAx>
        <c:axId val="85590013"/>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807131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radarChart>
        <c:radarStyle val="filled"/>
        <c:varyColors val="0"/>
        <c:ser>
          <c:idx val="0"/>
          <c:order val="0"/>
          <c:tx>
            <c:strRef>
              <c:f>'Roadmap Chart'!$AE$11</c:f>
              <c:strCache>
                <c:ptCount val="1"/>
                <c:pt idx="0">
                  <c:v>Start</c:v>
                </c:pt>
              </c:strCache>
            </c:strRef>
          </c:tx>
          <c:spPr>
            <a:solidFill>
              <a:srgbClr val="DDD9C3"/>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2.625</c:v>
                </c:pt>
                <c:pt idx="3">
                  <c:v>2.25</c:v>
                </c:pt>
                <c:pt idx="4">
                  <c:v>1.5</c:v>
                </c:pt>
                <c:pt idx="5">
                  <c:v>0.5</c:v>
                </c:pt>
                <c:pt idx="6">
                  <c:v>2.5</c:v>
                </c:pt>
                <c:pt idx="7">
                  <c:v>1</c:v>
                </c:pt>
                <c:pt idx="8">
                  <c:v>0.5</c:v>
                </c:pt>
                <c:pt idx="9">
                  <c:v>0</c:v>
                </c:pt>
                <c:pt idx="10">
                  <c:v>0</c:v>
                </c:pt>
                <c:pt idx="11">
                  <c:v>0</c:v>
                </c:pt>
                <c:pt idx="12">
                  <c:v>0</c:v>
                </c:pt>
                <c:pt idx="13">
                  <c:v>0</c:v>
                </c:pt>
                <c:pt idx="14">
                  <c:v>0</c:v>
                </c:pt>
              </c:numCache>
            </c:numRef>
          </c:val>
          <c:extLst>
            <c:ext xmlns:c16="http://schemas.microsoft.com/office/drawing/2014/chart" uri="{C3380CC4-5D6E-409C-BE32-E72D297353CC}">
              <c16:uniqueId val="{00000000-1EBF-F947-B030-12B850E0F29C}"/>
            </c:ext>
          </c:extLst>
        </c:ser>
        <c:ser>
          <c:idx val="1"/>
          <c:order val="1"/>
          <c:tx>
            <c:strRef>
              <c:f>'Roadmap Chart'!$AD$11</c:f>
              <c:strCache>
                <c:ptCount val="1"/>
                <c:pt idx="0">
                  <c:v>Phase 1</c:v>
                </c:pt>
              </c:strCache>
            </c:strRef>
          </c:tx>
          <c:spPr>
            <a:solidFill>
              <a:srgbClr val="C0504D"/>
            </a:solidFill>
            <a:ln>
              <a:solidFill>
                <a:srgbClr val="C0504D"/>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0.125</c:v>
                </c:pt>
                <c:pt idx="1">
                  <c:v>0</c:v>
                </c:pt>
                <c:pt idx="2">
                  <c:v>2.625</c:v>
                </c:pt>
                <c:pt idx="3">
                  <c:v>2.25</c:v>
                </c:pt>
                <c:pt idx="4">
                  <c:v>1.5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1EBF-F947-B030-12B850E0F29C}"/>
            </c:ext>
          </c:extLst>
        </c:ser>
        <c:ser>
          <c:idx val="2"/>
          <c:order val="2"/>
          <c:tx>
            <c:strRef>
              <c:f>'Roadmap Chart'!$AC$11</c:f>
              <c:strCache>
                <c:ptCount val="1"/>
                <c:pt idx="0">
                  <c:v>Phase 2</c:v>
                </c:pt>
              </c:strCache>
            </c:strRef>
          </c:tx>
          <c:spPr>
            <a:solidFill>
              <a:srgbClr val="FFC00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0.125</c:v>
                </c:pt>
                <c:pt idx="1">
                  <c:v>0</c:v>
                </c:pt>
                <c:pt idx="2">
                  <c:v>2.625</c:v>
                </c:pt>
                <c:pt idx="3">
                  <c:v>2.25</c:v>
                </c:pt>
                <c:pt idx="4">
                  <c:v>1.5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1EBF-F947-B030-12B850E0F29C}"/>
            </c:ext>
          </c:extLst>
        </c:ser>
        <c:ser>
          <c:idx val="3"/>
          <c:order val="3"/>
          <c:tx>
            <c:strRef>
              <c:f>'Roadmap Chart'!$AB$11</c:f>
              <c:strCache>
                <c:ptCount val="1"/>
                <c:pt idx="0">
                  <c:v>Phase 3</c:v>
                </c:pt>
              </c:strCache>
            </c:strRef>
          </c:tx>
          <c:spPr>
            <a:solidFill>
              <a:srgbClr val="00B0F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0.125</c:v>
                </c:pt>
                <c:pt idx="1">
                  <c:v>0</c:v>
                </c:pt>
                <c:pt idx="2">
                  <c:v>2.625</c:v>
                </c:pt>
                <c:pt idx="3">
                  <c:v>2.25</c:v>
                </c:pt>
                <c:pt idx="4">
                  <c:v>1.5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1EBF-F947-B030-12B850E0F29C}"/>
            </c:ext>
          </c:extLst>
        </c:ser>
        <c:ser>
          <c:idx val="4"/>
          <c:order val="4"/>
          <c:tx>
            <c:strRef>
              <c:f>'Roadmap Chart'!$AA$11</c:f>
              <c:strCache>
                <c:ptCount val="1"/>
                <c:pt idx="0">
                  <c:v>Phase 4</c:v>
                </c:pt>
              </c:strCache>
            </c:strRef>
          </c:tx>
          <c:spPr>
            <a:solidFill>
              <a:srgbClr val="9BBB59"/>
            </a:solidFill>
            <a:ln>
              <a:solidFill>
                <a:srgbClr val="9BBB59"/>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0.125</c:v>
                </c:pt>
                <c:pt idx="1">
                  <c:v>0</c:v>
                </c:pt>
                <c:pt idx="2">
                  <c:v>2.625</c:v>
                </c:pt>
                <c:pt idx="3">
                  <c:v>2.25</c:v>
                </c:pt>
                <c:pt idx="4">
                  <c:v>1.5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1EBF-F947-B030-12B850E0F29C}"/>
            </c:ext>
          </c:extLst>
        </c:ser>
        <c:dLbls>
          <c:showLegendKey val="0"/>
          <c:showVal val="0"/>
          <c:showCatName val="0"/>
          <c:showSerName val="0"/>
          <c:showPercent val="0"/>
          <c:showBubbleSize val="0"/>
        </c:dLbls>
        <c:axId val="82537005"/>
        <c:axId val="30437190"/>
      </c:radarChart>
      <c:catAx>
        <c:axId val="82537005"/>
        <c:scaling>
          <c:orientation val="maxMin"/>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1" strike="noStrike" spc="-1">
                <a:solidFill>
                  <a:srgbClr val="000000"/>
                </a:solidFill>
                <a:latin typeface="Calibri"/>
              </a:defRPr>
            </a:pPr>
            <a:endParaRPr lang="en-SE"/>
          </a:p>
        </c:txPr>
        <c:crossAx val="30437190"/>
        <c:crosses val="autoZero"/>
        <c:auto val="1"/>
        <c:lblAlgn val="ctr"/>
        <c:lblOffset val="100"/>
        <c:noMultiLvlLbl val="1"/>
      </c:catAx>
      <c:valAx>
        <c:axId val="30437190"/>
        <c:scaling>
          <c:orientation val="minMax"/>
        </c:scaling>
        <c:delete val="0"/>
        <c:axPos val="l"/>
        <c:majorGridlines>
          <c:spPr>
            <a:ln w="9360">
              <a:solidFill>
                <a:srgbClr val="878787"/>
              </a:solidFill>
              <a:round/>
            </a:ln>
          </c:spPr>
        </c:majorGridlines>
        <c:numFmt formatCode="0.00" sourceLinked="0"/>
        <c:majorTickMark val="cross"/>
        <c:minorTickMark val="none"/>
        <c:tickLblPos val="nextTo"/>
        <c:spPr>
          <a:ln w="9360">
            <a:solidFill>
              <a:srgbClr val="878787"/>
            </a:solidFill>
            <a:round/>
          </a:ln>
        </c:spPr>
        <c:txPr>
          <a:bodyPr/>
          <a:lstStyle/>
          <a:p>
            <a:pPr>
              <a:defRPr sz="1100" b="0" strike="noStrike" spc="-1">
                <a:solidFill>
                  <a:srgbClr val="000000"/>
                </a:solidFill>
                <a:latin typeface="Cambria"/>
              </a:defRPr>
            </a:pPr>
            <a:endParaRPr lang="en-SE"/>
          </a:p>
        </c:txPr>
        <c:crossAx val="82537005"/>
        <c:crosses val="autoZero"/>
        <c:crossBetween val="between"/>
        <c:majorUnit val="1"/>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SE"/>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 Score</a:t>
            </a:r>
          </a:p>
        </c:rich>
      </c:tx>
      <c:layout>
        <c:manualLayout>
          <c:xMode val="edge"/>
          <c:yMode val="edge"/>
          <c:x val="0.76735957540911104"/>
          <c:y val="0.91067244195128905"/>
        </c:manualLayout>
      </c:layout>
      <c:overlay val="0"/>
      <c:spPr>
        <a:noFill/>
        <a:ln>
          <a:noFill/>
        </a:ln>
      </c:spPr>
    </c:title>
    <c:autoTitleDeleted val="0"/>
    <c:plotArea>
      <c:layout/>
      <c:radarChart>
        <c:radarStyle val="filled"/>
        <c:varyColors val="0"/>
        <c:ser>
          <c:idx val="0"/>
          <c:order val="0"/>
          <c:tx>
            <c:strRef>
              <c:f>Scorecard!$Z$53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44E-3641-8F10-FFC6D61FFFE3}"/>
            </c:ext>
          </c:extLst>
        </c:ser>
        <c:ser>
          <c:idx val="1"/>
          <c:order val="1"/>
          <c:tx>
            <c:strRef>
              <c:f>Scorecard!$Y$53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44E-3641-8F10-FFC6D61FFFE3}"/>
            </c:ext>
          </c:extLst>
        </c:ser>
        <c:ser>
          <c:idx val="2"/>
          <c:order val="2"/>
          <c:tx>
            <c:strRef>
              <c:f>Scorecard!$X$53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44E-3641-8F10-FFC6D61FFFE3}"/>
            </c:ext>
          </c:extLst>
        </c:ser>
        <c:ser>
          <c:idx val="3"/>
          <c:order val="3"/>
          <c:tx>
            <c:strRef>
              <c:f>Scorecard!$W$53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2.25</c:v>
                </c:pt>
                <c:pt idx="4">
                  <c:v>1.5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44E-3641-8F10-FFC6D61FFFE3}"/>
            </c:ext>
          </c:extLst>
        </c:ser>
        <c:ser>
          <c:idx val="4"/>
          <c:order val="4"/>
          <c:tx>
            <c:strRef>
              <c:f>Scorecard!$V$53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0.125</c:v>
                </c:pt>
                <c:pt idx="1">
                  <c:v>0</c:v>
                </c:pt>
                <c:pt idx="2">
                  <c:v>2.625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444E-3641-8F10-FFC6D61FFFE3}"/>
            </c:ext>
          </c:extLst>
        </c:ser>
        <c:dLbls>
          <c:showLegendKey val="0"/>
          <c:showVal val="0"/>
          <c:showCatName val="0"/>
          <c:showSerName val="0"/>
          <c:showPercent val="0"/>
          <c:showBubbleSize val="0"/>
        </c:dLbls>
        <c:axId val="61654884"/>
        <c:axId val="19816545"/>
      </c:radarChart>
      <c:catAx>
        <c:axId val="61654884"/>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19816545"/>
        <c:crosses val="autoZero"/>
        <c:auto val="1"/>
        <c:lblAlgn val="ctr"/>
        <c:lblOffset val="100"/>
        <c:noMultiLvlLbl val="1"/>
      </c:catAx>
      <c:valAx>
        <c:axId val="19816545"/>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61654884"/>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08174904943001"/>
          <c:w val="0.92058111380145302"/>
          <c:h val="0.64757604562737703"/>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Chart'!$B$18:$J$18</c:f>
              <c:numCache>
                <c:formatCode>0.00</c:formatCode>
                <c:ptCount val="9"/>
                <c:pt idx="0">
                  <c:v>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3A9-B74E-9EE9-2017E17E1EB3}"/>
            </c:ext>
          </c:extLst>
        </c:ser>
        <c:dLbls>
          <c:showLegendKey val="0"/>
          <c:showVal val="0"/>
          <c:showCatName val="0"/>
          <c:showSerName val="0"/>
          <c:showPercent val="0"/>
          <c:showBubbleSize val="0"/>
        </c:dLbls>
        <c:axId val="92557176"/>
        <c:axId val="45632357"/>
      </c:areaChart>
      <c:catAx>
        <c:axId val="9255717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45632357"/>
        <c:crosses val="autoZero"/>
        <c:auto val="1"/>
        <c:lblAlgn val="ctr"/>
        <c:lblOffset val="100"/>
        <c:noMultiLvlLbl val="1"/>
      </c:catAx>
      <c:valAx>
        <c:axId val="45632357"/>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255717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1908723556001"/>
          <c:w val="0.92053539129386197"/>
          <c:h val="0.647729973853102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Chart'!$B$19:$J$19</c:f>
              <c:numCache>
                <c:formatCode>0.00</c:formatCode>
                <c:ptCount val="9"/>
                <c:pt idx="0">
                  <c:v>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7B-4347-8253-11E36EE61909}"/>
            </c:ext>
          </c:extLst>
        </c:ser>
        <c:dLbls>
          <c:showLegendKey val="0"/>
          <c:showVal val="0"/>
          <c:showCatName val="0"/>
          <c:showSerName val="0"/>
          <c:showPercent val="0"/>
          <c:showBubbleSize val="0"/>
        </c:dLbls>
        <c:axId val="43170367"/>
        <c:axId val="24267711"/>
      </c:areaChart>
      <c:catAx>
        <c:axId val="4317036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24267711"/>
        <c:crosses val="autoZero"/>
        <c:auto val="1"/>
        <c:lblAlgn val="ctr"/>
        <c:lblOffset val="100"/>
        <c:noMultiLvlLbl val="1"/>
      </c:catAx>
      <c:valAx>
        <c:axId val="24267711"/>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3170367"/>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1908723556001"/>
          <c:w val="0.92053539129386197"/>
          <c:h val="0.647729973853102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Chart'!$B$20:$J$20</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99D-E349-BA26-460F1AB44F1B}"/>
            </c:ext>
          </c:extLst>
        </c:ser>
        <c:dLbls>
          <c:showLegendKey val="0"/>
          <c:showVal val="0"/>
          <c:showCatName val="0"/>
          <c:showSerName val="0"/>
          <c:showPercent val="0"/>
          <c:showBubbleSize val="0"/>
        </c:dLbls>
        <c:axId val="88912372"/>
        <c:axId val="53608305"/>
      </c:areaChart>
      <c:catAx>
        <c:axId val="8891237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53608305"/>
        <c:crosses val="autoZero"/>
        <c:auto val="1"/>
        <c:lblAlgn val="ctr"/>
        <c:lblOffset val="100"/>
        <c:noMultiLvlLbl val="1"/>
      </c:catAx>
      <c:valAx>
        <c:axId val="5360830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8891237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 Score</a:t>
            </a:r>
          </a:p>
        </c:rich>
      </c:tx>
      <c:layout>
        <c:manualLayout>
          <c:xMode val="edge"/>
          <c:yMode val="edge"/>
          <c:x val="0.76735957540911104"/>
          <c:y val="0.91067244195128905"/>
        </c:manualLayout>
      </c:layout>
      <c:overlay val="0"/>
      <c:spPr>
        <a:noFill/>
        <a:ln>
          <a:noFill/>
        </a:ln>
      </c:spPr>
    </c:title>
    <c:autoTitleDeleted val="0"/>
    <c:plotArea>
      <c:layout/>
      <c:radarChart>
        <c:radarStyle val="filled"/>
        <c:varyColors val="0"/>
        <c:ser>
          <c:idx val="0"/>
          <c:order val="0"/>
          <c:tx>
            <c:strRef>
              <c:f>Scorecard!$Z$33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062-A043-AB60-C8E05F143132}"/>
            </c:ext>
          </c:extLst>
        </c:ser>
        <c:ser>
          <c:idx val="1"/>
          <c:order val="1"/>
          <c:tx>
            <c:strRef>
              <c:f>Scorecard!$Y$33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9062-A043-AB60-C8E05F143132}"/>
            </c:ext>
          </c:extLst>
        </c:ser>
        <c:ser>
          <c:idx val="2"/>
          <c:order val="2"/>
          <c:tx>
            <c:strRef>
              <c:f>Scorecard!$X$33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9062-A043-AB60-C8E05F143132}"/>
            </c:ext>
          </c:extLst>
        </c:ser>
        <c:ser>
          <c:idx val="3"/>
          <c:order val="3"/>
          <c:tx>
            <c:strRef>
              <c:f>Scorecard!$W$33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2.25</c:v>
                </c:pt>
                <c:pt idx="4">
                  <c:v>1.5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9062-A043-AB60-C8E05F143132}"/>
            </c:ext>
          </c:extLst>
        </c:ser>
        <c:ser>
          <c:idx val="4"/>
          <c:order val="4"/>
          <c:tx>
            <c:strRef>
              <c:f>Scorecard!$V$33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0.125</c:v>
                </c:pt>
                <c:pt idx="1">
                  <c:v>0</c:v>
                </c:pt>
                <c:pt idx="2">
                  <c:v>2.625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9062-A043-AB60-C8E05F143132}"/>
            </c:ext>
          </c:extLst>
        </c:ser>
        <c:dLbls>
          <c:showLegendKey val="0"/>
          <c:showVal val="0"/>
          <c:showCatName val="0"/>
          <c:showSerName val="0"/>
          <c:showPercent val="0"/>
          <c:showBubbleSize val="0"/>
        </c:dLbls>
        <c:axId val="90351019"/>
        <c:axId val="33492125"/>
      </c:radarChart>
      <c:catAx>
        <c:axId val="90351019"/>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33492125"/>
        <c:crosses val="autoZero"/>
        <c:auto val="1"/>
        <c:lblAlgn val="ctr"/>
        <c:lblOffset val="100"/>
        <c:noMultiLvlLbl val="1"/>
      </c:catAx>
      <c:valAx>
        <c:axId val="33492125"/>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90351019"/>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IV Score</a:t>
            </a:r>
          </a:p>
        </c:rich>
      </c:tx>
      <c:layout>
        <c:manualLayout>
          <c:xMode val="edge"/>
          <c:yMode val="edge"/>
          <c:x val="0.76717002590509897"/>
          <c:y val="0.91067244195128905"/>
        </c:manualLayout>
      </c:layout>
      <c:overlay val="0"/>
      <c:spPr>
        <a:noFill/>
        <a:ln>
          <a:noFill/>
        </a:ln>
      </c:spPr>
    </c:title>
    <c:autoTitleDeleted val="0"/>
    <c:plotArea>
      <c:layout/>
      <c:radarChart>
        <c:radarStyle val="filled"/>
        <c:varyColors val="0"/>
        <c:ser>
          <c:idx val="0"/>
          <c:order val="0"/>
          <c:tx>
            <c:strRef>
              <c:f>Scorecard!$Z$93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84D-B34F-A26F-34694299B7FA}"/>
            </c:ext>
          </c:extLst>
        </c:ser>
        <c:ser>
          <c:idx val="1"/>
          <c:order val="1"/>
          <c:tx>
            <c:strRef>
              <c:f>Scorecard!$Y$93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84D-B34F-A26F-34694299B7FA}"/>
            </c:ext>
          </c:extLst>
        </c:ser>
        <c:ser>
          <c:idx val="2"/>
          <c:order val="2"/>
          <c:tx>
            <c:strRef>
              <c:f>Scorecard!$X$93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84D-B34F-A26F-34694299B7FA}"/>
            </c:ext>
          </c:extLst>
        </c:ser>
        <c:ser>
          <c:idx val="3"/>
          <c:order val="3"/>
          <c:tx>
            <c:strRef>
              <c:f>Scorecard!$W$93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2.25</c:v>
                </c:pt>
                <c:pt idx="4">
                  <c:v>1.5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784D-B34F-A26F-34694299B7FA}"/>
            </c:ext>
          </c:extLst>
        </c:ser>
        <c:ser>
          <c:idx val="4"/>
          <c:order val="4"/>
          <c:tx>
            <c:strRef>
              <c:f>Scorecard!$V$93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0.125</c:v>
                </c:pt>
                <c:pt idx="1">
                  <c:v>0</c:v>
                </c:pt>
                <c:pt idx="2">
                  <c:v>2.625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784D-B34F-A26F-34694299B7FA}"/>
            </c:ext>
          </c:extLst>
        </c:ser>
        <c:dLbls>
          <c:showLegendKey val="0"/>
          <c:showVal val="0"/>
          <c:showCatName val="0"/>
          <c:showSerName val="0"/>
          <c:showPercent val="0"/>
          <c:showBubbleSize val="0"/>
        </c:dLbls>
        <c:axId val="56000353"/>
        <c:axId val="45532405"/>
      </c:radarChart>
      <c:catAx>
        <c:axId val="56000353"/>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45532405"/>
        <c:crosses val="autoZero"/>
        <c:auto val="1"/>
        <c:lblAlgn val="ctr"/>
        <c:lblOffset val="100"/>
        <c:noMultiLvlLbl val="1"/>
      </c:catAx>
      <c:valAx>
        <c:axId val="45532405"/>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56000353"/>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III Score</a:t>
            </a:r>
          </a:p>
        </c:rich>
      </c:tx>
      <c:layout>
        <c:manualLayout>
          <c:xMode val="edge"/>
          <c:yMode val="edge"/>
          <c:x val="0.76717002590509897"/>
          <c:y val="0.91066609856554503"/>
        </c:manualLayout>
      </c:layout>
      <c:overlay val="0"/>
      <c:spPr>
        <a:noFill/>
        <a:ln>
          <a:noFill/>
        </a:ln>
      </c:spPr>
    </c:title>
    <c:autoTitleDeleted val="0"/>
    <c:plotArea>
      <c:layout/>
      <c:radarChart>
        <c:radarStyle val="filled"/>
        <c:varyColors val="0"/>
        <c:ser>
          <c:idx val="0"/>
          <c:order val="0"/>
          <c:tx>
            <c:strRef>
              <c:f>Scorecard!$Z$72</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C7F-5540-9D73-0D9E85761049}"/>
            </c:ext>
          </c:extLst>
        </c:ser>
        <c:ser>
          <c:idx val="1"/>
          <c:order val="1"/>
          <c:tx>
            <c:strRef>
              <c:f>Scorecard!$Y$72</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AC7F-5540-9D73-0D9E85761049}"/>
            </c:ext>
          </c:extLst>
        </c:ser>
        <c:ser>
          <c:idx val="2"/>
          <c:order val="2"/>
          <c:tx>
            <c:strRef>
              <c:f>Scorecard!$X$72</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AC7F-5540-9D73-0D9E85761049}"/>
            </c:ext>
          </c:extLst>
        </c:ser>
        <c:ser>
          <c:idx val="3"/>
          <c:order val="3"/>
          <c:tx>
            <c:strRef>
              <c:f>Scorecard!$W$72</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2.25</c:v>
                </c:pt>
                <c:pt idx="4">
                  <c:v>1.5</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AC7F-5540-9D73-0D9E85761049}"/>
            </c:ext>
          </c:extLst>
        </c:ser>
        <c:ser>
          <c:idx val="4"/>
          <c:order val="4"/>
          <c:tx>
            <c:strRef>
              <c:f>Scorecard!$V$72</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0.125</c:v>
                </c:pt>
                <c:pt idx="1">
                  <c:v>0</c:v>
                </c:pt>
                <c:pt idx="2">
                  <c:v>2.625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AC7F-5540-9D73-0D9E85761049}"/>
            </c:ext>
          </c:extLst>
        </c:ser>
        <c:dLbls>
          <c:showLegendKey val="0"/>
          <c:showVal val="0"/>
          <c:showCatName val="0"/>
          <c:showSerName val="0"/>
          <c:showPercent val="0"/>
          <c:showBubbleSize val="0"/>
        </c:dLbls>
        <c:axId val="95472424"/>
        <c:axId val="24517940"/>
      </c:radarChart>
      <c:catAx>
        <c:axId val="95472424"/>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24517940"/>
        <c:crosses val="autoZero"/>
        <c:auto val="1"/>
        <c:lblAlgn val="ctr"/>
        <c:lblOffset val="100"/>
        <c:noMultiLvlLbl val="1"/>
      </c:catAx>
      <c:valAx>
        <c:axId val="24517940"/>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95472424"/>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2.6184538653366601E-2"/>
          <c:y val="7.9875316578998604E-3"/>
          <c:w val="0.94931421446384001"/>
          <c:h val="0.98455094486655004"/>
        </c:manualLayout>
      </c:layout>
      <c:areaChart>
        <c:grouping val="stacked"/>
        <c:varyColors val="1"/>
        <c:ser>
          <c:idx val="0"/>
          <c:order val="0"/>
          <c:spPr>
            <a:blipFill rotWithShape="0">
              <a:blip xmlns:r="http://schemas.openxmlformats.org/officeDocument/2006/relationships" r:embed="rId1"/>
              <a:stretch>
                <a:fillRect/>
              </a:stretch>
            </a:blip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86CE-FE46-AFEC-6536D69CAF20}"/>
            </c:ext>
          </c:extLst>
        </c:ser>
        <c:dLbls>
          <c:showLegendKey val="0"/>
          <c:showVal val="0"/>
          <c:showCatName val="0"/>
          <c:showSerName val="0"/>
          <c:showPercent val="0"/>
          <c:showBubbleSize val="0"/>
        </c:dLbls>
        <c:axId val="68507136"/>
        <c:axId val="43003798"/>
      </c:areaChart>
      <c:catAx>
        <c:axId val="68507136"/>
        <c:scaling>
          <c:orientation val="minMax"/>
        </c:scaling>
        <c:delete val="0"/>
        <c:axPos val="b"/>
        <c:numFmt formatCode="General" sourceLinked="1"/>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43003798"/>
        <c:crosses val="autoZero"/>
        <c:auto val="1"/>
        <c:lblAlgn val="ctr"/>
        <c:lblOffset val="100"/>
        <c:noMultiLvlLbl val="1"/>
      </c:catAx>
      <c:valAx>
        <c:axId val="43003798"/>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68507136"/>
        <c:crosses val="autoZero"/>
        <c:crossBetween val="midCat"/>
      </c:valAx>
      <c:spPr>
        <a:solidFill>
          <a:srgbClr val="C0C0C0"/>
        </a:solidFill>
        <a:ln w="12600">
          <a:solidFill>
            <a:srgbClr val="808080"/>
          </a:solidFill>
          <a:round/>
        </a:ln>
      </c:spPr>
    </c:plotArea>
    <c:plotVisOnly val="1"/>
    <c:dispBlanksAs val="zero"/>
    <c:showDLblsOverMax val="1"/>
  </c:chart>
  <c:spPr>
    <a:no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68948803392902E-2"/>
          <c:y val="0.16012596899224801"/>
          <c:w val="0.92044834898515604"/>
          <c:h val="0.64098837209302295"/>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Chart'!$B$12:$J$12</c:f>
              <c:numCache>
                <c:formatCode>0.00</c:formatCode>
                <c:ptCount val="9"/>
                <c:pt idx="0">
                  <c:v>0</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D1C3-334F-B3FD-6A82AC74C969}"/>
            </c:ext>
          </c:extLst>
        </c:ser>
        <c:dLbls>
          <c:showLegendKey val="0"/>
          <c:showVal val="0"/>
          <c:showCatName val="0"/>
          <c:showSerName val="0"/>
          <c:showPercent val="0"/>
          <c:showBubbleSize val="0"/>
        </c:dLbls>
        <c:axId val="53439084"/>
        <c:axId val="59932137"/>
      </c:areaChart>
      <c:catAx>
        <c:axId val="5343908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59932137"/>
        <c:crosses val="autoZero"/>
        <c:auto val="1"/>
        <c:lblAlgn val="ctr"/>
        <c:lblOffset val="100"/>
        <c:noMultiLvlLbl val="1"/>
      </c:catAx>
      <c:valAx>
        <c:axId val="59932137"/>
        <c:scaling>
          <c:orientation val="minMax"/>
          <c:max val="3"/>
          <c:min val="0"/>
        </c:scaling>
        <c:delete val="0"/>
        <c:axPos val="l"/>
        <c:majorGridlines>
          <c:spPr>
            <a:ln w="3240">
              <a:solidFill>
                <a:srgbClr val="C0C0C0"/>
              </a:solidFill>
              <a:round/>
            </a:ln>
          </c:spPr>
        </c:majorGridlines>
        <c:numFmt formatCode="0.00" sourceLinked="0"/>
        <c:majorTickMark val="out"/>
        <c:minorTickMark val="in"/>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343908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79798958459498E-2"/>
          <c:y val="0.158160808858931"/>
          <c:w val="0.920552258689597"/>
          <c:h val="0.645402022147328"/>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63EF-7747-B8BA-B17EF4FEE841}"/>
            </c:ext>
          </c:extLst>
        </c:ser>
        <c:dLbls>
          <c:showLegendKey val="0"/>
          <c:showVal val="0"/>
          <c:showCatName val="0"/>
          <c:showSerName val="0"/>
          <c:showPercent val="0"/>
          <c:showBubbleSize val="0"/>
        </c:dLbls>
        <c:axId val="17597500"/>
        <c:axId val="66939686"/>
      </c:areaChart>
      <c:catAx>
        <c:axId val="1759750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66939686"/>
        <c:crosses val="autoZero"/>
        <c:auto val="1"/>
        <c:lblAlgn val="ctr"/>
        <c:lblOffset val="100"/>
        <c:noMultiLvlLbl val="1"/>
      </c:catAx>
      <c:valAx>
        <c:axId val="6693968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759750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2772757595973E-2"/>
          <c:y val="0.157156443176415"/>
          <c:w val="0.92067438898659704"/>
          <c:h val="0.64764621968616298"/>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Chart'!$B$14:$J$14</c:f>
              <c:numCache>
                <c:formatCode>0.00</c:formatCode>
                <c:ptCount val="9"/>
                <c:pt idx="0">
                  <c:v>2.625</c:v>
                </c:pt>
                <c:pt idx="1">
                  <c:v>2.625</c:v>
                </c:pt>
                <c:pt idx="2" formatCode="General">
                  <c:v>2.625</c:v>
                </c:pt>
                <c:pt idx="3">
                  <c:v>2.625</c:v>
                </c:pt>
                <c:pt idx="4" formatCode="General">
                  <c:v>2.625</c:v>
                </c:pt>
                <c:pt idx="5">
                  <c:v>2.625</c:v>
                </c:pt>
                <c:pt idx="6" formatCode="General">
                  <c:v>2.625</c:v>
                </c:pt>
                <c:pt idx="7">
                  <c:v>2.625</c:v>
                </c:pt>
                <c:pt idx="8" formatCode="General">
                  <c:v>2.625</c:v>
                </c:pt>
              </c:numCache>
            </c:numRef>
          </c:val>
          <c:extLst>
            <c:ext xmlns:c16="http://schemas.microsoft.com/office/drawing/2014/chart" uri="{C3380CC4-5D6E-409C-BE32-E72D297353CC}">
              <c16:uniqueId val="{00000000-4D2B-B84B-A97E-268FAA5CA315}"/>
            </c:ext>
          </c:extLst>
        </c:ser>
        <c:dLbls>
          <c:showLegendKey val="0"/>
          <c:showVal val="0"/>
          <c:showCatName val="0"/>
          <c:showSerName val="0"/>
          <c:showPercent val="0"/>
          <c:showBubbleSize val="0"/>
        </c:dLbls>
        <c:axId val="82084920"/>
        <c:axId val="16721478"/>
      </c:areaChart>
      <c:catAx>
        <c:axId val="8208492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16721478"/>
        <c:crosses val="autoZero"/>
        <c:auto val="1"/>
        <c:lblAlgn val="ctr"/>
        <c:lblOffset val="100"/>
        <c:noMultiLvlLbl val="1"/>
      </c:catAx>
      <c:valAx>
        <c:axId val="1672147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C0C0C0"/>
            </a:solidFill>
            <a:round/>
          </a:ln>
        </c:spPr>
        <c:txPr>
          <a:bodyPr/>
          <a:lstStyle/>
          <a:p>
            <a:pPr>
              <a:defRPr sz="800" b="0" strike="noStrike" spc="-1">
                <a:solidFill>
                  <a:srgbClr val="000000"/>
                </a:solidFill>
                <a:latin typeface="Arial"/>
                <a:ea typeface="Arial"/>
              </a:defRPr>
            </a:pPr>
            <a:endParaRPr lang="en-SE"/>
          </a:p>
        </c:txPr>
        <c:crossAx val="8208492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5" Type="http://schemas.openxmlformats.org/officeDocument/2006/relationships/image" Target="../media/image7.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6657480</xdr:colOff>
      <xdr:row>32</xdr:row>
      <xdr:rowOff>142560</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2638080"/>
          <a:ext cx="8270280" cy="4524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615960</xdr:colOff>
      <xdr:row>12</xdr:row>
      <xdr:rowOff>0</xdr:rowOff>
    </xdr:from>
    <xdr:to>
      <xdr:col>18</xdr:col>
      <xdr:colOff>22320</xdr:colOff>
      <xdr:row>27</xdr:row>
      <xdr:rowOff>291600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52</xdr:row>
      <xdr:rowOff>0</xdr:rowOff>
    </xdr:from>
    <xdr:to>
      <xdr:col>18</xdr:col>
      <xdr:colOff>34920</xdr:colOff>
      <xdr:row>67</xdr:row>
      <xdr:rowOff>316440</xdr:rowOff>
    </xdr:to>
    <xdr:graphicFrame macro="">
      <xdr:nvGraphicFramePr>
        <xdr:cNvPr id="3" name="Chart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12600</xdr:colOff>
      <xdr:row>32</xdr:row>
      <xdr:rowOff>0</xdr:rowOff>
    </xdr:from>
    <xdr:to>
      <xdr:col>18</xdr:col>
      <xdr:colOff>34920</xdr:colOff>
      <xdr:row>47</xdr:row>
      <xdr:rowOff>316440</xdr:rowOff>
    </xdr:to>
    <xdr:graphicFrame macro="">
      <xdr:nvGraphicFramePr>
        <xdr:cNvPr id="4" name="Chart 4">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12600</xdr:colOff>
      <xdr:row>92</xdr:row>
      <xdr:rowOff>0</xdr:rowOff>
    </xdr:from>
    <xdr:to>
      <xdr:col>18</xdr:col>
      <xdr:colOff>34920</xdr:colOff>
      <xdr:row>107</xdr:row>
      <xdr:rowOff>316440</xdr:rowOff>
    </xdr:to>
    <xdr:graphicFrame macro="">
      <xdr:nvGraphicFramePr>
        <xdr:cNvPr id="5" name="Chart 5">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12600</xdr:colOff>
      <xdr:row>71</xdr:row>
      <xdr:rowOff>0</xdr:rowOff>
    </xdr:from>
    <xdr:to>
      <xdr:col>18</xdr:col>
      <xdr:colOff>34920</xdr:colOff>
      <xdr:row>86</xdr:row>
      <xdr:rowOff>316440</xdr:rowOff>
    </xdr:to>
    <xdr:graphicFrame macro="">
      <xdr:nvGraphicFramePr>
        <xdr:cNvPr id="6" name="Chart 7">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152280</xdr:colOff>
      <xdr:row>11</xdr:row>
      <xdr:rowOff>9360</xdr:rowOff>
    </xdr:from>
    <xdr:to>
      <xdr:col>22</xdr:col>
      <xdr:colOff>132840</xdr:colOff>
      <xdr:row>107</xdr:row>
      <xdr:rowOff>171000</xdr:rowOff>
    </xdr:to>
    <xdr:graphicFrame macro="">
      <xdr:nvGraphicFramePr>
        <xdr:cNvPr id="6" name="Chart 6">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129</xdr:row>
      <xdr:rowOff>162360</xdr:rowOff>
    </xdr:from>
    <xdr:to>
      <xdr:col>22</xdr:col>
      <xdr:colOff>624600</xdr:colOff>
      <xdr:row>131</xdr:row>
      <xdr:rowOff>162000</xdr:rowOff>
    </xdr:to>
    <xdr:sp macro="" textlink="">
      <xdr:nvSpPr>
        <xdr:cNvPr id="7" name="CustomShape 1">
          <a:extLst>
            <a:ext uri="{FF2B5EF4-FFF2-40B4-BE49-F238E27FC236}">
              <a16:creationId xmlns:a16="http://schemas.microsoft.com/office/drawing/2014/main" id="{00000000-0008-0000-0400-000007000000}"/>
            </a:ext>
          </a:extLst>
        </xdr:cNvPr>
        <xdr:cNvSpPr/>
      </xdr:nvSpPr>
      <xdr:spPr>
        <a:xfrm>
          <a:off x="8473320" y="25765560"/>
          <a:ext cx="6671520" cy="38052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22</xdr:col>
      <xdr:colOff>9360</xdr:colOff>
      <xdr:row>7</xdr:row>
      <xdr:rowOff>25560</xdr:rowOff>
    </xdr:from>
    <xdr:to>
      <xdr:col>22</xdr:col>
      <xdr:colOff>624600</xdr:colOff>
      <xdr:row>108</xdr:row>
      <xdr:rowOff>2880</xdr:rowOff>
    </xdr:to>
    <xdr:sp macro="" textlink="">
      <xdr:nvSpPr>
        <xdr:cNvPr id="8" name="CustomShape 1">
          <a:extLst>
            <a:ext uri="{FF2B5EF4-FFF2-40B4-BE49-F238E27FC236}">
              <a16:creationId xmlns:a16="http://schemas.microsoft.com/office/drawing/2014/main" id="{00000000-0008-0000-0400-000008000000}"/>
            </a:ext>
          </a:extLst>
        </xdr:cNvPr>
        <xdr:cNvSpPr/>
      </xdr:nvSpPr>
      <xdr:spPr>
        <a:xfrm>
          <a:off x="14529600" y="2282760"/>
          <a:ext cx="615240" cy="1932264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6120</xdr:colOff>
      <xdr:row>10</xdr:row>
      <xdr:rowOff>162000</xdr:rowOff>
    </xdr:from>
    <xdr:to>
      <xdr:col>22</xdr:col>
      <xdr:colOff>154080</xdr:colOff>
      <xdr:row>18</xdr:row>
      <xdr:rowOff>114120</xdr:rowOff>
    </xdr:to>
    <xdr:graphicFrame macro="">
      <xdr:nvGraphicFramePr>
        <xdr:cNvPr id="9" name="Chart 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2880</xdr:colOff>
      <xdr:row>20</xdr:row>
      <xdr:rowOff>139680</xdr:rowOff>
    </xdr:from>
    <xdr:to>
      <xdr:col>22</xdr:col>
      <xdr:colOff>154080</xdr:colOff>
      <xdr:row>28</xdr:row>
      <xdr:rowOff>101160</xdr:rowOff>
    </xdr:to>
    <xdr:graphicFrame macro="">
      <xdr:nvGraphicFramePr>
        <xdr:cNvPr id="10" name="Chart 7">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11520</xdr:colOff>
      <xdr:row>27</xdr:row>
      <xdr:rowOff>90720</xdr:rowOff>
    </xdr:from>
    <xdr:to>
      <xdr:col>22</xdr:col>
      <xdr:colOff>153720</xdr:colOff>
      <xdr:row>35</xdr:row>
      <xdr:rowOff>71280</xdr:rowOff>
    </xdr:to>
    <xdr:graphicFrame macro="">
      <xdr:nvGraphicFramePr>
        <xdr:cNvPr id="11" name="Chart 8">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360</xdr:colOff>
      <xdr:row>34</xdr:row>
      <xdr:rowOff>152280</xdr:rowOff>
    </xdr:from>
    <xdr:to>
      <xdr:col>22</xdr:col>
      <xdr:colOff>165600</xdr:colOff>
      <xdr:row>42</xdr:row>
      <xdr:rowOff>132840</xdr:rowOff>
    </xdr:to>
    <xdr:graphicFrame macro="">
      <xdr:nvGraphicFramePr>
        <xdr:cNvPr id="12" name="Chart 9">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270720</xdr:colOff>
      <xdr:row>41</xdr:row>
      <xdr:rowOff>152280</xdr:rowOff>
    </xdr:from>
    <xdr:to>
      <xdr:col>22</xdr:col>
      <xdr:colOff>165960</xdr:colOff>
      <xdr:row>49</xdr:row>
      <xdr:rowOff>132840</xdr:rowOff>
    </xdr:to>
    <xdr:graphicFrame macro="">
      <xdr:nvGraphicFramePr>
        <xdr:cNvPr id="13" name="Chart 10">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360</xdr:colOff>
      <xdr:row>49</xdr:row>
      <xdr:rowOff>152280</xdr:rowOff>
    </xdr:from>
    <xdr:to>
      <xdr:col>22</xdr:col>
      <xdr:colOff>153720</xdr:colOff>
      <xdr:row>57</xdr:row>
      <xdr:rowOff>142560</xdr:rowOff>
    </xdr:to>
    <xdr:graphicFrame macro="">
      <xdr:nvGraphicFramePr>
        <xdr:cNvPr id="14" name="Chart 11">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81</xdr:row>
      <xdr:rowOff>142920</xdr:rowOff>
    </xdr:from>
    <xdr:to>
      <xdr:col>22</xdr:col>
      <xdr:colOff>162000</xdr:colOff>
      <xdr:row>89</xdr:row>
      <xdr:rowOff>142560</xdr:rowOff>
    </xdr:to>
    <xdr:graphicFrame macro="">
      <xdr:nvGraphicFramePr>
        <xdr:cNvPr id="15" name="Chart 12">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89</xdr:row>
      <xdr:rowOff>152280</xdr:rowOff>
    </xdr:from>
    <xdr:to>
      <xdr:col>22</xdr:col>
      <xdr:colOff>162000</xdr:colOff>
      <xdr:row>97</xdr:row>
      <xdr:rowOff>161280</xdr:rowOff>
    </xdr:to>
    <xdr:graphicFrame macro="">
      <xdr:nvGraphicFramePr>
        <xdr:cNvPr id="16" name="Chart 13">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97</xdr:row>
      <xdr:rowOff>152280</xdr:rowOff>
    </xdr:from>
    <xdr:to>
      <xdr:col>22</xdr:col>
      <xdr:colOff>162000</xdr:colOff>
      <xdr:row>105</xdr:row>
      <xdr:rowOff>161280</xdr:rowOff>
    </xdr:to>
    <xdr:graphicFrame macro="">
      <xdr:nvGraphicFramePr>
        <xdr:cNvPr id="17" name="Chart 14">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105</xdr:row>
      <xdr:rowOff>152280</xdr:rowOff>
    </xdr:from>
    <xdr:to>
      <xdr:col>22</xdr:col>
      <xdr:colOff>162000</xdr:colOff>
      <xdr:row>113</xdr:row>
      <xdr:rowOff>158400</xdr:rowOff>
    </xdr:to>
    <xdr:graphicFrame macro="">
      <xdr:nvGraphicFramePr>
        <xdr:cNvPr id="18" name="Chart 15">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113</xdr:row>
      <xdr:rowOff>142920</xdr:rowOff>
    </xdr:from>
    <xdr:to>
      <xdr:col>22</xdr:col>
      <xdr:colOff>152640</xdr:colOff>
      <xdr:row>121</xdr:row>
      <xdr:rowOff>158400</xdr:rowOff>
    </xdr:to>
    <xdr:graphicFrame macro="">
      <xdr:nvGraphicFramePr>
        <xdr:cNvPr id="19" name="Chart 16">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121</xdr:row>
      <xdr:rowOff>152280</xdr:rowOff>
    </xdr:from>
    <xdr:to>
      <xdr:col>22</xdr:col>
      <xdr:colOff>162000</xdr:colOff>
      <xdr:row>130</xdr:row>
      <xdr:rowOff>5400</xdr:rowOff>
    </xdr:to>
    <xdr:graphicFrame macro="">
      <xdr:nvGraphicFramePr>
        <xdr:cNvPr id="20" name="Chart 17">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32400</xdr:colOff>
      <xdr:row>28</xdr:row>
      <xdr:rowOff>158760</xdr:rowOff>
    </xdr:from>
    <xdr:to>
      <xdr:col>35</xdr:col>
      <xdr:colOff>317160</xdr:colOff>
      <xdr:row>64</xdr:row>
      <xdr:rowOff>50400</xdr:rowOff>
    </xdr:to>
    <xdr:graphicFrame macro="">
      <xdr:nvGraphicFramePr>
        <xdr:cNvPr id="21" name="Chart 16">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13320</xdr:colOff>
      <xdr:row>56</xdr:row>
      <xdr:rowOff>158760</xdr:rowOff>
    </xdr:from>
    <xdr:to>
      <xdr:col>22</xdr:col>
      <xdr:colOff>166680</xdr:colOff>
      <xdr:row>64</xdr:row>
      <xdr:rowOff>149040</xdr:rowOff>
    </xdr:to>
    <xdr:graphicFrame macro="">
      <xdr:nvGraphicFramePr>
        <xdr:cNvPr id="22" name="Chart 1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10440</xdr:colOff>
      <xdr:row>64</xdr:row>
      <xdr:rowOff>63360</xdr:rowOff>
    </xdr:from>
    <xdr:to>
      <xdr:col>22</xdr:col>
      <xdr:colOff>187560</xdr:colOff>
      <xdr:row>72</xdr:row>
      <xdr:rowOff>53640</xdr:rowOff>
    </xdr:to>
    <xdr:graphicFrame macro="">
      <xdr:nvGraphicFramePr>
        <xdr:cNvPr id="23" name="Chart 11">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10440</xdr:colOff>
      <xdr:row>71</xdr:row>
      <xdr:rowOff>10440</xdr:rowOff>
    </xdr:from>
    <xdr:to>
      <xdr:col>22</xdr:col>
      <xdr:colOff>187560</xdr:colOff>
      <xdr:row>78</xdr:row>
      <xdr:rowOff>191160</xdr:rowOff>
    </xdr:to>
    <xdr:graphicFrame macro="">
      <xdr:nvGraphicFramePr>
        <xdr:cNvPr id="24" name="Chart 11">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428400</xdr:colOff>
      <xdr:row>14</xdr:row>
      <xdr:rowOff>123480</xdr:rowOff>
    </xdr:to>
    <xdr:pic>
      <xdr:nvPicPr>
        <xdr:cNvPr id="25" name="Picture 1">
          <a:extLst>
            <a:ext uri="{FF2B5EF4-FFF2-40B4-BE49-F238E27FC236}">
              <a16:creationId xmlns:a16="http://schemas.microsoft.com/office/drawing/2014/main" id="{00000000-0008-0000-0800-000019000000}"/>
            </a:ext>
          </a:extLst>
        </xdr:cNvPr>
        <xdr:cNvPicPr/>
      </xdr:nvPicPr>
      <xdr:blipFill>
        <a:blip xmlns:r="http://schemas.openxmlformats.org/officeDocument/2006/relationships" r:embed="rId1"/>
        <a:stretch/>
      </xdr:blipFill>
      <xdr:spPr>
        <a:xfrm>
          <a:off x="0" y="514080"/>
          <a:ext cx="13068360" cy="2066760"/>
        </a:xfrm>
        <a:prstGeom prst="rect">
          <a:avLst/>
        </a:prstGeom>
        <a:ln>
          <a:noFill/>
        </a:ln>
      </xdr:spPr>
    </xdr:pic>
    <xdr:clientData/>
  </xdr:twoCellAnchor>
  <xdr:twoCellAnchor editAs="oneCell">
    <xdr:from>
      <xdr:col>0</xdr:col>
      <xdr:colOff>0</xdr:colOff>
      <xdr:row>16</xdr:row>
      <xdr:rowOff>0</xdr:rowOff>
    </xdr:from>
    <xdr:to>
      <xdr:col>2</xdr:col>
      <xdr:colOff>428400</xdr:colOff>
      <xdr:row>28</xdr:row>
      <xdr:rowOff>123480</xdr:rowOff>
    </xdr:to>
    <xdr:pic>
      <xdr:nvPicPr>
        <xdr:cNvPr id="26" name="Picture 2">
          <a:extLst>
            <a:ext uri="{FF2B5EF4-FFF2-40B4-BE49-F238E27FC236}">
              <a16:creationId xmlns:a16="http://schemas.microsoft.com/office/drawing/2014/main" id="{00000000-0008-0000-0800-00001A000000}"/>
            </a:ext>
          </a:extLst>
        </xdr:cNvPr>
        <xdr:cNvPicPr/>
      </xdr:nvPicPr>
      <xdr:blipFill>
        <a:blip xmlns:r="http://schemas.openxmlformats.org/officeDocument/2006/relationships" r:embed="rId2"/>
        <a:stretch/>
      </xdr:blipFill>
      <xdr:spPr>
        <a:xfrm>
          <a:off x="0" y="2781000"/>
          <a:ext cx="13068360" cy="2066760"/>
        </a:xfrm>
        <a:prstGeom prst="rect">
          <a:avLst/>
        </a:prstGeom>
        <a:ln>
          <a:noFill/>
        </a:ln>
      </xdr:spPr>
    </xdr:pic>
    <xdr:clientData/>
  </xdr:twoCellAnchor>
  <xdr:twoCellAnchor editAs="oneCell">
    <xdr:from>
      <xdr:col>0</xdr:col>
      <xdr:colOff>0</xdr:colOff>
      <xdr:row>30</xdr:row>
      <xdr:rowOff>0</xdr:rowOff>
    </xdr:from>
    <xdr:to>
      <xdr:col>2</xdr:col>
      <xdr:colOff>428400</xdr:colOff>
      <xdr:row>42</xdr:row>
      <xdr:rowOff>123480</xdr:rowOff>
    </xdr:to>
    <xdr:pic>
      <xdr:nvPicPr>
        <xdr:cNvPr id="27" name="Picture 3">
          <a:extLst>
            <a:ext uri="{FF2B5EF4-FFF2-40B4-BE49-F238E27FC236}">
              <a16:creationId xmlns:a16="http://schemas.microsoft.com/office/drawing/2014/main" id="{00000000-0008-0000-0800-00001B000000}"/>
            </a:ext>
          </a:extLst>
        </xdr:cNvPr>
        <xdr:cNvPicPr/>
      </xdr:nvPicPr>
      <xdr:blipFill>
        <a:blip xmlns:r="http://schemas.openxmlformats.org/officeDocument/2006/relationships" r:embed="rId3"/>
        <a:stretch/>
      </xdr:blipFill>
      <xdr:spPr>
        <a:xfrm>
          <a:off x="0" y="5047920"/>
          <a:ext cx="13068360" cy="2066760"/>
        </a:xfrm>
        <a:prstGeom prst="rect">
          <a:avLst/>
        </a:prstGeom>
        <a:ln>
          <a:noFill/>
        </a:ln>
      </xdr:spPr>
    </xdr:pic>
    <xdr:clientData/>
  </xdr:twoCellAnchor>
  <xdr:twoCellAnchor editAs="oneCell">
    <xdr:from>
      <xdr:col>0</xdr:col>
      <xdr:colOff>0</xdr:colOff>
      <xdr:row>44</xdr:row>
      <xdr:rowOff>0</xdr:rowOff>
    </xdr:from>
    <xdr:to>
      <xdr:col>2</xdr:col>
      <xdr:colOff>428400</xdr:colOff>
      <xdr:row>56</xdr:row>
      <xdr:rowOff>123480</xdr:rowOff>
    </xdr:to>
    <xdr:pic>
      <xdr:nvPicPr>
        <xdr:cNvPr id="28" name="Picture 4">
          <a:extLst>
            <a:ext uri="{FF2B5EF4-FFF2-40B4-BE49-F238E27FC236}">
              <a16:creationId xmlns:a16="http://schemas.microsoft.com/office/drawing/2014/main" id="{00000000-0008-0000-0800-00001C000000}"/>
            </a:ext>
          </a:extLst>
        </xdr:cNvPr>
        <xdr:cNvPicPr/>
      </xdr:nvPicPr>
      <xdr:blipFill>
        <a:blip xmlns:r="http://schemas.openxmlformats.org/officeDocument/2006/relationships" r:embed="rId4"/>
        <a:stretch/>
      </xdr:blipFill>
      <xdr:spPr>
        <a:xfrm>
          <a:off x="0" y="7315200"/>
          <a:ext cx="13068360" cy="2066400"/>
        </a:xfrm>
        <a:prstGeom prst="rect">
          <a:avLst/>
        </a:prstGeom>
        <a:ln>
          <a:noFill/>
        </a:ln>
      </xdr:spPr>
    </xdr:pic>
    <xdr:clientData/>
  </xdr:twoCellAnchor>
  <xdr:twoCellAnchor editAs="oneCell">
    <xdr:from>
      <xdr:col>0</xdr:col>
      <xdr:colOff>0</xdr:colOff>
      <xdr:row>58</xdr:row>
      <xdr:rowOff>0</xdr:rowOff>
    </xdr:from>
    <xdr:to>
      <xdr:col>2</xdr:col>
      <xdr:colOff>428400</xdr:colOff>
      <xdr:row>70</xdr:row>
      <xdr:rowOff>123480</xdr:rowOff>
    </xdr:to>
    <xdr:pic>
      <xdr:nvPicPr>
        <xdr:cNvPr id="29" name="Picture 5">
          <a:extLst>
            <a:ext uri="{FF2B5EF4-FFF2-40B4-BE49-F238E27FC236}">
              <a16:creationId xmlns:a16="http://schemas.microsoft.com/office/drawing/2014/main" id="{00000000-0008-0000-0800-00001D000000}"/>
            </a:ext>
          </a:extLst>
        </xdr:cNvPr>
        <xdr:cNvPicPr/>
      </xdr:nvPicPr>
      <xdr:blipFill>
        <a:blip xmlns:r="http://schemas.openxmlformats.org/officeDocument/2006/relationships" r:embed="rId5"/>
        <a:stretch/>
      </xdr:blipFill>
      <xdr:spPr>
        <a:xfrm>
          <a:off x="0" y="9582120"/>
          <a:ext cx="13068360" cy="2066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2"/>
  <sheetViews>
    <sheetView zoomScale="90" zoomScaleNormal="90" workbookViewId="0">
      <selection activeCell="C16" sqref="C16"/>
    </sheetView>
  </sheetViews>
  <sheetFormatPr baseColWidth="10" defaultColWidth="8.83203125" defaultRowHeight="13"/>
  <cols>
    <col min="1" max="1" width="22.83203125" style="1" customWidth="1"/>
    <col min="2" max="2" width="100.5" style="1" customWidth="1"/>
    <col min="3" max="1025" width="8.83203125" style="1" customWidth="1"/>
  </cols>
  <sheetData>
    <row r="1" spans="1:2" s="3" customFormat="1" ht="25">
      <c r="A1" s="2" t="s">
        <v>0</v>
      </c>
      <c r="B1" s="2"/>
    </row>
    <row r="2" spans="1:2">
      <c r="A2" s="4"/>
      <c r="B2" s="4"/>
    </row>
    <row r="3" spans="1:2">
      <c r="A3" s="4" t="s">
        <v>1</v>
      </c>
      <c r="B3" s="4" t="s">
        <v>2</v>
      </c>
    </row>
    <row r="4" spans="1:2">
      <c r="A4" s="4"/>
      <c r="B4" s="4"/>
    </row>
    <row r="5" spans="1:2" ht="42">
      <c r="A5" s="4" t="s">
        <v>3</v>
      </c>
      <c r="B5" s="5" t="s">
        <v>4</v>
      </c>
    </row>
    <row r="7" spans="1:2">
      <c r="A7" s="4" t="s">
        <v>5</v>
      </c>
      <c r="B7" s="4" t="s">
        <v>6</v>
      </c>
    </row>
    <row r="8" spans="1:2" ht="42">
      <c r="A8" s="4"/>
      <c r="B8" s="5" t="s">
        <v>7</v>
      </c>
    </row>
    <row r="35" spans="1:2">
      <c r="A35" s="4" t="s">
        <v>8</v>
      </c>
      <c r="B35" s="4" t="s">
        <v>9</v>
      </c>
    </row>
    <row r="36" spans="1:2">
      <c r="A36" s="4" t="s">
        <v>10</v>
      </c>
      <c r="B36" s="4" t="s">
        <v>11</v>
      </c>
    </row>
    <row r="37" spans="1:2">
      <c r="A37" s="4" t="s">
        <v>12</v>
      </c>
      <c r="B37" s="4" t="s">
        <v>13</v>
      </c>
    </row>
    <row r="39" spans="1:2">
      <c r="A39" s="4" t="s">
        <v>8</v>
      </c>
      <c r="B39" s="4" t="s">
        <v>14</v>
      </c>
    </row>
    <row r="40" spans="1:2">
      <c r="A40" s="4" t="s">
        <v>10</v>
      </c>
      <c r="B40" s="4" t="s">
        <v>15</v>
      </c>
    </row>
    <row r="41" spans="1:2">
      <c r="A41" s="4"/>
      <c r="B41" s="4"/>
    </row>
    <row r="42" spans="1:2">
      <c r="A42" s="4" t="s">
        <v>8</v>
      </c>
      <c r="B42" s="4" t="s">
        <v>16</v>
      </c>
    </row>
    <row r="43" spans="1:2">
      <c r="A43" s="4" t="s">
        <v>17</v>
      </c>
      <c r="B43" s="4" t="s">
        <v>18</v>
      </c>
    </row>
    <row r="44" spans="1:2">
      <c r="A44" s="4" t="s">
        <v>12</v>
      </c>
      <c r="B44" s="4" t="s">
        <v>19</v>
      </c>
    </row>
    <row r="45" spans="1:2">
      <c r="A45" s="4"/>
      <c r="B45" s="4"/>
    </row>
    <row r="46" spans="1:2">
      <c r="A46" s="4" t="s">
        <v>8</v>
      </c>
      <c r="B46" s="4" t="s">
        <v>20</v>
      </c>
    </row>
    <row r="47" spans="1:2">
      <c r="A47" s="4" t="s">
        <v>21</v>
      </c>
      <c r="B47" s="4" t="s">
        <v>22</v>
      </c>
    </row>
    <row r="48" spans="1:2">
      <c r="A48" s="4" t="s">
        <v>12</v>
      </c>
      <c r="B48" s="4"/>
    </row>
    <row r="49" spans="1:3">
      <c r="A49" s="4"/>
      <c r="B49" s="4"/>
    </row>
    <row r="50" spans="1:3" ht="28">
      <c r="A50" s="6" t="s">
        <v>23</v>
      </c>
      <c r="B50" s="7" t="s">
        <v>24</v>
      </c>
      <c r="C50" s="8"/>
    </row>
    <row r="51" spans="1:3">
      <c r="A51" s="6"/>
      <c r="B51" s="6" t="s">
        <v>25</v>
      </c>
      <c r="C51" s="8"/>
    </row>
    <row r="52" spans="1:3">
      <c r="A52" s="6"/>
      <c r="B52" s="9" t="s">
        <v>26</v>
      </c>
      <c r="C52" s="8"/>
    </row>
  </sheetData>
  <sheetProtection sheet="1" objects="1" scenarios="1"/>
  <pageMargins left="0.74791666666666701" right="0.74791666666666701" top="0.39374999999999999" bottom="0.39374999999999999"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33"/>
  <sheetViews>
    <sheetView tabSelected="1" topLeftCell="B19" zoomScale="90" zoomScaleNormal="90" workbookViewId="0">
      <selection activeCell="D15" sqref="D15"/>
    </sheetView>
  </sheetViews>
  <sheetFormatPr baseColWidth="10" defaultColWidth="8.83203125" defaultRowHeight="14"/>
  <cols>
    <col min="1" max="1" width="10.33203125" style="10" hidden="1" customWidth="1"/>
    <col min="2" max="2" width="13.5" customWidth="1"/>
    <col min="3" max="3" width="7.33203125" style="11" customWidth="1"/>
    <col min="4" max="4" width="107.83203125" style="12" customWidth="1"/>
    <col min="5" max="5" width="5.1640625" style="13" hidden="1" customWidth="1"/>
    <col min="6" max="6" width="33.33203125" style="14" customWidth="1"/>
    <col min="7" max="7" width="8.6640625" style="10" hidden="1" customWidth="1"/>
    <col min="8" max="8" width="8.6640625" style="15" hidden="1" customWidth="1"/>
    <col min="9" max="9" width="48.6640625" customWidth="1"/>
    <col min="10" max="10" width="15" style="16" hidden="1" customWidth="1"/>
    <col min="11" max="11" width="26" customWidth="1"/>
    <col min="12" max="12" width="33.1640625" customWidth="1"/>
    <col min="13" max="13" width="35.33203125" customWidth="1"/>
    <col min="14" max="14" width="25.6640625" customWidth="1"/>
    <col min="15" max="15" width="28.6640625" customWidth="1"/>
    <col min="16" max="25" width="15" customWidth="1"/>
    <col min="26" max="1025" width="8.83203125" customWidth="1"/>
  </cols>
  <sheetData>
    <row r="1" spans="1:25" ht="18">
      <c r="B1" s="466" t="str">
        <f>CONCATENATE("SAMM Assessment Interview: ",D11," For ",D10)</f>
        <v>SAMM Assessment Interview:  For COMPANY</v>
      </c>
      <c r="C1" s="466"/>
      <c r="D1" s="466"/>
      <c r="E1" s="466"/>
      <c r="F1" s="466"/>
      <c r="G1" s="466"/>
      <c r="H1" s="466"/>
      <c r="I1" s="466"/>
      <c r="J1" s="17"/>
      <c r="K1" s="18"/>
      <c r="L1" s="18"/>
      <c r="M1" s="18"/>
      <c r="N1" s="18"/>
      <c r="O1" s="18"/>
      <c r="P1" s="18"/>
      <c r="Q1" s="18"/>
      <c r="R1" s="18"/>
      <c r="S1" s="18"/>
      <c r="T1" s="18"/>
      <c r="U1" s="18"/>
      <c r="V1" s="18"/>
      <c r="W1" s="18"/>
      <c r="X1" s="18"/>
      <c r="Y1" s="18"/>
    </row>
    <row r="2" spans="1:25">
      <c r="B2" s="18"/>
      <c r="C2" s="19"/>
      <c r="D2" s="18"/>
      <c r="E2" s="20"/>
      <c r="F2" s="21"/>
      <c r="G2" s="20"/>
      <c r="H2" s="22"/>
      <c r="I2" s="23"/>
      <c r="J2" s="17"/>
      <c r="K2" s="18"/>
      <c r="L2" s="18"/>
      <c r="M2" s="18"/>
      <c r="N2" s="18"/>
      <c r="O2" s="18"/>
      <c r="P2" s="18"/>
      <c r="Q2" s="18"/>
      <c r="R2" s="18"/>
      <c r="S2" s="18"/>
      <c r="T2" s="18"/>
      <c r="U2" s="18"/>
      <c r="V2" s="18"/>
      <c r="W2" s="18"/>
      <c r="X2" s="18"/>
      <c r="Y2" s="18"/>
    </row>
    <row r="3" spans="1:25" ht="15" customHeight="1">
      <c r="B3" s="467" t="s">
        <v>27</v>
      </c>
      <c r="C3" s="467"/>
      <c r="D3" s="467"/>
      <c r="E3" s="467"/>
      <c r="F3" s="467"/>
      <c r="G3" s="467"/>
      <c r="H3" s="467"/>
      <c r="I3" s="467"/>
      <c r="J3" s="17"/>
      <c r="K3" s="18"/>
      <c r="M3" s="18"/>
      <c r="N3" s="18"/>
      <c r="O3" s="18"/>
      <c r="P3" s="18"/>
      <c r="Q3" s="18"/>
      <c r="R3" s="18"/>
      <c r="S3" s="18"/>
      <c r="T3" s="18"/>
      <c r="U3" s="18"/>
      <c r="V3" s="18"/>
      <c r="W3" s="18"/>
      <c r="X3" s="18"/>
      <c r="Y3" s="18"/>
    </row>
    <row r="4" spans="1:25" ht="15" customHeight="1">
      <c r="B4" s="468" t="s">
        <v>28</v>
      </c>
      <c r="C4" s="468"/>
      <c r="D4" s="468"/>
      <c r="E4" s="468"/>
      <c r="F4" s="468"/>
      <c r="G4" s="468"/>
      <c r="H4" s="468"/>
      <c r="I4" s="468"/>
      <c r="J4" s="17"/>
      <c r="L4" s="24" t="s">
        <v>29</v>
      </c>
      <c r="M4" s="24" t="s">
        <v>30</v>
      </c>
      <c r="N4" s="18"/>
      <c r="O4" s="18"/>
      <c r="P4" s="18"/>
      <c r="Q4" s="18"/>
      <c r="R4" s="18"/>
      <c r="S4" s="18"/>
      <c r="T4" s="18"/>
      <c r="U4" s="18"/>
      <c r="V4" s="18"/>
      <c r="W4" s="18"/>
      <c r="X4" s="18"/>
      <c r="Y4" s="18"/>
    </row>
    <row r="5" spans="1:25" ht="15" customHeight="1">
      <c r="B5" s="469" t="s">
        <v>558</v>
      </c>
      <c r="C5" s="469"/>
      <c r="D5" s="469"/>
      <c r="E5" s="469"/>
      <c r="F5" s="469"/>
      <c r="G5" s="469"/>
      <c r="H5" s="469"/>
      <c r="I5" s="469"/>
      <c r="J5" s="17"/>
      <c r="K5" s="18"/>
      <c r="L5" s="24" t="s">
        <v>31</v>
      </c>
      <c r="M5" s="24" t="s">
        <v>32</v>
      </c>
      <c r="N5" s="18"/>
      <c r="O5" s="18"/>
      <c r="P5" s="18"/>
      <c r="Q5" s="18"/>
      <c r="R5" s="18"/>
      <c r="S5" s="18"/>
      <c r="T5" s="18"/>
      <c r="U5" s="18"/>
      <c r="V5" s="18"/>
      <c r="W5" s="18"/>
      <c r="X5" s="18"/>
      <c r="Y5" s="18"/>
    </row>
    <row r="6" spans="1:25" ht="15" customHeight="1">
      <c r="B6" s="469" t="s">
        <v>33</v>
      </c>
      <c r="C6" s="469"/>
      <c r="D6" s="469"/>
      <c r="E6" s="469"/>
      <c r="F6" s="469"/>
      <c r="G6" s="469"/>
      <c r="H6" s="469"/>
      <c r="I6" s="469"/>
      <c r="J6" s="17"/>
      <c r="K6" s="18"/>
      <c r="L6" s="24" t="s">
        <v>34</v>
      </c>
      <c r="M6" s="24" t="s">
        <v>35</v>
      </c>
      <c r="N6" s="18"/>
      <c r="O6" s="18"/>
      <c r="P6" s="18"/>
      <c r="Q6" s="18"/>
      <c r="R6" s="18"/>
      <c r="S6" s="18"/>
      <c r="T6" s="18"/>
      <c r="U6" s="18"/>
      <c r="V6" s="18"/>
      <c r="W6" s="18"/>
      <c r="X6" s="18"/>
      <c r="Y6" s="18"/>
    </row>
    <row r="7" spans="1:25" ht="15" customHeight="1">
      <c r="B7" s="469" t="s">
        <v>36</v>
      </c>
      <c r="C7" s="469"/>
      <c r="D7" s="469"/>
      <c r="E7" s="469"/>
      <c r="F7" s="469"/>
      <c r="G7" s="469"/>
      <c r="H7" s="469"/>
      <c r="I7" s="469"/>
      <c r="J7" s="17"/>
      <c r="K7" s="18"/>
      <c r="L7" s="24" t="s">
        <v>37</v>
      </c>
      <c r="M7" s="24" t="s">
        <v>38</v>
      </c>
      <c r="N7" s="18"/>
      <c r="O7" s="18"/>
      <c r="P7" s="18"/>
      <c r="Q7" s="18"/>
      <c r="R7" s="18"/>
      <c r="S7" s="18"/>
      <c r="T7" s="18"/>
      <c r="U7" s="18"/>
      <c r="V7" s="18"/>
      <c r="W7" s="18"/>
      <c r="X7" s="18"/>
      <c r="Y7" s="18"/>
    </row>
    <row r="8" spans="1:25" ht="15.75" customHeight="1">
      <c r="B8" s="470" t="s">
        <v>39</v>
      </c>
      <c r="C8" s="470"/>
      <c r="D8" s="470"/>
      <c r="E8" s="470"/>
      <c r="F8" s="470"/>
      <c r="G8" s="470"/>
      <c r="H8" s="470"/>
      <c r="I8" s="470"/>
      <c r="J8" s="17"/>
      <c r="K8" s="18"/>
      <c r="M8" s="18"/>
      <c r="N8" s="18"/>
      <c r="O8" s="18"/>
      <c r="P8" s="18"/>
      <c r="Q8" s="18"/>
      <c r="R8" s="18"/>
      <c r="S8" s="18"/>
      <c r="T8" s="18"/>
      <c r="U8" s="18"/>
      <c r="V8" s="18"/>
      <c r="W8" s="18"/>
      <c r="X8" s="18"/>
      <c r="Y8" s="18"/>
    </row>
    <row r="9" spans="1:25">
      <c r="B9" s="18"/>
      <c r="C9" s="19"/>
      <c r="D9" s="18"/>
      <c r="E9" s="20"/>
      <c r="F9" s="21"/>
      <c r="G9" s="20"/>
      <c r="H9" s="22"/>
      <c r="I9" s="23"/>
      <c r="J9" s="17"/>
      <c r="K9" s="18"/>
      <c r="L9" s="18"/>
      <c r="M9" s="18"/>
      <c r="N9" s="18"/>
      <c r="O9" s="18"/>
      <c r="P9" s="18"/>
      <c r="Q9" s="18"/>
      <c r="R9" s="18"/>
      <c r="S9" s="18"/>
      <c r="T9" s="18"/>
      <c r="U9" s="18"/>
      <c r="V9" s="18"/>
      <c r="W9" s="18"/>
      <c r="X9" s="18"/>
      <c r="Y9" s="18"/>
    </row>
    <row r="10" spans="1:25" ht="15" hidden="1" customHeight="1">
      <c r="B10" s="471" t="s">
        <v>40</v>
      </c>
      <c r="C10" s="471"/>
      <c r="D10" s="25" t="s">
        <v>559</v>
      </c>
      <c r="E10" s="20"/>
      <c r="F10" s="21"/>
      <c r="G10" s="20"/>
      <c r="H10" s="22"/>
      <c r="I10" s="23"/>
      <c r="J10" s="17"/>
      <c r="K10" s="18"/>
      <c r="L10" s="18"/>
      <c r="M10" s="18"/>
      <c r="N10" s="18"/>
      <c r="O10" s="18"/>
      <c r="P10" s="18"/>
      <c r="Q10" s="18"/>
      <c r="R10" s="18"/>
      <c r="S10" s="18"/>
      <c r="T10" s="18"/>
      <c r="U10" s="18"/>
      <c r="V10" s="18"/>
      <c r="W10" s="18"/>
      <c r="X10" s="18"/>
      <c r="Y10" s="18"/>
    </row>
    <row r="11" spans="1:25" ht="15" hidden="1" customHeight="1">
      <c r="B11" s="462" t="s">
        <v>41</v>
      </c>
      <c r="C11" s="462"/>
      <c r="D11" s="26"/>
      <c r="E11" s="20"/>
      <c r="F11" s="21"/>
      <c r="G11" s="20"/>
      <c r="H11" s="22"/>
      <c r="I11" s="23"/>
      <c r="J11" s="17"/>
      <c r="K11" s="18"/>
      <c r="L11" s="18"/>
      <c r="M11" s="18"/>
      <c r="N11" s="18"/>
      <c r="O11" s="18"/>
      <c r="P11" s="18"/>
      <c r="Q11" s="18"/>
      <c r="R11" s="18"/>
      <c r="S11" s="18"/>
      <c r="T11" s="18"/>
      <c r="U11" s="18"/>
      <c r="V11" s="18"/>
      <c r="W11" s="18"/>
      <c r="X11" s="18"/>
      <c r="Y11" s="18"/>
    </row>
    <row r="12" spans="1:25" ht="15" hidden="1" customHeight="1">
      <c r="B12" s="462" t="s">
        <v>42</v>
      </c>
      <c r="C12" s="462"/>
      <c r="D12" s="27"/>
      <c r="E12" s="28"/>
      <c r="F12" s="21"/>
      <c r="G12" s="20"/>
      <c r="H12" s="22"/>
      <c r="I12" s="23"/>
      <c r="J12" s="17"/>
      <c r="K12" s="18"/>
      <c r="L12" s="18"/>
      <c r="M12" s="18"/>
      <c r="N12" s="18"/>
      <c r="O12" s="18"/>
      <c r="P12" s="18"/>
      <c r="Q12" s="18"/>
      <c r="R12" s="18"/>
      <c r="S12" s="18"/>
      <c r="T12" s="18"/>
      <c r="U12" s="18"/>
      <c r="V12" s="18"/>
      <c r="W12" s="18"/>
      <c r="X12" s="18"/>
      <c r="Y12" s="18"/>
    </row>
    <row r="13" spans="1:25" ht="15" hidden="1" customHeight="1">
      <c r="B13" s="462" t="s">
        <v>43</v>
      </c>
      <c r="C13" s="462"/>
      <c r="D13" s="26"/>
      <c r="E13" s="20"/>
      <c r="F13" s="21"/>
      <c r="G13" s="20"/>
      <c r="H13" s="22"/>
      <c r="I13" s="23"/>
      <c r="J13" s="17"/>
      <c r="K13" s="18"/>
      <c r="L13" s="18"/>
      <c r="M13" s="18"/>
      <c r="N13" s="18"/>
      <c r="O13" s="18"/>
      <c r="P13" s="18"/>
      <c r="Q13" s="18"/>
      <c r="R13" s="18"/>
      <c r="S13" s="18"/>
      <c r="T13" s="18"/>
      <c r="U13" s="18"/>
      <c r="V13" s="18"/>
      <c r="W13" s="18"/>
      <c r="X13" s="18"/>
      <c r="Y13" s="18"/>
    </row>
    <row r="14" spans="1:25" ht="48.75" customHeight="1">
      <c r="A14" s="29"/>
      <c r="B14" s="463" t="s">
        <v>44</v>
      </c>
      <c r="C14" s="463"/>
      <c r="D14" s="30" t="s">
        <v>557</v>
      </c>
      <c r="E14" s="31"/>
      <c r="F14" s="32" t="s">
        <v>45</v>
      </c>
      <c r="G14" s="33"/>
      <c r="H14" s="34"/>
      <c r="I14" s="35">
        <v>0.58958333333333302</v>
      </c>
      <c r="J14" s="36"/>
      <c r="K14" s="37" t="s">
        <v>560</v>
      </c>
      <c r="L14" s="38" t="s">
        <v>46</v>
      </c>
      <c r="M14" s="38" t="s">
        <v>47</v>
      </c>
      <c r="N14" s="18"/>
      <c r="O14" s="18"/>
      <c r="P14" s="18"/>
      <c r="Q14" s="18"/>
      <c r="R14" s="18"/>
      <c r="S14" s="18"/>
      <c r="T14" s="18"/>
      <c r="U14" s="18"/>
      <c r="V14" s="18"/>
      <c r="W14" s="18"/>
      <c r="X14" s="18"/>
      <c r="Y14" s="18"/>
    </row>
    <row r="15" spans="1:25">
      <c r="B15" s="18"/>
      <c r="C15" s="19"/>
      <c r="D15" s="18"/>
      <c r="E15" s="20"/>
      <c r="F15" s="21"/>
      <c r="G15" s="20"/>
      <c r="H15" s="22"/>
      <c r="I15" s="23"/>
      <c r="J15" s="17"/>
      <c r="K15" s="18"/>
      <c r="L15" s="18"/>
      <c r="M15" s="18"/>
      <c r="N15" s="18"/>
      <c r="O15" s="18"/>
      <c r="P15" s="18"/>
      <c r="Q15" s="18"/>
      <c r="R15" s="18"/>
      <c r="S15" s="18"/>
      <c r="T15" s="18"/>
      <c r="U15" s="18"/>
      <c r="V15" s="18"/>
      <c r="W15" s="18"/>
      <c r="X15" s="18"/>
      <c r="Y15" s="18"/>
    </row>
    <row r="16" spans="1:25" ht="12.75" customHeight="1">
      <c r="B16" s="464" t="s">
        <v>48</v>
      </c>
      <c r="C16" s="464"/>
      <c r="D16" s="464"/>
      <c r="E16" s="464"/>
      <c r="F16" s="464"/>
      <c r="G16" s="464"/>
      <c r="H16" s="464"/>
      <c r="I16" s="464"/>
      <c r="J16" s="464"/>
      <c r="K16" s="464"/>
      <c r="L16" s="464"/>
      <c r="M16" s="464"/>
      <c r="P16" s="18"/>
      <c r="Q16" s="18"/>
      <c r="R16" s="18"/>
      <c r="S16" s="18"/>
      <c r="T16" s="18"/>
      <c r="U16" s="18"/>
      <c r="V16" s="18"/>
      <c r="W16" s="18"/>
      <c r="X16" s="18"/>
      <c r="Y16" s="18"/>
    </row>
    <row r="17" spans="1:25">
      <c r="B17" s="39" t="s">
        <v>49</v>
      </c>
      <c r="C17" s="40" t="s">
        <v>50</v>
      </c>
      <c r="D17" s="41" t="s">
        <v>51</v>
      </c>
      <c r="E17" s="42"/>
      <c r="F17" s="43" t="s">
        <v>52</v>
      </c>
      <c r="G17" s="43"/>
      <c r="H17" s="44"/>
      <c r="I17" s="45" t="s">
        <v>53</v>
      </c>
      <c r="J17" s="46" t="s">
        <v>54</v>
      </c>
      <c r="K17" s="39"/>
      <c r="L17" s="40"/>
      <c r="M17" s="41"/>
      <c r="P17" s="18"/>
      <c r="Q17" s="18"/>
      <c r="R17" s="18"/>
      <c r="S17" s="18"/>
      <c r="T17" s="18"/>
      <c r="U17" s="18"/>
      <c r="V17" s="18"/>
      <c r="W17" s="18"/>
      <c r="X17" s="18"/>
      <c r="Y17" s="18"/>
    </row>
    <row r="18" spans="1:25">
      <c r="A18" s="47" t="s">
        <v>55</v>
      </c>
      <c r="B18" s="455" t="str">
        <f>VLOOKUP(A18,'imp-questions'!A:H,4,0)</f>
        <v>Create and Promote</v>
      </c>
      <c r="C18" s="48">
        <f>VLOOKUP(A18,'imp-questions'!A:H,5,0)</f>
        <v>1</v>
      </c>
      <c r="D18" s="49" t="str">
        <f>VLOOKUP(A18,'imp-questions'!A:H,6,0)</f>
        <v>Do you understand the enterprise-wide risk appetite for your applications ?</v>
      </c>
      <c r="E18" s="50" t="str">
        <f>CHAR(65+VLOOKUP(A18,'imp-questions'!A:H,8,0))</f>
        <v>Y</v>
      </c>
      <c r="F18" s="51"/>
      <c r="G18" s="52">
        <f>IFERROR(VLOOKUP(F18,AnsYTBL,2,0),0)</f>
        <v>0</v>
      </c>
      <c r="H18" s="53">
        <f>IFERROR(AVERAGE(G18,G25),0)</f>
        <v>0</v>
      </c>
      <c r="I18" s="438"/>
      <c r="J18" s="465">
        <f>SUM(H18,H20,H22)</f>
        <v>0</v>
      </c>
      <c r="K18" s="397"/>
      <c r="L18" s="398"/>
      <c r="M18" s="399"/>
      <c r="N18" s="31"/>
      <c r="O18" s="31"/>
      <c r="P18" s="18"/>
      <c r="Q18" s="18"/>
      <c r="R18" s="18"/>
      <c r="S18" s="18"/>
      <c r="T18" s="18"/>
      <c r="U18" s="18"/>
      <c r="V18" s="18"/>
      <c r="W18" s="18"/>
      <c r="X18" s="18"/>
      <c r="Y18" s="18"/>
    </row>
    <row r="19" spans="1:25" ht="59" customHeight="1">
      <c r="B19" s="455"/>
      <c r="C19" s="54"/>
      <c r="D19" s="55" t="str">
        <f>VLOOKUP(A18,'imp-questions'!A:H,7,0)</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56"/>
      <c r="F19" s="57"/>
      <c r="G19" s="58"/>
      <c r="H19" s="59"/>
      <c r="I19" s="438"/>
      <c r="J19" s="465"/>
      <c r="K19" s="397"/>
      <c r="L19" s="398"/>
      <c r="M19" s="399"/>
      <c r="N19" s="31"/>
      <c r="O19" s="31"/>
      <c r="P19" s="18"/>
      <c r="Q19" s="18"/>
      <c r="R19" s="18"/>
      <c r="S19" s="18"/>
      <c r="T19" s="18"/>
      <c r="U19" s="18"/>
      <c r="V19" s="18"/>
      <c r="W19" s="18"/>
      <c r="X19" s="18"/>
      <c r="Y19" s="18"/>
    </row>
    <row r="20" spans="1:25">
      <c r="A20" s="47" t="s">
        <v>56</v>
      </c>
      <c r="B20" s="455"/>
      <c r="C20" s="48">
        <f>VLOOKUP(A20,'imp-questions'!A:H,5,0)</f>
        <v>2</v>
      </c>
      <c r="D20" s="49" t="str">
        <f>VLOOKUP(A20,'imp-questions'!A:H,6,0)</f>
        <v>Do you have a strategic plan for application security and use it to make decisions?</v>
      </c>
      <c r="E20" s="60" t="str">
        <f>CHAR(65+VLOOKUP(A20,'imp-questions'!A:H,8,0))</f>
        <v>V</v>
      </c>
      <c r="F20" s="61"/>
      <c r="G20" s="62">
        <f>IFERROR(VLOOKUP(F20,AnsVTBL,2,0),0)</f>
        <v>0</v>
      </c>
      <c r="H20" s="63">
        <f>IFERROR(AVERAGE(G20,G27),0)</f>
        <v>0</v>
      </c>
      <c r="I20" s="450"/>
      <c r="J20" s="64"/>
      <c r="K20" s="460"/>
      <c r="L20" s="398"/>
      <c r="M20" s="399"/>
      <c r="N20" s="31"/>
      <c r="O20" s="31"/>
      <c r="P20" s="18"/>
      <c r="Q20" s="18"/>
      <c r="R20" s="18"/>
      <c r="S20" s="18"/>
      <c r="T20" s="18"/>
      <c r="U20" s="18"/>
      <c r="V20" s="18"/>
      <c r="W20" s="18"/>
      <c r="X20" s="18"/>
      <c r="Y20" s="18"/>
    </row>
    <row r="21" spans="1:25" ht="72" customHeight="1">
      <c r="B21" s="455"/>
      <c r="C21" s="65"/>
      <c r="D21" s="55" t="str">
        <f>VLOOKUP(A20,'imp-questions'!A:H,7,0)</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56"/>
      <c r="F21" s="66"/>
      <c r="G21" s="58"/>
      <c r="H21" s="67"/>
      <c r="I21" s="450"/>
      <c r="J21" s="64"/>
      <c r="K21" s="460"/>
      <c r="L21" s="398"/>
      <c r="M21" s="399"/>
      <c r="N21" s="31"/>
      <c r="O21" s="31"/>
      <c r="P21" s="18"/>
      <c r="Q21" s="18"/>
      <c r="R21" s="18"/>
      <c r="S21" s="18"/>
      <c r="T21" s="18"/>
      <c r="U21" s="18"/>
      <c r="V21" s="18"/>
      <c r="W21" s="18"/>
      <c r="X21" s="18"/>
      <c r="Y21" s="18"/>
    </row>
    <row r="22" spans="1:25">
      <c r="A22" s="47" t="s">
        <v>57</v>
      </c>
      <c r="B22" s="455"/>
      <c r="C22" s="48">
        <f>VLOOKUP(A22,'imp-questions'!A:H,5,0)</f>
        <v>3</v>
      </c>
      <c r="D22" s="49" t="str">
        <f>VLOOKUP(A22,'imp-questions'!A:H,6,0)</f>
        <v>Do you regularly review and update the Strategic Plan for Application Security?</v>
      </c>
      <c r="E22" s="60" t="str">
        <f>CHAR(65+VLOOKUP(A22,'imp-questions'!A:H,8,0))</f>
        <v>N</v>
      </c>
      <c r="F22" s="61"/>
      <c r="G22" s="62">
        <f>IFERROR(VLOOKUP(F22,AnsNTBL,2,0),0)</f>
        <v>0</v>
      </c>
      <c r="H22" s="63">
        <f>IFERROR(AVERAGE(G22,G29),0)</f>
        <v>0</v>
      </c>
      <c r="I22" s="438"/>
      <c r="J22" s="64"/>
      <c r="K22" s="397"/>
      <c r="L22" s="398"/>
      <c r="M22" s="399"/>
      <c r="N22" s="31"/>
      <c r="O22" s="31"/>
      <c r="P22" s="18"/>
      <c r="Q22" s="18"/>
      <c r="R22" s="18"/>
      <c r="S22" s="18"/>
      <c r="T22" s="18"/>
      <c r="U22" s="18"/>
      <c r="V22" s="18"/>
      <c r="W22" s="18"/>
      <c r="X22" s="18"/>
      <c r="Y22" s="18"/>
    </row>
    <row r="23" spans="1:25" ht="60" customHeight="1">
      <c r="B23" s="455"/>
      <c r="C23" s="54"/>
      <c r="D23" s="68" t="str">
        <f>VLOOKUP(A22,'imp-questions'!A:H,7,0)</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69"/>
      <c r="F23" s="70"/>
      <c r="G23" s="71"/>
      <c r="H23" s="72"/>
      <c r="I23" s="438"/>
      <c r="J23" s="64"/>
      <c r="K23" s="397"/>
      <c r="L23" s="398"/>
      <c r="M23" s="399"/>
      <c r="N23" s="31"/>
      <c r="O23" s="31"/>
      <c r="P23" s="18"/>
      <c r="Q23" s="18"/>
      <c r="R23" s="18"/>
      <c r="S23" s="18"/>
      <c r="T23" s="18"/>
      <c r="U23" s="18"/>
      <c r="V23" s="18"/>
      <c r="W23" s="18"/>
      <c r="X23" s="18"/>
      <c r="Y23" s="18"/>
    </row>
    <row r="24" spans="1:25">
      <c r="B24" s="73"/>
      <c r="C24" s="74"/>
      <c r="D24" s="74"/>
      <c r="E24" s="74"/>
      <c r="F24" s="74"/>
      <c r="G24" s="74"/>
      <c r="H24" s="74"/>
      <c r="I24" s="74"/>
      <c r="J24" s="75"/>
      <c r="K24" s="74"/>
      <c r="L24" s="74"/>
      <c r="M24" s="76"/>
      <c r="N24" s="31"/>
      <c r="O24" s="31"/>
      <c r="P24" s="18"/>
      <c r="Q24" s="18"/>
      <c r="R24" s="18"/>
      <c r="S24" s="18"/>
      <c r="T24" s="18"/>
      <c r="U24" s="18"/>
      <c r="V24" s="18"/>
      <c r="W24" s="18"/>
      <c r="X24" s="18"/>
      <c r="Y24" s="18"/>
    </row>
    <row r="25" spans="1:25" ht="28">
      <c r="A25" s="47" t="s">
        <v>58</v>
      </c>
      <c r="B25" s="461" t="str">
        <f>VLOOKUP(A25,'imp-questions'!A:H,4,0)</f>
        <v>Measure and Improve</v>
      </c>
      <c r="C25" s="77">
        <f>VLOOKUP(A25,'imp-questions'!A:H,5,0)</f>
        <v>1</v>
      </c>
      <c r="D25" s="78" t="str">
        <f>VLOOKUP(A25,'imp-questions'!A:H,6,0)</f>
        <v>Do you use a set of metrics to measure the effectiveness and efficiency of the application security program across applications?</v>
      </c>
      <c r="E25" s="60" t="str">
        <f>CHAR(65+VLOOKUP(A25,'imp-questions'!A:H,8,0))</f>
        <v>K</v>
      </c>
      <c r="F25" s="61"/>
      <c r="G25" s="62">
        <f>IFERROR(VLOOKUP(F25,AnsKTBL,2,0),0)</f>
        <v>0</v>
      </c>
      <c r="H25" s="79"/>
      <c r="I25" s="458"/>
      <c r="J25" s="64"/>
      <c r="K25" s="459"/>
      <c r="L25" s="398"/>
      <c r="M25" s="399"/>
      <c r="N25" s="31"/>
      <c r="O25" s="31"/>
      <c r="P25" s="18"/>
      <c r="Q25" s="18"/>
      <c r="R25" s="18"/>
      <c r="S25" s="18"/>
      <c r="T25" s="18"/>
      <c r="U25" s="18"/>
      <c r="V25" s="18"/>
      <c r="W25" s="18"/>
      <c r="X25" s="18"/>
      <c r="Y25" s="18"/>
    </row>
    <row r="26" spans="1:25" ht="71" customHeight="1">
      <c r="B26" s="461"/>
      <c r="C26" s="54"/>
      <c r="D26" s="68" t="str">
        <f>VLOOKUP(A25,'imp-questions'!A:H,7,0)</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69"/>
      <c r="F26" s="66"/>
      <c r="G26" s="58"/>
      <c r="H26" s="67"/>
      <c r="I26" s="458"/>
      <c r="J26" s="64"/>
      <c r="K26" s="459"/>
      <c r="L26" s="398"/>
      <c r="M26" s="399"/>
      <c r="N26" s="31"/>
      <c r="O26" s="31"/>
      <c r="P26" s="18"/>
      <c r="Q26" s="18"/>
      <c r="R26" s="18"/>
      <c r="S26" s="18"/>
      <c r="T26" s="18"/>
      <c r="U26" s="18"/>
      <c r="V26" s="18"/>
      <c r="W26" s="18"/>
      <c r="X26" s="18"/>
      <c r="Y26" s="18"/>
    </row>
    <row r="27" spans="1:25">
      <c r="A27" s="47" t="s">
        <v>59</v>
      </c>
      <c r="B27" s="461"/>
      <c r="C27" s="48">
        <f>VLOOKUP(A27,'imp-questions'!A:H,5,0)</f>
        <v>2</v>
      </c>
      <c r="D27" s="49" t="str">
        <f>VLOOKUP(A27,'imp-questions'!A:H,6,0)</f>
        <v>Did you define Key Perfomance Indicators (KPI) from available application security metrics?</v>
      </c>
      <c r="E27" s="50" t="str">
        <f>CHAR(65+VLOOKUP(A27,'imp-questions'!A:H,8,0))</f>
        <v>B</v>
      </c>
      <c r="F27" s="61"/>
      <c r="G27" s="62">
        <f>IFERROR(VLOOKUP(F27,AnsBTBL,2,0),0)</f>
        <v>0</v>
      </c>
      <c r="H27" s="63"/>
      <c r="I27" s="438"/>
      <c r="J27" s="64"/>
      <c r="K27" s="397"/>
      <c r="L27" s="398"/>
      <c r="M27" s="399"/>
      <c r="N27" s="31"/>
      <c r="O27" s="31"/>
      <c r="P27" s="18"/>
      <c r="Q27" s="18"/>
      <c r="R27" s="18"/>
      <c r="S27" s="18"/>
      <c r="T27" s="18"/>
      <c r="U27" s="18"/>
      <c r="V27" s="18"/>
      <c r="W27" s="18"/>
      <c r="X27" s="18"/>
      <c r="Y27" s="18"/>
    </row>
    <row r="28" spans="1:25" ht="60" customHeight="1">
      <c r="B28" s="461"/>
      <c r="C28" s="65"/>
      <c r="D28" s="55" t="str">
        <f>VLOOKUP(A27,'imp-questions'!A:H,7,0)</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56"/>
      <c r="F28" s="66"/>
      <c r="G28" s="58"/>
      <c r="H28" s="67"/>
      <c r="I28" s="438"/>
      <c r="J28" s="64"/>
      <c r="K28" s="397"/>
      <c r="L28" s="398"/>
      <c r="M28" s="399"/>
      <c r="N28" s="31"/>
      <c r="O28" s="31"/>
      <c r="P28" s="18"/>
      <c r="Q28" s="18"/>
      <c r="R28" s="18"/>
      <c r="S28" s="18"/>
      <c r="T28" s="18"/>
      <c r="U28" s="18"/>
      <c r="V28" s="18"/>
      <c r="W28" s="18"/>
      <c r="X28" s="18"/>
      <c r="Y28" s="18"/>
    </row>
    <row r="29" spans="1:25">
      <c r="A29" s="47" t="s">
        <v>60</v>
      </c>
      <c r="B29" s="461"/>
      <c r="C29" s="48">
        <f>VLOOKUP(A29,'imp-questions'!A:H,5,0)</f>
        <v>3</v>
      </c>
      <c r="D29" s="49" t="str">
        <f>VLOOKUP(A29,'imp-questions'!A:H,6,0)</f>
        <v>Do you update the Application Security strategy and roadmap based on application security metrics and KPIs?</v>
      </c>
      <c r="E29" s="50" t="str">
        <f>CHAR(65+VLOOKUP(A29,'imp-questions'!A:H,8,0))</f>
        <v>N</v>
      </c>
      <c r="F29" s="61"/>
      <c r="G29" s="62">
        <f>IFERROR(VLOOKUP(F29,AnsNTBL,2,0),0)</f>
        <v>0</v>
      </c>
      <c r="H29" s="63"/>
      <c r="I29" s="438"/>
      <c r="J29" s="64"/>
      <c r="K29" s="397"/>
      <c r="L29" s="398"/>
      <c r="M29" s="399"/>
      <c r="N29" s="31"/>
      <c r="O29" s="31"/>
      <c r="P29" s="18"/>
      <c r="Q29" s="18"/>
      <c r="R29" s="18"/>
      <c r="S29" s="18"/>
      <c r="T29" s="18"/>
      <c r="U29" s="18"/>
      <c r="V29" s="18"/>
      <c r="W29" s="18"/>
      <c r="X29" s="18"/>
      <c r="Y29" s="18"/>
    </row>
    <row r="30" spans="1:25" ht="38" customHeight="1">
      <c r="B30" s="461"/>
      <c r="C30" s="54"/>
      <c r="D30" s="68" t="str">
        <f>VLOOKUP(A29,'imp-questions'!A:H,7,0)</f>
        <v>You review KPIs at least yearly for their efficiency and effectiveness
KPIs and application security metrics trigger most of the changes to the application security strategy</v>
      </c>
      <c r="E30" s="69"/>
      <c r="F30" s="70"/>
      <c r="G30" s="71"/>
      <c r="H30" s="72"/>
      <c r="I30" s="438"/>
      <c r="J30" s="64"/>
      <c r="K30" s="397"/>
      <c r="L30" s="398"/>
      <c r="M30" s="399"/>
      <c r="N30" s="31"/>
      <c r="O30" s="31"/>
      <c r="P30" s="18"/>
      <c r="Q30" s="18"/>
      <c r="R30" s="18"/>
      <c r="S30" s="18"/>
      <c r="T30" s="18"/>
      <c r="U30" s="18"/>
      <c r="V30" s="18"/>
      <c r="W30" s="18"/>
      <c r="X30" s="18"/>
      <c r="Y30" s="18"/>
    </row>
    <row r="31" spans="1:25" ht="12.75" customHeight="1">
      <c r="B31" s="451" t="s">
        <v>61</v>
      </c>
      <c r="C31" s="451"/>
      <c r="D31" s="451"/>
      <c r="E31" s="80"/>
      <c r="F31" s="81" t="s">
        <v>52</v>
      </c>
      <c r="G31" s="81"/>
      <c r="H31" s="82"/>
      <c r="I31" s="83" t="s">
        <v>53</v>
      </c>
      <c r="J31" s="84" t="s">
        <v>54</v>
      </c>
      <c r="K31" s="85"/>
      <c r="L31" s="86"/>
      <c r="M31" s="87"/>
      <c r="N31" s="31"/>
      <c r="O31" s="31"/>
      <c r="P31" s="18"/>
      <c r="Q31" s="18"/>
      <c r="R31" s="18"/>
      <c r="S31" s="18"/>
      <c r="T31" s="18"/>
      <c r="U31" s="18"/>
      <c r="V31" s="18"/>
      <c r="W31" s="18"/>
      <c r="X31" s="18"/>
      <c r="Y31" s="18"/>
    </row>
    <row r="32" spans="1:25">
      <c r="A32" s="47" t="s">
        <v>62</v>
      </c>
      <c r="B32" s="452" t="str">
        <f>VLOOKUP(A32,'imp-questions'!A:H,4,0)</f>
        <v>Policy &amp; Standards</v>
      </c>
      <c r="C32" s="77">
        <f>VLOOKUP(A32,'imp-questions'!A:H,5,0)</f>
        <v>1</v>
      </c>
      <c r="D32" s="78" t="str">
        <f>VLOOKUP(A32,'imp-questions'!A:H,6,0)</f>
        <v>Do you have and apply a common set of policies and standards throughout your organization?</v>
      </c>
      <c r="E32" s="60" t="str">
        <f>CHAR(65+VLOOKUP(A32,'imp-questions'!A:H,8,0))</f>
        <v>F</v>
      </c>
      <c r="F32" s="61"/>
      <c r="G32" s="62">
        <f>IFERROR(VLOOKUP(F32,AnsFTBL,2,0),0)</f>
        <v>0</v>
      </c>
      <c r="H32" s="79">
        <f>IFERROR(AVERAGE(G32,G39),0)</f>
        <v>0</v>
      </c>
      <c r="I32" s="458"/>
      <c r="J32" s="453">
        <f>SUM(H32,H34,H36)</f>
        <v>0</v>
      </c>
      <c r="K32" s="459"/>
      <c r="L32" s="398"/>
      <c r="M32" s="399"/>
      <c r="N32" s="31"/>
      <c r="O32" s="31"/>
      <c r="P32" s="18"/>
      <c r="Q32" s="18"/>
      <c r="R32" s="18"/>
      <c r="S32" s="18"/>
      <c r="T32" s="18"/>
      <c r="U32" s="18"/>
      <c r="V32" s="18"/>
      <c r="W32" s="18"/>
      <c r="X32" s="18"/>
      <c r="Y32" s="18"/>
    </row>
    <row r="33" spans="1:25" ht="36" customHeight="1">
      <c r="B33" s="452"/>
      <c r="C33" s="54"/>
      <c r="D33" s="68" t="str">
        <f>VLOOKUP(A32,'imp-questions'!A:H,7,0)</f>
        <v>You have adapted existing standards appropriate for the organization’s industry to account for domain-specific considerations
Your standards are aligned with your policies and incorporate technology-specific implementation guidance</v>
      </c>
      <c r="E33" s="69"/>
      <c r="F33" s="66"/>
      <c r="G33" s="58"/>
      <c r="H33" s="59"/>
      <c r="I33" s="458"/>
      <c r="J33" s="453"/>
      <c r="K33" s="459"/>
      <c r="L33" s="398"/>
      <c r="M33" s="399"/>
      <c r="N33" s="31"/>
      <c r="O33" s="31"/>
      <c r="P33" s="18"/>
      <c r="Q33" s="18"/>
      <c r="R33" s="18"/>
      <c r="S33" s="18"/>
      <c r="T33" s="18"/>
      <c r="U33" s="18"/>
      <c r="V33" s="18"/>
      <c r="W33" s="18"/>
      <c r="X33" s="18"/>
      <c r="Y33" s="18"/>
    </row>
    <row r="34" spans="1:25">
      <c r="A34" s="47" t="s">
        <v>63</v>
      </c>
      <c r="B34" s="452"/>
      <c r="C34" s="48">
        <f>VLOOKUP(A34,'imp-questions'!A:H,5,0)</f>
        <v>2</v>
      </c>
      <c r="D34" s="49" t="str">
        <f>VLOOKUP(A34,'imp-questions'!A:H,6,0)</f>
        <v>Do you publish the organization's policies as test scripts or run-books for easy interpretation by development teams?</v>
      </c>
      <c r="E34" s="50" t="str">
        <f>CHAR(65+VLOOKUP(A34,'imp-questions'!A:H,8,0))</f>
        <v>A</v>
      </c>
      <c r="F34" s="51"/>
      <c r="G34" s="62">
        <f>IFERROR(VLOOKUP(F34,AnsATBL,2,0),0)</f>
        <v>0</v>
      </c>
      <c r="H34" s="63">
        <f>IFERROR(AVERAGE(G34,G41),0)</f>
        <v>0</v>
      </c>
      <c r="I34" s="450"/>
      <c r="J34" s="64"/>
      <c r="K34" s="460"/>
      <c r="L34" s="398"/>
      <c r="M34" s="399"/>
      <c r="N34" s="31"/>
      <c r="O34" s="31"/>
      <c r="P34" s="18"/>
      <c r="Q34" s="18"/>
      <c r="R34" s="18"/>
      <c r="S34" s="18"/>
      <c r="T34" s="18"/>
      <c r="U34" s="18"/>
      <c r="V34" s="18"/>
      <c r="W34" s="18"/>
      <c r="X34" s="18"/>
      <c r="Y34" s="18"/>
    </row>
    <row r="35" spans="1:25" ht="43" customHeight="1">
      <c r="B35" s="452"/>
      <c r="C35" s="54"/>
      <c r="D35" s="68" t="str">
        <f>VLOOKUP(A34,'imp-questions'!A:H,7,0)</f>
        <v>You create verification checklists and test scripts where applicable, aligned with the policy's requirements and the implementation guidance in the associated standards
You create versions adapted to each development methodology and technology the organization uses</v>
      </c>
      <c r="E35" s="69"/>
      <c r="F35" s="66"/>
      <c r="G35" s="58"/>
      <c r="H35" s="67"/>
      <c r="I35" s="450"/>
      <c r="J35" s="64"/>
      <c r="K35" s="460"/>
      <c r="L35" s="398"/>
      <c r="M35" s="399"/>
      <c r="N35" s="31"/>
      <c r="O35" s="31"/>
      <c r="P35" s="18"/>
      <c r="Q35" s="18"/>
      <c r="R35" s="18"/>
      <c r="S35" s="18"/>
      <c r="T35" s="18"/>
      <c r="U35" s="18"/>
      <c r="V35" s="18"/>
      <c r="W35" s="18"/>
      <c r="X35" s="18"/>
      <c r="Y35" s="18"/>
    </row>
    <row r="36" spans="1:25" ht="28">
      <c r="A36" s="47" t="s">
        <v>64</v>
      </c>
      <c r="B36" s="452"/>
      <c r="C36" s="48">
        <f>VLOOKUP(A36,'imp-questions'!A:H,5,0)</f>
        <v>3</v>
      </c>
      <c r="D36" s="49" t="str">
        <f>VLOOKUP(A36,'imp-questions'!A:H,6,0)</f>
        <v>Do you regularly report on policy and standard compliance, and use that information to guide compliance improvement efforts?</v>
      </c>
      <c r="E36" s="50" t="str">
        <f>CHAR(65+VLOOKUP(A36,'imp-questions'!A:H,8,0))</f>
        <v>E</v>
      </c>
      <c r="F36" s="51"/>
      <c r="G36" s="62">
        <f>IFERROR(VLOOKUP(F36,AnsETBL,2,0),0)</f>
        <v>0</v>
      </c>
      <c r="H36" s="63">
        <f>IFERROR(AVERAGE(G36,G43),0)</f>
        <v>0</v>
      </c>
      <c r="I36" s="450"/>
      <c r="J36" s="64"/>
      <c r="K36" s="460"/>
      <c r="L36" s="398"/>
      <c r="M36" s="399"/>
      <c r="N36" s="31"/>
      <c r="O36" s="31"/>
      <c r="P36" s="18"/>
      <c r="Q36" s="18"/>
      <c r="R36" s="18"/>
      <c r="S36" s="18"/>
      <c r="T36" s="18"/>
      <c r="U36" s="18"/>
      <c r="V36" s="18"/>
      <c r="W36" s="18"/>
      <c r="X36" s="18"/>
      <c r="Y36" s="18"/>
    </row>
    <row r="37" spans="1:25" ht="47" customHeight="1">
      <c r="B37" s="452"/>
      <c r="C37" s="54"/>
      <c r="D37" s="68" t="str">
        <f>VLOOKUP(A36,'imp-questions'!A:H,7,0)</f>
        <v>You have procedures (automated, if possible) to regularly generate compliance reports
You deliver compliance reports to all relevant stakeholders
Stakeholders use the reported compliance status information to identify areas for improvement</v>
      </c>
      <c r="E37" s="69"/>
      <c r="F37" s="66"/>
      <c r="G37" s="58"/>
      <c r="H37" s="67"/>
      <c r="I37" s="450"/>
      <c r="J37" s="64"/>
      <c r="K37" s="460"/>
      <c r="L37" s="398"/>
      <c r="M37" s="399"/>
      <c r="N37" s="31"/>
      <c r="O37" s="31"/>
      <c r="P37" s="18"/>
      <c r="Q37" s="18"/>
      <c r="R37" s="18"/>
      <c r="S37" s="18"/>
      <c r="T37" s="18"/>
      <c r="U37" s="18"/>
      <c r="V37" s="18"/>
      <c r="W37" s="18"/>
      <c r="X37" s="18"/>
      <c r="Y37" s="18"/>
    </row>
    <row r="38" spans="1:25">
      <c r="B38" s="73"/>
      <c r="C38" s="74"/>
      <c r="D38" s="74"/>
      <c r="E38" s="74"/>
      <c r="F38" s="74"/>
      <c r="G38" s="74"/>
      <c r="H38" s="74"/>
      <c r="I38" s="74"/>
      <c r="J38" s="75"/>
      <c r="K38" s="74"/>
      <c r="L38" s="74"/>
      <c r="M38" s="76"/>
      <c r="N38" s="31"/>
      <c r="O38" s="31"/>
      <c r="P38" s="18"/>
      <c r="Q38" s="18"/>
      <c r="R38" s="18"/>
      <c r="S38" s="18"/>
      <c r="T38" s="18"/>
      <c r="U38" s="18"/>
      <c r="V38" s="18"/>
      <c r="W38" s="18"/>
      <c r="X38" s="18"/>
      <c r="Y38" s="18"/>
    </row>
    <row r="39" spans="1:25">
      <c r="A39" s="47" t="s">
        <v>65</v>
      </c>
      <c r="B39" s="455" t="str">
        <f>VLOOKUP(A39,'imp-questions'!A:H,4,0)</f>
        <v>Compliance Management</v>
      </c>
      <c r="C39" s="48">
        <f>VLOOKUP(A39,'imp-questions'!A:H,5,0)</f>
        <v>1</v>
      </c>
      <c r="D39" s="49" t="str">
        <f>VLOOKUP(A39,'imp-questions'!A:H,6,0)</f>
        <v>Do you have a complete picture of your external compliance obligations?</v>
      </c>
      <c r="E39" s="50" t="str">
        <f>CHAR(65+VLOOKUP(A39,'imp-questions'!A:H,8,0))</f>
        <v>F</v>
      </c>
      <c r="F39" s="88"/>
      <c r="G39" s="62">
        <f>IFERROR(VLOOKUP(F39,AnsFTBL,2,0),0)</f>
        <v>0</v>
      </c>
      <c r="H39" s="89"/>
      <c r="I39" s="456"/>
      <c r="J39" s="64"/>
      <c r="K39" s="457"/>
      <c r="L39" s="398"/>
      <c r="M39" s="399"/>
      <c r="N39" s="31"/>
      <c r="O39" s="31"/>
      <c r="P39" s="18"/>
      <c r="Q39" s="18"/>
      <c r="R39" s="18"/>
      <c r="S39" s="18"/>
      <c r="T39" s="18"/>
      <c r="U39" s="18"/>
      <c r="V39" s="18"/>
      <c r="W39" s="18"/>
      <c r="X39" s="18"/>
      <c r="Y39" s="18"/>
    </row>
    <row r="40" spans="1:25" ht="37" customHeight="1">
      <c r="B40" s="455"/>
      <c r="C40" s="54"/>
      <c r="D40" s="68" t="str">
        <f>VLOOKUP(A39,'imp-questions'!A:H,7,0)</f>
        <v>You have identified all sources of external compliance obligations
You have captured and reconciled compliance obligations from all sources</v>
      </c>
      <c r="E40" s="56"/>
      <c r="F40" s="90"/>
      <c r="G40" s="91"/>
      <c r="H40" s="92"/>
      <c r="I40" s="456"/>
      <c r="J40" s="64"/>
      <c r="K40" s="457"/>
      <c r="L40" s="398"/>
      <c r="M40" s="399"/>
      <c r="N40" s="31"/>
      <c r="O40" s="31"/>
      <c r="P40" s="18"/>
      <c r="Q40" s="18"/>
      <c r="R40" s="18"/>
      <c r="S40" s="18"/>
      <c r="T40" s="18"/>
      <c r="U40" s="18"/>
      <c r="V40" s="18"/>
      <c r="W40" s="18"/>
      <c r="X40" s="18"/>
      <c r="Y40" s="18"/>
    </row>
    <row r="41" spans="1:25" ht="28">
      <c r="A41" s="47" t="s">
        <v>66</v>
      </c>
      <c r="B41" s="455"/>
      <c r="C41" s="48">
        <f>VLOOKUP(A41,'imp-questions'!A:H,5,0)</f>
        <v>2</v>
      </c>
      <c r="D41" s="49" t="str">
        <f>VLOOKUP(A41,'imp-questions'!A:H,6,0)</f>
        <v>Do you have a standard set of security requirements and verification procedures addressing the organization's external compliance obligations?</v>
      </c>
      <c r="E41" s="50" t="str">
        <f>CHAR(65+VLOOKUP(A41,'imp-questions'!A:H,8,0))</f>
        <v>D</v>
      </c>
      <c r="F41" s="88"/>
      <c r="G41" s="62">
        <f>IFERROR(VLOOKUP(F41,AnsDTBL,2,0),0)</f>
        <v>0</v>
      </c>
      <c r="H41" s="89"/>
      <c r="I41" s="436"/>
      <c r="J41" s="64"/>
      <c r="K41" s="437"/>
      <c r="L41" s="398"/>
      <c r="M41" s="399"/>
      <c r="N41" s="31"/>
      <c r="O41" s="31"/>
      <c r="P41" s="18"/>
      <c r="Q41" s="18"/>
      <c r="R41" s="18"/>
      <c r="S41" s="18"/>
      <c r="T41" s="18"/>
      <c r="U41" s="18"/>
      <c r="V41" s="18"/>
      <c r="W41" s="18"/>
      <c r="X41" s="18"/>
      <c r="Y41" s="18"/>
    </row>
    <row r="42" spans="1:25" ht="38" customHeight="1">
      <c r="B42" s="455"/>
      <c r="C42" s="54"/>
      <c r="D42" s="68" t="str">
        <f>VLOOKUP(A41,'imp-questions'!A:H,7,0)</f>
        <v>You map each external compliance obligation to a well-defined set of application requirements
You define verification procedures, including automated tests, to verify compliance with compliance-related requirements</v>
      </c>
      <c r="E42" s="56"/>
      <c r="F42" s="90"/>
      <c r="G42" s="91"/>
      <c r="H42" s="92"/>
      <c r="I42" s="436"/>
      <c r="J42" s="64"/>
      <c r="K42" s="437"/>
      <c r="L42" s="398"/>
      <c r="M42" s="399"/>
      <c r="N42" s="31"/>
      <c r="O42" s="31"/>
      <c r="P42" s="18"/>
      <c r="Q42" s="18"/>
      <c r="R42" s="18"/>
      <c r="S42" s="18"/>
      <c r="T42" s="18"/>
      <c r="U42" s="18"/>
      <c r="V42" s="18"/>
      <c r="W42" s="18"/>
      <c r="X42" s="18"/>
      <c r="Y42" s="18"/>
    </row>
    <row r="43" spans="1:25" ht="28">
      <c r="A43" s="47" t="s">
        <v>67</v>
      </c>
      <c r="B43" s="455"/>
      <c r="C43" s="48">
        <f>VLOOKUP(A43,'imp-questions'!A:H,5,0)</f>
        <v>3</v>
      </c>
      <c r="D43" s="49" t="str">
        <f>VLOOKUP(A43,'imp-questions'!A:H,6,0)</f>
        <v>Do you regularly report on adherence to external compliance obligations and use that information to guide efforts to close compliance gaps?</v>
      </c>
      <c r="E43" s="50" t="str">
        <f>CHAR(65+VLOOKUP(A43,'imp-questions'!A:H,8,0))</f>
        <v>E</v>
      </c>
      <c r="F43" s="88"/>
      <c r="G43" s="62">
        <f>IFERROR(VLOOKUP(F43,AnsETBL,2,0),0)</f>
        <v>0</v>
      </c>
      <c r="H43" s="89"/>
      <c r="I43" s="438"/>
      <c r="J43" s="64"/>
      <c r="K43" s="397"/>
      <c r="L43" s="398"/>
      <c r="M43" s="399"/>
      <c r="N43" s="31"/>
      <c r="O43" s="31"/>
      <c r="P43" s="18"/>
      <c r="Q43" s="18"/>
      <c r="R43" s="18"/>
      <c r="S43" s="18"/>
      <c r="T43" s="18"/>
      <c r="U43" s="18"/>
      <c r="V43" s="18"/>
      <c r="W43" s="18"/>
      <c r="X43" s="18"/>
      <c r="Y43" s="18"/>
    </row>
    <row r="44" spans="1:25" ht="45" customHeight="1">
      <c r="B44" s="455"/>
      <c r="C44" s="54"/>
      <c r="D44" s="68" t="str">
        <f>VLOOKUP(A43,'imp-questions'!A:H,7,0)</f>
        <v>You have established, well-defined compliance metrics
You measure and report on applications' compliance metrics regularly
Stakeholders use the reported compliance status information to identify compliance gaps and prioritize gap remediation efforts</v>
      </c>
      <c r="E44" s="69"/>
      <c r="F44" s="93"/>
      <c r="G44" s="94"/>
      <c r="H44" s="95"/>
      <c r="I44" s="438"/>
      <c r="J44" s="64"/>
      <c r="K44" s="397"/>
      <c r="L44" s="398"/>
      <c r="M44" s="399"/>
      <c r="N44" s="31"/>
      <c r="O44" s="31"/>
      <c r="P44" s="18"/>
      <c r="Q44" s="18"/>
      <c r="R44" s="18"/>
      <c r="S44" s="18"/>
      <c r="T44" s="18"/>
      <c r="U44" s="18"/>
      <c r="V44" s="18"/>
      <c r="W44" s="18"/>
      <c r="X44" s="18"/>
      <c r="Y44" s="18"/>
    </row>
    <row r="45" spans="1:25" ht="12.75" customHeight="1">
      <c r="B45" s="451" t="s">
        <v>68</v>
      </c>
      <c r="C45" s="451"/>
      <c r="D45" s="451"/>
      <c r="E45" s="80"/>
      <c r="F45" s="81" t="s">
        <v>52</v>
      </c>
      <c r="G45" s="81"/>
      <c r="H45" s="82"/>
      <c r="I45" s="83" t="s">
        <v>53</v>
      </c>
      <c r="J45" s="84" t="s">
        <v>54</v>
      </c>
      <c r="K45" s="85"/>
      <c r="L45" s="86"/>
      <c r="M45" s="87"/>
      <c r="N45" s="31"/>
      <c r="O45" s="31"/>
      <c r="P45" s="18"/>
      <c r="Q45" s="18"/>
      <c r="R45" s="18"/>
      <c r="S45" s="18"/>
      <c r="T45" s="18"/>
      <c r="U45" s="18"/>
      <c r="V45" s="18"/>
      <c r="W45" s="18"/>
      <c r="X45" s="18"/>
      <c r="Y45" s="18"/>
    </row>
    <row r="46" spans="1:25" ht="12.75" customHeight="1">
      <c r="A46" s="96" t="s">
        <v>69</v>
      </c>
      <c r="B46" s="452" t="str">
        <f>VLOOKUP(A46,'imp-questions'!A:H,4,0)</f>
        <v>Training and Awareness</v>
      </c>
      <c r="C46" s="77">
        <f>VLOOKUP(A46,'imp-questions'!A:H,5,0)</f>
        <v>1</v>
      </c>
      <c r="D46" s="78" t="str">
        <f>VLOOKUP(A46,'imp-questions'!A:H,6,0)</f>
        <v>Do you require employees involved with application development to take SDLC training?</v>
      </c>
      <c r="E46" s="60" t="str">
        <f>CHAR(65+VLOOKUP(A46,'imp-questions'!A:H,8,0))</f>
        <v>C</v>
      </c>
      <c r="F46" s="61" t="s">
        <v>70</v>
      </c>
      <c r="G46" s="62">
        <f>IFERROR(VLOOKUP(F46,AnsCTBL,2,0),0)</f>
        <v>0.25</v>
      </c>
      <c r="H46" s="79">
        <f>IFERROR(AVERAGE(G46,G53),0)</f>
        <v>0.625</v>
      </c>
      <c r="I46" s="428"/>
      <c r="J46" s="453">
        <f>SUM(H46,H48,H50)</f>
        <v>2.625</v>
      </c>
      <c r="K46" s="404"/>
      <c r="L46" s="398" t="s">
        <v>29</v>
      </c>
      <c r="M46" s="399" t="s">
        <v>30</v>
      </c>
      <c r="N46" s="31"/>
      <c r="O46" s="31"/>
      <c r="P46" s="18"/>
      <c r="Q46" s="18"/>
      <c r="R46" s="18"/>
      <c r="S46" s="18"/>
      <c r="T46" s="18"/>
      <c r="U46" s="18"/>
      <c r="V46" s="18"/>
      <c r="W46" s="18"/>
      <c r="X46" s="18"/>
      <c r="Y46" s="18"/>
    </row>
    <row r="47" spans="1:25" ht="84" customHeight="1">
      <c r="B47" s="452"/>
      <c r="C47" s="54"/>
      <c r="D47" s="68" t="str">
        <f>VLOOKUP(A46,'imp-questions'!A:H,7,0)</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56"/>
      <c r="F47" s="66"/>
      <c r="G47" s="58"/>
      <c r="H47" s="59"/>
      <c r="I47" s="428"/>
      <c r="J47" s="453"/>
      <c r="K47" s="404"/>
      <c r="L47" s="398"/>
      <c r="M47" s="399"/>
      <c r="N47" s="31"/>
      <c r="O47" s="31"/>
      <c r="P47" s="18"/>
      <c r="Q47" s="18"/>
      <c r="R47" s="18"/>
      <c r="S47" s="18"/>
      <c r="T47" s="18"/>
      <c r="U47" s="18"/>
      <c r="V47" s="18"/>
      <c r="W47" s="18"/>
      <c r="X47" s="18"/>
      <c r="Y47" s="18"/>
    </row>
    <row r="48" spans="1:25" ht="13.75" customHeight="1">
      <c r="A48" s="96" t="s">
        <v>71</v>
      </c>
      <c r="B48" s="452"/>
      <c r="C48" s="48">
        <f>VLOOKUP(A48,'imp-questions'!A:H,5,0)</f>
        <v>2</v>
      </c>
      <c r="D48" s="49" t="str">
        <f>VLOOKUP(A48,'imp-questions'!A:H,6,0)</f>
        <v>Is training customized for individual roles such as developers, testers, or security champions?</v>
      </c>
      <c r="E48" s="60" t="str">
        <f>CHAR(65+VLOOKUP(A48,'imp-questions'!A:H,8,0))</f>
        <v>I</v>
      </c>
      <c r="F48" s="61" t="s">
        <v>72</v>
      </c>
      <c r="G48" s="62">
        <f>IFERROR(VLOOKUP(F48,AnsITBL,2,0),0)</f>
        <v>1</v>
      </c>
      <c r="H48" s="63">
        <f>IFERROR(AVERAGE(G48,G55),0)</f>
        <v>1</v>
      </c>
      <c r="I48" s="430"/>
      <c r="J48" s="17"/>
      <c r="K48" s="454" t="s">
        <v>561</v>
      </c>
      <c r="L48" s="398"/>
      <c r="M48" s="399"/>
      <c r="N48" s="31"/>
      <c r="O48" s="31"/>
      <c r="P48" s="18"/>
      <c r="Q48" s="18"/>
      <c r="R48" s="18"/>
      <c r="S48" s="18"/>
      <c r="T48" s="18"/>
      <c r="U48" s="18"/>
      <c r="V48" s="18"/>
      <c r="W48" s="18"/>
      <c r="X48" s="18"/>
      <c r="Y48" s="18"/>
    </row>
    <row r="49" spans="1:25" ht="73" customHeight="1">
      <c r="B49" s="452"/>
      <c r="C49" s="54"/>
      <c r="D49" s="68" t="str">
        <f>VLOOKUP(A48,'imp-questions'!A:H,7,0)</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56"/>
      <c r="F49" s="66"/>
      <c r="G49" s="58"/>
      <c r="H49" s="67"/>
      <c r="I49" s="430"/>
      <c r="J49" s="17"/>
      <c r="K49" s="454"/>
      <c r="L49" s="398"/>
      <c r="M49" s="399"/>
      <c r="N49" s="31"/>
      <c r="O49" s="31"/>
      <c r="P49" s="18"/>
      <c r="Q49" s="18"/>
      <c r="R49" s="18"/>
      <c r="S49" s="18"/>
      <c r="T49" s="18"/>
      <c r="U49" s="18"/>
      <c r="V49" s="18"/>
      <c r="W49" s="18"/>
      <c r="X49" s="18"/>
      <c r="Y49" s="18"/>
    </row>
    <row r="50" spans="1:25">
      <c r="A50" s="96" t="s">
        <v>73</v>
      </c>
      <c r="B50" s="452"/>
      <c r="C50" s="48">
        <f>VLOOKUP(A50,'imp-questions'!A:H,5,0)</f>
        <v>3</v>
      </c>
      <c r="D50" s="49" t="str">
        <f>VLOOKUP(A50,'imp-questions'!A:H,6,0)</f>
        <v>Have you implemented a Learning Management System or equivalent to track employee training and certification processes?</v>
      </c>
      <c r="E50" s="60" t="str">
        <f>CHAR(65+VLOOKUP(A50,'imp-questions'!A:H,8,0))</f>
        <v>I</v>
      </c>
      <c r="F50" s="61" t="s">
        <v>72</v>
      </c>
      <c r="G50" s="62">
        <f>IFERROR(VLOOKUP(F50,AnsITBL,2,0),0)</f>
        <v>1</v>
      </c>
      <c r="H50" s="63">
        <f>IFERROR(AVERAGE(G50,G57),0)</f>
        <v>1</v>
      </c>
      <c r="I50" s="431"/>
      <c r="J50" s="17"/>
      <c r="K50" s="416"/>
      <c r="L50" s="398"/>
      <c r="M50" s="399"/>
      <c r="N50" s="31"/>
      <c r="O50" s="31"/>
      <c r="P50" s="18"/>
      <c r="Q50" s="18"/>
      <c r="R50" s="18"/>
      <c r="S50" s="18"/>
      <c r="T50" s="18"/>
      <c r="U50" s="18"/>
      <c r="V50" s="18"/>
      <c r="W50" s="18"/>
      <c r="X50" s="18"/>
      <c r="Y50" s="18"/>
    </row>
    <row r="51" spans="1:25" ht="47" customHeight="1">
      <c r="B51" s="452"/>
      <c r="C51" s="65"/>
      <c r="D51" s="55" t="str">
        <f>VLOOKUP(A50,'imp-questions'!A:H,7,0)</f>
        <v>A Learning Management System (LMS) is used to track trainings and certifications
Training is based on internal standards, policies, and procedures
You use certification programs or attendance records to determine access to development systems and resources</v>
      </c>
      <c r="E51" s="56"/>
      <c r="F51" s="66"/>
      <c r="G51" s="58"/>
      <c r="H51" s="67"/>
      <c r="I51" s="431"/>
      <c r="J51" s="17"/>
      <c r="K51" s="416"/>
      <c r="L51" s="398"/>
      <c r="M51" s="399"/>
      <c r="N51" s="31"/>
      <c r="O51" s="31"/>
      <c r="P51" s="18"/>
      <c r="Q51" s="18"/>
      <c r="R51" s="18"/>
      <c r="S51" s="18"/>
      <c r="T51" s="18"/>
      <c r="U51" s="18"/>
      <c r="V51" s="18"/>
      <c r="W51" s="18"/>
      <c r="X51" s="18"/>
      <c r="Y51" s="18"/>
    </row>
    <row r="52" spans="1:25">
      <c r="B52" s="73"/>
      <c r="C52" s="74"/>
      <c r="D52" s="74"/>
      <c r="E52" s="74"/>
      <c r="F52" s="74"/>
      <c r="G52" s="74"/>
      <c r="H52" s="74"/>
      <c r="I52" s="74"/>
      <c r="J52" s="75"/>
      <c r="K52" s="74"/>
      <c r="L52" s="74"/>
      <c r="M52" s="76"/>
      <c r="N52" s="31"/>
      <c r="O52" s="31"/>
      <c r="P52" s="18"/>
      <c r="Q52" s="18"/>
      <c r="R52" s="18"/>
      <c r="S52" s="18"/>
      <c r="T52" s="18"/>
      <c r="U52" s="18"/>
      <c r="V52" s="18"/>
      <c r="W52" s="18"/>
      <c r="X52" s="18"/>
      <c r="Y52" s="18"/>
    </row>
    <row r="53" spans="1:25" ht="13.75" customHeight="1">
      <c r="A53" s="96" t="s">
        <v>74</v>
      </c>
      <c r="B53" s="448" t="str">
        <f>VLOOKUP(A53,'imp-questions'!A:H,4,0)</f>
        <v>Organization and Culture</v>
      </c>
      <c r="C53" s="48">
        <f>VLOOKUP(A53,'imp-questions'!A:H,5,0)</f>
        <v>1</v>
      </c>
      <c r="D53" s="49" t="str">
        <f>VLOOKUP(A53,'imp-questions'!A:H,6,0)</f>
        <v>Have you identified a Security Champion for each development team?</v>
      </c>
      <c r="E53" s="50" t="str">
        <f>CHAR(65+VLOOKUP(A53,'imp-questions'!A:H,8,0))</f>
        <v>W</v>
      </c>
      <c r="F53" s="51" t="s">
        <v>75</v>
      </c>
      <c r="G53" s="62">
        <f>IFERROR(VLOOKUP(F53,AnsWTBL,2,0),0)</f>
        <v>1</v>
      </c>
      <c r="H53" s="63"/>
      <c r="I53" s="438"/>
      <c r="J53" s="64"/>
      <c r="K53" s="449" t="s">
        <v>76</v>
      </c>
      <c r="L53" s="398" t="s">
        <v>29</v>
      </c>
      <c r="M53" s="399" t="s">
        <v>30</v>
      </c>
      <c r="N53" s="31"/>
      <c r="O53" s="31"/>
      <c r="P53" s="18"/>
      <c r="Q53" s="18"/>
      <c r="R53" s="18"/>
      <c r="S53" s="18"/>
      <c r="T53" s="18"/>
      <c r="U53" s="18"/>
      <c r="V53" s="18"/>
      <c r="W53" s="18"/>
      <c r="X53" s="18"/>
      <c r="Y53" s="18"/>
    </row>
    <row r="54" spans="1:25" ht="70" customHeight="1">
      <c r="B54" s="448"/>
      <c r="C54" s="54"/>
      <c r="D54" s="68" t="str">
        <f>VLOOKUP(A53,'imp-questions'!A:H,7,0)</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69"/>
      <c r="F54" s="66"/>
      <c r="G54" s="58"/>
      <c r="H54" s="67"/>
      <c r="I54" s="438"/>
      <c r="J54" s="64"/>
      <c r="K54" s="449"/>
      <c r="L54" s="398"/>
      <c r="M54" s="399"/>
      <c r="N54" s="31"/>
      <c r="O54" s="31"/>
      <c r="P54" s="18"/>
      <c r="Q54" s="18"/>
      <c r="R54" s="18"/>
      <c r="S54" s="18"/>
      <c r="T54" s="18"/>
      <c r="U54" s="18"/>
      <c r="V54" s="18"/>
      <c r="W54" s="18"/>
      <c r="X54" s="18"/>
      <c r="Y54" s="18"/>
    </row>
    <row r="55" spans="1:25">
      <c r="A55" s="96" t="s">
        <v>77</v>
      </c>
      <c r="B55" s="448"/>
      <c r="C55" s="48">
        <f>VLOOKUP(A55,'imp-questions'!A:H,5,0)</f>
        <v>2</v>
      </c>
      <c r="D55" s="49" t="str">
        <f>VLOOKUP(A55,'imp-questions'!A:H,6,0)</f>
        <v>Does the organization have a Secure Software Center of Excellence (SSCE)?</v>
      </c>
      <c r="E55" s="50" t="str">
        <f>CHAR(65+VLOOKUP(A55,'imp-questions'!A:H,8,0))</f>
        <v>L</v>
      </c>
      <c r="F55" s="61" t="s">
        <v>78</v>
      </c>
      <c r="G55" s="62">
        <f>IFERROR(VLOOKUP(F55,AnsLTBL,2,0),0)</f>
        <v>1</v>
      </c>
      <c r="H55" s="63"/>
      <c r="I55" s="450"/>
      <c r="J55" s="64"/>
      <c r="K55" s="397"/>
      <c r="L55" s="398"/>
      <c r="M55" s="399"/>
      <c r="N55" s="31"/>
      <c r="O55" s="31"/>
      <c r="P55" s="18"/>
      <c r="Q55" s="18"/>
      <c r="R55" s="18"/>
      <c r="S55" s="18"/>
      <c r="T55" s="18"/>
      <c r="U55" s="18"/>
      <c r="V55" s="18"/>
      <c r="W55" s="18"/>
      <c r="X55" s="18"/>
      <c r="Y55" s="18"/>
    </row>
    <row r="56" spans="1:25" ht="60" customHeight="1">
      <c r="B56" s="448"/>
      <c r="C56" s="54"/>
      <c r="D56" s="68" t="str">
        <f>VLOOKUP(A55,'imp-questions'!A:H,7,0)</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56"/>
      <c r="F56" s="66"/>
      <c r="G56" s="58"/>
      <c r="H56" s="67"/>
      <c r="I56" s="450"/>
      <c r="J56" s="64"/>
      <c r="K56" s="397"/>
      <c r="L56" s="398"/>
      <c r="M56" s="399"/>
      <c r="N56" s="31"/>
      <c r="O56" s="31"/>
      <c r="P56" s="18"/>
      <c r="Q56" s="18"/>
      <c r="R56" s="18"/>
      <c r="S56" s="18"/>
      <c r="T56" s="18"/>
      <c r="U56" s="18"/>
      <c r="V56" s="18"/>
      <c r="W56" s="18"/>
      <c r="X56" s="18"/>
      <c r="Y56" s="18"/>
    </row>
    <row r="57" spans="1:25" ht="28">
      <c r="A57" s="96" t="s">
        <v>79</v>
      </c>
      <c r="B57" s="448"/>
      <c r="C57" s="48">
        <f>VLOOKUP(A57,'imp-questions'!A:H,5,0)</f>
        <v>3</v>
      </c>
      <c r="D57" s="49" t="str">
        <f>VLOOKUP(A57,'imp-questions'!A:H,6,0)</f>
        <v>Is there a centralized portal where developers and application security professionals from different teams and business units are able to communicate and share information?</v>
      </c>
      <c r="E57" s="50" t="str">
        <f>CHAR(65+VLOOKUP(A57,'imp-questions'!A:H,8,0))</f>
        <v>L</v>
      </c>
      <c r="F57" s="61" t="s">
        <v>78</v>
      </c>
      <c r="G57" s="62">
        <f>IFERROR(VLOOKUP(F57,AnsLTBL,2,0),0)</f>
        <v>1</v>
      </c>
      <c r="H57" s="63"/>
      <c r="I57" s="450"/>
      <c r="J57" s="64"/>
      <c r="K57" s="397"/>
      <c r="L57" s="398"/>
      <c r="M57" s="399"/>
      <c r="N57" s="31"/>
      <c r="O57" s="31"/>
      <c r="P57" s="18"/>
      <c r="Q57" s="18"/>
      <c r="R57" s="18"/>
      <c r="S57" s="18"/>
      <c r="T57" s="18"/>
      <c r="U57" s="18"/>
      <c r="V57" s="18"/>
      <c r="W57" s="18"/>
      <c r="X57" s="18"/>
      <c r="Y57" s="18"/>
    </row>
    <row r="58" spans="1:25" ht="106" customHeight="1">
      <c r="B58" s="448"/>
      <c r="C58" s="65"/>
      <c r="D58" s="55" t="str">
        <f>VLOOKUP(A57,'imp-questions'!A:H,7,0)</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56"/>
      <c r="F58" s="66"/>
      <c r="G58" s="58"/>
      <c r="H58" s="67"/>
      <c r="I58" s="450"/>
      <c r="J58" s="64"/>
      <c r="K58" s="397"/>
      <c r="L58" s="398"/>
      <c r="M58" s="399"/>
      <c r="N58" s="31"/>
      <c r="O58" s="31"/>
      <c r="P58" s="18"/>
      <c r="Q58" s="18"/>
      <c r="R58" s="18"/>
      <c r="S58" s="18"/>
      <c r="T58" s="18"/>
      <c r="U58" s="18"/>
      <c r="V58" s="18"/>
      <c r="W58" s="18"/>
      <c r="X58" s="18"/>
      <c r="Y58" s="18"/>
    </row>
    <row r="59" spans="1:25" ht="12.75" customHeight="1">
      <c r="B59" s="446" t="s">
        <v>80</v>
      </c>
      <c r="C59" s="446"/>
      <c r="D59" s="446"/>
      <c r="E59" s="446"/>
      <c r="F59" s="446"/>
      <c r="G59" s="446"/>
      <c r="H59" s="446"/>
      <c r="I59" s="446"/>
      <c r="J59" s="446"/>
      <c r="K59" s="97"/>
      <c r="L59" s="97"/>
      <c r="M59" s="97"/>
      <c r="N59" s="31"/>
      <c r="O59" s="31"/>
      <c r="P59" s="18"/>
      <c r="Q59" s="18"/>
      <c r="R59" s="18"/>
      <c r="S59" s="18"/>
      <c r="T59" s="18"/>
      <c r="U59" s="18"/>
      <c r="V59" s="18"/>
      <c r="W59" s="18"/>
      <c r="X59" s="18"/>
      <c r="Y59" s="18"/>
    </row>
    <row r="60" spans="1:25" ht="12.75" customHeight="1">
      <c r="B60" s="447" t="s">
        <v>81</v>
      </c>
      <c r="C60" s="447"/>
      <c r="D60" s="447"/>
      <c r="E60" s="99"/>
      <c r="F60" s="98" t="s">
        <v>52</v>
      </c>
      <c r="G60" s="98"/>
      <c r="H60" s="100"/>
      <c r="I60" s="101" t="s">
        <v>53</v>
      </c>
      <c r="J60" s="102" t="s">
        <v>54</v>
      </c>
      <c r="K60" s="103"/>
      <c r="L60" s="104"/>
      <c r="M60" s="105"/>
      <c r="N60" s="31"/>
      <c r="O60" s="31"/>
      <c r="P60" s="18"/>
      <c r="Q60" s="18"/>
      <c r="R60" s="18"/>
      <c r="S60" s="18"/>
      <c r="T60" s="18"/>
      <c r="U60" s="18"/>
      <c r="V60" s="18"/>
      <c r="W60" s="18"/>
      <c r="X60" s="18"/>
      <c r="Y60" s="18"/>
    </row>
    <row r="61" spans="1:25" ht="12.75" customHeight="1">
      <c r="A61" s="96" t="s">
        <v>82</v>
      </c>
      <c r="B61" s="440" t="str">
        <f>VLOOKUP(A61,'imp-questions'!A:H,4,0)</f>
        <v>Application Risk Profile</v>
      </c>
      <c r="C61" s="107">
        <f>VLOOKUP(A61,'imp-questions'!A:H,5,0)</f>
        <v>1</v>
      </c>
      <c r="D61" s="49" t="str">
        <f>VLOOKUP(A61,'imp-questions'!A:H,6,0)</f>
        <v>Do you classify applications according to business risk based on a simple and predefined set of questions?</v>
      </c>
      <c r="E61" s="50" t="str">
        <f>CHAR(65+VLOOKUP(A61,'imp-questions'!A:H,8,0))</f>
        <v>C</v>
      </c>
      <c r="F61" s="108" t="s">
        <v>83</v>
      </c>
      <c r="G61" s="62">
        <f>IFERROR(VLOOKUP(F61,AnsCTBL,2,0),0)</f>
        <v>1</v>
      </c>
      <c r="H61" s="53">
        <f>IFERROR(AVERAGE(G61,G68),0)</f>
        <v>1</v>
      </c>
      <c r="I61" s="396"/>
      <c r="J61" s="441">
        <f>SUM(H61,H63,H65)</f>
        <v>2.25</v>
      </c>
      <c r="K61" s="405"/>
      <c r="L61" s="398" t="s">
        <v>31</v>
      </c>
      <c r="M61" s="399" t="s">
        <v>32</v>
      </c>
      <c r="N61" s="31"/>
      <c r="O61" s="31"/>
      <c r="P61" s="18"/>
      <c r="Q61" s="18"/>
      <c r="R61" s="18"/>
      <c r="S61" s="18"/>
      <c r="T61" s="18"/>
      <c r="U61" s="18"/>
      <c r="V61" s="18"/>
      <c r="W61" s="18"/>
      <c r="X61" s="18"/>
      <c r="Y61" s="18"/>
    </row>
    <row r="62" spans="1:25" ht="56">
      <c r="B62" s="440"/>
      <c r="C62" s="54"/>
      <c r="D62" s="68" t="str">
        <f>VLOOKUP(A61,'imp-questions'!A:H,7,0)</f>
        <v>An agreed-upon risk classification exists
The application team understands the risk classification
The risk classification covers critical aspects of business risks the organization is facing
The organization has an inventory for the applications in scope</v>
      </c>
      <c r="E62" s="56"/>
      <c r="F62" s="70"/>
      <c r="G62" s="58"/>
      <c r="H62" s="59"/>
      <c r="I62" s="396"/>
      <c r="J62" s="441"/>
      <c r="K62" s="405"/>
      <c r="L62" s="398"/>
      <c r="M62" s="399"/>
      <c r="N62" s="31"/>
      <c r="O62" s="31"/>
      <c r="P62" s="18"/>
      <c r="Q62" s="18"/>
      <c r="R62" s="18"/>
      <c r="S62" s="18"/>
      <c r="T62" s="18"/>
      <c r="U62" s="18"/>
      <c r="V62" s="18"/>
      <c r="W62" s="18"/>
      <c r="X62" s="18"/>
      <c r="Y62" s="18"/>
    </row>
    <row r="63" spans="1:25">
      <c r="A63" s="96" t="s">
        <v>84</v>
      </c>
      <c r="B63" s="440"/>
      <c r="C63" s="107">
        <f>VLOOKUP(A63,'imp-questions'!A:H,5,0)</f>
        <v>2</v>
      </c>
      <c r="D63" s="49" t="str">
        <f>VLOOKUP(A63,'imp-questions'!A:H,6,0)</f>
        <v>Do you use centralized and quantified application risk profiles to evaluate business risk?</v>
      </c>
      <c r="E63" s="50" t="str">
        <f>CHAR(65+VLOOKUP(A63,'imp-questions'!A:H,8,0))</f>
        <v>F</v>
      </c>
      <c r="F63" s="108" t="s">
        <v>85</v>
      </c>
      <c r="G63" s="62">
        <f>IFERROR(VLOOKUP(F63,AnsFTBL,2,0),0)</f>
        <v>1</v>
      </c>
      <c r="H63" s="53">
        <f>IFERROR(AVERAGE(G63,G70),0)</f>
        <v>1</v>
      </c>
      <c r="I63" s="430"/>
      <c r="J63" s="109"/>
      <c r="K63" s="405"/>
      <c r="L63" s="398"/>
      <c r="M63" s="399"/>
      <c r="N63" s="31"/>
      <c r="O63" s="31"/>
      <c r="P63" s="18"/>
      <c r="Q63" s="18"/>
      <c r="R63" s="18"/>
      <c r="S63" s="18"/>
      <c r="T63" s="18"/>
      <c r="U63" s="18"/>
      <c r="V63" s="18"/>
      <c r="W63" s="18"/>
      <c r="X63" s="18"/>
      <c r="Y63" s="18"/>
    </row>
    <row r="64" spans="1:25" ht="56">
      <c r="B64" s="440"/>
      <c r="C64" s="54"/>
      <c r="D64" s="68" t="str">
        <f>VLOOKUP(A63,'imp-questions'!A:H,7,0)</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56"/>
      <c r="F64" s="90"/>
      <c r="G64" s="91"/>
      <c r="H64" s="67"/>
      <c r="I64" s="430"/>
      <c r="J64" s="109"/>
      <c r="K64" s="405"/>
      <c r="L64" s="398"/>
      <c r="M64" s="399"/>
      <c r="N64" s="31"/>
      <c r="O64" s="31"/>
      <c r="P64" s="18"/>
      <c r="Q64" s="18"/>
      <c r="R64" s="18"/>
      <c r="S64" s="18"/>
      <c r="T64" s="18"/>
      <c r="U64" s="18"/>
      <c r="V64" s="18"/>
      <c r="W64" s="18"/>
      <c r="X64" s="18"/>
      <c r="Y64" s="18"/>
    </row>
    <row r="65" spans="1:25">
      <c r="A65" s="96" t="s">
        <v>86</v>
      </c>
      <c r="B65" s="440"/>
      <c r="C65" s="107">
        <f>VLOOKUP(A65,'imp-questions'!A:H,5,0)</f>
        <v>3</v>
      </c>
      <c r="D65" s="49" t="str">
        <f>VLOOKUP(A65,'imp-questions'!A:H,6,0)</f>
        <v>Do you regularly review and update the risk profiles for your applications?</v>
      </c>
      <c r="E65" s="50" t="str">
        <f>CHAR(65+VLOOKUP(A65,'imp-questions'!A:H,8,0))</f>
        <v>G</v>
      </c>
      <c r="F65" s="108" t="s">
        <v>87</v>
      </c>
      <c r="G65" s="110">
        <f>IFERROR(VLOOKUP(F65,AnsGTBL,2,0),0)</f>
        <v>0.5</v>
      </c>
      <c r="H65" s="53">
        <f>IFERROR(AVERAGE(G65,G72),0)</f>
        <v>0.25</v>
      </c>
      <c r="I65" s="431" t="s">
        <v>88</v>
      </c>
      <c r="J65" s="109"/>
      <c r="K65" s="405"/>
      <c r="L65" s="398"/>
      <c r="M65" s="399"/>
      <c r="N65" s="31"/>
      <c r="O65" s="31"/>
      <c r="P65" s="18"/>
      <c r="Q65" s="18"/>
      <c r="R65" s="18"/>
      <c r="S65" s="18"/>
      <c r="T65" s="18"/>
      <c r="U65" s="18"/>
      <c r="V65" s="18"/>
      <c r="W65" s="18"/>
      <c r="X65" s="18"/>
      <c r="Y65" s="18"/>
    </row>
    <row r="66" spans="1:25" ht="28">
      <c r="B66" s="440"/>
      <c r="C66" s="65"/>
      <c r="D66" s="55" t="str">
        <f>VLOOKUP(A65,'imp-questions'!A:H,7,0)</f>
        <v>The organizational risk standard considers historical feedback to improve the evaluation method
Significant changes in the application or business context trigger a review of the relevant risk profiles</v>
      </c>
      <c r="E66" s="56"/>
      <c r="F66" s="90"/>
      <c r="G66" s="91"/>
      <c r="H66" s="67"/>
      <c r="I66" s="431"/>
      <c r="J66" s="109"/>
      <c r="K66" s="405"/>
      <c r="L66" s="398"/>
      <c r="M66" s="399"/>
      <c r="N66" s="31"/>
      <c r="O66" s="31"/>
      <c r="P66" s="18"/>
      <c r="Q66" s="18"/>
      <c r="R66" s="18"/>
      <c r="S66" s="18"/>
      <c r="T66" s="18"/>
      <c r="U66" s="18"/>
      <c r="V66" s="18"/>
      <c r="W66" s="18"/>
      <c r="X66" s="18"/>
      <c r="Y66" s="18"/>
    </row>
    <row r="67" spans="1:25">
      <c r="B67" s="73"/>
      <c r="C67" s="74"/>
      <c r="D67" s="74"/>
      <c r="E67" s="74"/>
      <c r="F67" s="74"/>
      <c r="G67" s="74"/>
      <c r="H67" s="74"/>
      <c r="I67" s="74"/>
      <c r="J67" s="75"/>
      <c r="K67" s="74"/>
      <c r="L67" s="74"/>
      <c r="M67" s="76"/>
      <c r="N67" s="31"/>
      <c r="O67" s="31"/>
      <c r="P67" s="18"/>
      <c r="Q67" s="18"/>
      <c r="R67" s="18"/>
      <c r="S67" s="18"/>
      <c r="T67" s="18"/>
      <c r="U67" s="18"/>
      <c r="V67" s="18"/>
      <c r="W67" s="18"/>
      <c r="X67" s="18"/>
      <c r="Y67" s="18"/>
    </row>
    <row r="68" spans="1:25" ht="13.75" customHeight="1">
      <c r="A68" s="96" t="s">
        <v>89</v>
      </c>
      <c r="B68" s="435" t="str">
        <f>VLOOKUP(A68,'imp-questions'!A:H,4,0)</f>
        <v>Threat Modeling</v>
      </c>
      <c r="C68" s="107">
        <f>VLOOKUP(A68,'imp-questions'!A:H,5,0)</f>
        <v>1</v>
      </c>
      <c r="D68" s="49" t="str">
        <f>VLOOKUP(A68,'imp-questions'!A:H,6,0)</f>
        <v>Do you identify and manage architectural design flaws with threat modeling?</v>
      </c>
      <c r="E68" s="50" t="str">
        <f>CHAR(65+VLOOKUP(A68,'imp-questions'!A:H,8,0))</f>
        <v>C</v>
      </c>
      <c r="F68" s="108" t="s">
        <v>83</v>
      </c>
      <c r="G68" s="62">
        <f>IFERROR(VLOOKUP(F68,AnsCTBL,2,0),0)</f>
        <v>1</v>
      </c>
      <c r="H68" s="63"/>
      <c r="I68" s="396"/>
      <c r="J68" s="111"/>
      <c r="K68" s="405"/>
      <c r="L68" s="398" t="s">
        <v>31</v>
      </c>
      <c r="M68" s="399" t="s">
        <v>32</v>
      </c>
      <c r="N68" s="31"/>
      <c r="O68" s="31"/>
      <c r="P68" s="18"/>
      <c r="Q68" s="18"/>
      <c r="R68" s="18"/>
      <c r="S68" s="18"/>
      <c r="T68" s="18"/>
      <c r="U68" s="18"/>
      <c r="V68" s="18"/>
      <c r="W68" s="18"/>
      <c r="X68" s="18"/>
      <c r="Y68" s="18"/>
    </row>
    <row r="69" spans="1:25" ht="42">
      <c r="B69" s="435"/>
      <c r="C69" s="54"/>
      <c r="D69" s="68" t="str">
        <f>VLOOKUP(A68,'imp-questions'!A:H,7,0)</f>
        <v>You perform threat modeling for high-risk applications
You use simple threat checklists, such as STRIDE
You persist the outcome of a threat model for later use</v>
      </c>
      <c r="E69" s="56"/>
      <c r="F69" s="90"/>
      <c r="G69" s="91"/>
      <c r="H69" s="92"/>
      <c r="I69" s="396"/>
      <c r="J69" s="111"/>
      <c r="K69" s="405"/>
      <c r="L69" s="398"/>
      <c r="M69" s="399"/>
      <c r="N69" s="31"/>
      <c r="O69" s="31"/>
      <c r="P69" s="18"/>
      <c r="Q69" s="18"/>
      <c r="R69" s="18"/>
      <c r="S69" s="18"/>
      <c r="T69" s="18"/>
      <c r="U69" s="18"/>
      <c r="V69" s="18"/>
      <c r="W69" s="18"/>
      <c r="X69" s="18"/>
      <c r="Y69" s="18"/>
    </row>
    <row r="70" spans="1:25" ht="14" customHeight="1">
      <c r="A70" s="96" t="s">
        <v>90</v>
      </c>
      <c r="B70" s="435"/>
      <c r="C70" s="107">
        <f>VLOOKUP(A70,'imp-questions'!A:H,5,0)</f>
        <v>2</v>
      </c>
      <c r="D70" s="49" t="str">
        <f>VLOOKUP(A70,'imp-questions'!A:H,6,0)</f>
        <v>Do you use a standard methodology, aligned on your application risk levels?</v>
      </c>
      <c r="E70" s="50" t="str">
        <f>CHAR(65+VLOOKUP(A70,'imp-questions'!A:H,8,0))</f>
        <v>F</v>
      </c>
      <c r="F70" s="108" t="s">
        <v>85</v>
      </c>
      <c r="G70" s="62">
        <f>IFERROR(VLOOKUP(F70,AnsFTBL,2,0),0)</f>
        <v>1</v>
      </c>
      <c r="H70" s="63"/>
      <c r="I70" s="396"/>
      <c r="J70" s="111"/>
      <c r="K70" s="445" t="s">
        <v>91</v>
      </c>
      <c r="L70" s="398"/>
      <c r="M70" s="399"/>
      <c r="N70" s="31"/>
      <c r="O70" s="31"/>
      <c r="P70" s="18"/>
      <c r="Q70" s="18"/>
      <c r="R70" s="18"/>
      <c r="S70" s="18"/>
      <c r="T70" s="18"/>
      <c r="U70" s="18"/>
      <c r="V70" s="18"/>
      <c r="W70" s="18"/>
      <c r="X70" s="18"/>
      <c r="Y70" s="18"/>
    </row>
    <row r="71" spans="1:25" ht="70">
      <c r="B71" s="435"/>
      <c r="C71" s="54"/>
      <c r="D71" s="68" t="str">
        <f>VLOOKUP(A70,'imp-questions'!A:H,7,0)</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56"/>
      <c r="F71" s="90"/>
      <c r="G71" s="91"/>
      <c r="H71" s="92"/>
      <c r="I71" s="396"/>
      <c r="J71" s="111"/>
      <c r="K71" s="445"/>
      <c r="L71" s="398"/>
      <c r="M71" s="399"/>
      <c r="N71" s="31"/>
      <c r="O71" s="31"/>
      <c r="P71" s="18"/>
      <c r="Q71" s="18"/>
      <c r="R71" s="18"/>
      <c r="S71" s="18"/>
      <c r="T71" s="18"/>
      <c r="U71" s="18"/>
      <c r="V71" s="18"/>
      <c r="W71" s="18"/>
      <c r="X71" s="18"/>
      <c r="Y71" s="18"/>
    </row>
    <row r="72" spans="1:25">
      <c r="A72" s="96" t="s">
        <v>92</v>
      </c>
      <c r="B72" s="435"/>
      <c r="C72" s="107">
        <f>VLOOKUP(A72,'imp-questions'!A:H,5,0)</f>
        <v>3</v>
      </c>
      <c r="D72" s="49" t="str">
        <f>VLOOKUP(A72,'imp-questions'!A:H,6,0)</f>
        <v>Do you regularly review and update the threat modeling methodology for your applications?</v>
      </c>
      <c r="E72" s="50" t="str">
        <f>CHAR(65+VLOOKUP(A72,'imp-questions'!A:H,8,0))</f>
        <v>N</v>
      </c>
      <c r="F72" s="88" t="s">
        <v>93</v>
      </c>
      <c r="G72" s="62">
        <f>IFERROR(VLOOKUP(F72,AnsNTBL,2,0),0)</f>
        <v>0</v>
      </c>
      <c r="H72" s="63"/>
      <c r="I72" s="433"/>
      <c r="J72" s="111"/>
      <c r="K72" s="411"/>
      <c r="L72" s="398"/>
      <c r="M72" s="399"/>
      <c r="N72" s="31"/>
      <c r="O72" s="31"/>
      <c r="P72" s="18"/>
      <c r="Q72" s="18"/>
      <c r="R72" s="18"/>
      <c r="S72" s="18"/>
      <c r="T72" s="18"/>
      <c r="U72" s="18"/>
      <c r="V72" s="18"/>
      <c r="W72" s="18"/>
      <c r="X72" s="18"/>
      <c r="Y72" s="18"/>
    </row>
    <row r="73" spans="1:25" ht="42">
      <c r="B73" s="435"/>
      <c r="C73" s="54"/>
      <c r="D73" s="68" t="str">
        <f>VLOOKUP(A72,'imp-questions'!A:H,7,0)</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69"/>
      <c r="F73" s="93"/>
      <c r="G73" s="94"/>
      <c r="H73" s="95"/>
      <c r="I73" s="433"/>
      <c r="J73" s="111"/>
      <c r="K73" s="411"/>
      <c r="L73" s="398"/>
      <c r="M73" s="399"/>
      <c r="N73" s="31"/>
      <c r="O73" s="31"/>
      <c r="P73" s="18"/>
      <c r="Q73" s="18"/>
      <c r="R73" s="18"/>
      <c r="S73" s="18"/>
      <c r="T73" s="18"/>
      <c r="U73" s="18"/>
      <c r="V73" s="18"/>
      <c r="W73" s="18"/>
      <c r="X73" s="18"/>
      <c r="Y73" s="18"/>
    </row>
    <row r="74" spans="1:25" ht="12.75" customHeight="1">
      <c r="B74" s="439" t="s">
        <v>94</v>
      </c>
      <c r="C74" s="439"/>
      <c r="D74" s="439"/>
      <c r="E74" s="112"/>
      <c r="F74" s="113" t="s">
        <v>52</v>
      </c>
      <c r="G74" s="113"/>
      <c r="H74" s="114"/>
      <c r="I74" s="115" t="s">
        <v>53</v>
      </c>
      <c r="J74" s="116" t="s">
        <v>54</v>
      </c>
      <c r="K74" s="117"/>
      <c r="L74" s="118"/>
      <c r="M74" s="119"/>
      <c r="N74" s="31"/>
      <c r="O74" s="31"/>
      <c r="P74" s="18"/>
      <c r="Q74" s="18"/>
      <c r="R74" s="18"/>
      <c r="S74" s="18"/>
      <c r="T74" s="18"/>
      <c r="U74" s="18"/>
      <c r="V74" s="18"/>
      <c r="W74" s="18"/>
      <c r="X74" s="18"/>
      <c r="Y74" s="18"/>
    </row>
    <row r="75" spans="1:25" ht="14" customHeight="1">
      <c r="A75" s="96" t="s">
        <v>95</v>
      </c>
      <c r="B75" s="443" t="str">
        <f>VLOOKUP(A75,'imp-questions'!A:H,4,0)</f>
        <v>Software Requirements</v>
      </c>
      <c r="C75" s="120">
        <f>VLOOKUP(A75,'imp-questions'!A:H,5,0)</f>
        <v>1</v>
      </c>
      <c r="D75" s="78" t="str">
        <f>VLOOKUP(A75,'imp-questions'!A:H,6,0)</f>
        <v>Do project teams specify security requirements during development?</v>
      </c>
      <c r="E75" s="60" t="str">
        <f>CHAR(65+VLOOKUP(A75,'imp-questions'!A:H,8,0))</f>
        <v>F</v>
      </c>
      <c r="F75" s="121" t="s">
        <v>85</v>
      </c>
      <c r="G75" s="62">
        <f>IFERROR(VLOOKUP(F75,AnsFTBL,2,0),0)</f>
        <v>1</v>
      </c>
      <c r="H75" s="79">
        <f>IFERROR(AVERAGE(G75,G82),0)</f>
        <v>0.5</v>
      </c>
      <c r="I75" s="428"/>
      <c r="J75" s="444">
        <f>SUM(H75,H77,H79)</f>
        <v>1.5</v>
      </c>
      <c r="K75" s="404"/>
      <c r="L75" s="398" t="s">
        <v>29</v>
      </c>
      <c r="M75" s="399" t="s">
        <v>30</v>
      </c>
      <c r="N75" s="31"/>
      <c r="O75" s="31"/>
      <c r="P75" s="18"/>
      <c r="Q75" s="18"/>
      <c r="R75" s="18"/>
      <c r="S75" s="18"/>
      <c r="T75" s="18"/>
      <c r="U75" s="18"/>
      <c r="V75" s="18"/>
      <c r="W75" s="18"/>
      <c r="X75" s="18"/>
      <c r="Y75" s="18"/>
    </row>
    <row r="76" spans="1:25" ht="42">
      <c r="B76" s="443"/>
      <c r="C76" s="54"/>
      <c r="D76" s="68" t="str">
        <f>VLOOKUP(A75,'imp-questions'!A:H,7,0)</f>
        <v>Teams derive security requirements from functional requirements and customer or organization concerns
Security requirements are specific, measurable, and reasonable
Security requirements are in line with the organizational baseline</v>
      </c>
      <c r="E76" s="56"/>
      <c r="F76" s="90"/>
      <c r="G76" s="91"/>
      <c r="H76" s="59"/>
      <c r="I76" s="428"/>
      <c r="J76" s="444"/>
      <c r="K76" s="404"/>
      <c r="L76" s="398"/>
      <c r="M76" s="399"/>
      <c r="N76" s="31"/>
      <c r="O76" s="31"/>
      <c r="P76" s="18"/>
      <c r="Q76" s="18"/>
      <c r="R76" s="18"/>
      <c r="S76" s="18"/>
      <c r="T76" s="18"/>
      <c r="U76" s="18"/>
      <c r="V76" s="18"/>
      <c r="W76" s="18"/>
      <c r="X76" s="18"/>
      <c r="Y76" s="18"/>
    </row>
    <row r="77" spans="1:25">
      <c r="A77" s="96" t="s">
        <v>96</v>
      </c>
      <c r="B77" s="443"/>
      <c r="C77" s="107">
        <f>VLOOKUP(A77,'imp-questions'!A:H,5,0)</f>
        <v>2</v>
      </c>
      <c r="D77" s="49" t="str">
        <f>VLOOKUP(A77,'imp-questions'!A:H,6,0)</f>
        <v>Do you define, structure, and include prioritization in the artifacts of the security requirements gathering process?</v>
      </c>
      <c r="E77" s="50" t="str">
        <f>CHAR(65+VLOOKUP(A77,'imp-questions'!A:H,8,0))</f>
        <v>H</v>
      </c>
      <c r="F77" s="121" t="s">
        <v>97</v>
      </c>
      <c r="G77" s="62">
        <f>IFERROR(VLOOKUP(F77,AnsHTBL,2,0),0)</f>
        <v>1</v>
      </c>
      <c r="H77" s="53">
        <f>IFERROR(AVERAGE(G77,G84),0)</f>
        <v>0.5</v>
      </c>
      <c r="I77" s="430"/>
      <c r="J77" s="109"/>
      <c r="K77" s="415"/>
      <c r="L77" s="398"/>
      <c r="M77" s="399"/>
      <c r="N77" s="31"/>
      <c r="O77" s="31"/>
      <c r="P77" s="18"/>
      <c r="Q77" s="18"/>
      <c r="R77" s="18"/>
      <c r="S77" s="18"/>
      <c r="T77" s="18"/>
      <c r="U77" s="18"/>
      <c r="V77" s="18"/>
      <c r="W77" s="18"/>
      <c r="X77" s="18"/>
      <c r="Y77" s="18"/>
    </row>
    <row r="78" spans="1:25" ht="70">
      <c r="B78" s="443"/>
      <c r="C78" s="54"/>
      <c r="D78" s="68" t="str">
        <f>VLOOKUP(A77,'imp-questions'!A:H,7,0)</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56"/>
      <c r="F78" s="90"/>
      <c r="G78" s="91"/>
      <c r="H78" s="67"/>
      <c r="I78" s="430"/>
      <c r="J78" s="109"/>
      <c r="K78" s="415"/>
      <c r="L78" s="398"/>
      <c r="M78" s="399"/>
      <c r="N78" s="31"/>
      <c r="O78" s="31"/>
      <c r="P78" s="18"/>
      <c r="Q78" s="18"/>
      <c r="R78" s="18"/>
      <c r="S78" s="18"/>
      <c r="T78" s="18"/>
      <c r="U78" s="18"/>
      <c r="V78" s="18"/>
      <c r="W78" s="18"/>
      <c r="X78" s="18"/>
      <c r="Y78" s="18"/>
    </row>
    <row r="79" spans="1:25">
      <c r="A79" s="96" t="s">
        <v>98</v>
      </c>
      <c r="B79" s="443"/>
      <c r="C79" s="107">
        <f>VLOOKUP(A79,'imp-questions'!A:H,5,0)</f>
        <v>3</v>
      </c>
      <c r="D79" s="49" t="str">
        <f>VLOOKUP(A79,'imp-questions'!A:H,6,0)</f>
        <v>Do you use a standard requirements framework to streamline the elicitation of security requirements?</v>
      </c>
      <c r="E79" s="50" t="str">
        <f>CHAR(65+VLOOKUP(A79,'imp-questions'!A:H,8,0))</f>
        <v>F</v>
      </c>
      <c r="F79" s="108" t="s">
        <v>85</v>
      </c>
      <c r="G79" s="62">
        <f>IFERROR(VLOOKUP(F79,AnsFTBL,2,0),0)</f>
        <v>1</v>
      </c>
      <c r="H79" s="53">
        <f>IFERROR(AVERAGE(G79,G86),0)</f>
        <v>0.5</v>
      </c>
      <c r="I79" s="431"/>
      <c r="J79" s="109"/>
      <c r="K79" s="416"/>
      <c r="L79" s="398"/>
      <c r="M79" s="399"/>
      <c r="N79" s="31"/>
      <c r="O79" s="31"/>
      <c r="P79" s="18"/>
      <c r="Q79" s="18"/>
      <c r="R79" s="18"/>
      <c r="S79" s="18"/>
      <c r="T79" s="18"/>
      <c r="U79" s="18"/>
      <c r="V79" s="18"/>
      <c r="W79" s="18"/>
      <c r="X79" s="18"/>
      <c r="Y79" s="18"/>
    </row>
    <row r="80" spans="1:25" ht="56">
      <c r="B80" s="443"/>
      <c r="C80" s="65"/>
      <c r="D80" s="55" t="str">
        <f>VLOOKUP(A79,'imp-questions'!A:H,7,0)</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56"/>
      <c r="F80" s="90"/>
      <c r="G80" s="91"/>
      <c r="H80" s="67"/>
      <c r="I80" s="431"/>
      <c r="J80" s="109"/>
      <c r="K80" s="416"/>
      <c r="L80" s="398"/>
      <c r="M80" s="399"/>
      <c r="N80" s="31"/>
      <c r="O80" s="31"/>
      <c r="P80" s="18"/>
      <c r="Q80" s="18"/>
      <c r="R80" s="18"/>
      <c r="S80" s="18"/>
      <c r="T80" s="18"/>
      <c r="U80" s="18"/>
      <c r="V80" s="18"/>
      <c r="W80" s="18"/>
      <c r="X80" s="18"/>
      <c r="Y80" s="18"/>
    </row>
    <row r="81" spans="1:25">
      <c r="B81" s="73"/>
      <c r="C81" s="74"/>
      <c r="D81" s="74"/>
      <c r="E81" s="74"/>
      <c r="F81" s="74"/>
      <c r="G81" s="74"/>
      <c r="H81" s="74"/>
      <c r="I81" s="74"/>
      <c r="J81" s="75"/>
      <c r="K81" s="74"/>
      <c r="L81" s="74"/>
      <c r="M81" s="76"/>
      <c r="N81" s="31"/>
      <c r="O81" s="31"/>
      <c r="P81" s="18"/>
      <c r="Q81" s="18"/>
      <c r="R81" s="18"/>
      <c r="S81" s="18"/>
      <c r="T81" s="18"/>
      <c r="U81" s="18"/>
      <c r="V81" s="18"/>
      <c r="W81" s="18"/>
      <c r="X81" s="18"/>
      <c r="Y81" s="18"/>
    </row>
    <row r="82" spans="1:25">
      <c r="A82" s="96" t="s">
        <v>99</v>
      </c>
      <c r="B82" s="440" t="str">
        <f>VLOOKUP(A82,'imp-questions'!A:H,4,0)</f>
        <v>Supplier Security</v>
      </c>
      <c r="C82" s="107">
        <f>VLOOKUP(A82,'imp-questions'!A:H,5,0)</f>
        <v>1</v>
      </c>
      <c r="D82" s="49" t="str">
        <f>VLOOKUP(A82,'imp-questions'!A:H,6,0)</f>
        <v>Do stakeholders review vendor collaborations for security requirements and methodology?</v>
      </c>
      <c r="E82" s="50" t="str">
        <f>CHAR(65+VLOOKUP(A82,'imp-questions'!A:H,8,0))</f>
        <v>H</v>
      </c>
      <c r="F82" s="121"/>
      <c r="G82" s="62">
        <f>IFERROR(VLOOKUP(F82,AnsHTBL,2,0),0)</f>
        <v>0</v>
      </c>
      <c r="H82" s="63"/>
      <c r="I82" s="436"/>
      <c r="J82" s="111"/>
      <c r="K82" s="442"/>
      <c r="L82" s="398"/>
      <c r="M82" s="399"/>
      <c r="N82" s="31"/>
      <c r="O82" s="31"/>
      <c r="P82" s="18"/>
      <c r="Q82" s="18"/>
      <c r="R82" s="18"/>
      <c r="S82" s="18"/>
      <c r="T82" s="18"/>
      <c r="U82" s="18"/>
      <c r="V82" s="18"/>
      <c r="W82" s="18"/>
      <c r="X82" s="18"/>
      <c r="Y82" s="18"/>
    </row>
    <row r="83" spans="1:25" ht="32" customHeight="1">
      <c r="B83" s="440"/>
      <c r="C83" s="54"/>
      <c r="D83" s="68" t="str">
        <f>VLOOKUP(A82,'imp-questions'!A:H,7,0)</f>
        <v>You consider including specific security requirements, activities, and processes when creating third-party agreements
A vendor questionnaire is available and used to assess the strengths and weaknesses of your suppliers</v>
      </c>
      <c r="E83" s="56"/>
      <c r="F83" s="90"/>
      <c r="G83" s="91"/>
      <c r="H83" s="92"/>
      <c r="I83" s="436"/>
      <c r="J83" s="111"/>
      <c r="K83" s="442"/>
      <c r="L83" s="398"/>
      <c r="M83" s="399"/>
      <c r="N83" s="31"/>
      <c r="O83" s="31"/>
      <c r="P83" s="18"/>
      <c r="Q83" s="18"/>
      <c r="R83" s="18"/>
      <c r="S83" s="18"/>
      <c r="T83" s="18"/>
      <c r="U83" s="18"/>
      <c r="V83" s="18"/>
      <c r="W83" s="18"/>
      <c r="X83" s="18"/>
      <c r="Y83" s="18"/>
    </row>
    <row r="84" spans="1:25">
      <c r="A84" s="96" t="s">
        <v>100</v>
      </c>
      <c r="B84" s="440"/>
      <c r="C84" s="107">
        <f>VLOOKUP(A84,'imp-questions'!A:H,5,0)</f>
        <v>2</v>
      </c>
      <c r="D84" s="49" t="str">
        <f>VLOOKUP(A84,'imp-questions'!A:H,6,0)</f>
        <v>Do vendors meet the security responsibilities and quality measures of service level agreements defined by the organization?</v>
      </c>
      <c r="E84" s="50" t="str">
        <f>CHAR(65+VLOOKUP(A84,'imp-questions'!A:H,8,0))</f>
        <v>H</v>
      </c>
      <c r="F84" s="121"/>
      <c r="G84" s="62">
        <f>IFERROR(VLOOKUP(F84,AnsHTBL,2,0),0)</f>
        <v>0</v>
      </c>
      <c r="H84" s="63"/>
      <c r="I84" s="436"/>
      <c r="J84" s="111"/>
      <c r="K84" s="442"/>
      <c r="L84" s="398"/>
      <c r="M84" s="399"/>
      <c r="N84" s="31"/>
      <c r="O84" s="31"/>
      <c r="P84" s="18"/>
      <c r="Q84" s="18"/>
      <c r="R84" s="18"/>
      <c r="S84" s="18"/>
      <c r="T84" s="18"/>
      <c r="U84" s="18"/>
      <c r="V84" s="18"/>
      <c r="W84" s="18"/>
      <c r="X84" s="18"/>
      <c r="Y84" s="18"/>
    </row>
    <row r="85" spans="1:25" ht="74" customHeight="1">
      <c r="B85" s="440"/>
      <c r="C85" s="54"/>
      <c r="D85" s="68" t="str">
        <f>VLOOKUP(A84,'imp-questions'!A:H,7,0)</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56"/>
      <c r="F85" s="90"/>
      <c r="G85" s="91"/>
      <c r="H85" s="92"/>
      <c r="I85" s="436"/>
      <c r="J85" s="111"/>
      <c r="K85" s="442"/>
      <c r="L85" s="398"/>
      <c r="M85" s="399"/>
      <c r="N85" s="31"/>
      <c r="O85" s="31"/>
      <c r="P85" s="18"/>
      <c r="Q85" s="18"/>
      <c r="R85" s="18"/>
      <c r="S85" s="18"/>
      <c r="T85" s="18"/>
      <c r="U85" s="18"/>
      <c r="V85" s="18"/>
      <c r="W85" s="18"/>
      <c r="X85" s="18"/>
      <c r="Y85" s="18"/>
    </row>
    <row r="86" spans="1:25" ht="28">
      <c r="A86" s="96" t="s">
        <v>101</v>
      </c>
      <c r="B86" s="440"/>
      <c r="C86" s="107">
        <f>VLOOKUP(A86,'imp-questions'!A:H,5,0)</f>
        <v>3</v>
      </c>
      <c r="D86" s="49" t="str">
        <f>VLOOKUP(A86,'imp-questions'!A:H,6,0)</f>
        <v>Are vendors aligned with standard security controls and software development tools and processes that the organization utilizes?</v>
      </c>
      <c r="E86" s="50" t="str">
        <f>CHAR(65+VLOOKUP(A86,'imp-questions'!A:H,8,0))</f>
        <v>H</v>
      </c>
      <c r="F86" s="121"/>
      <c r="G86" s="62">
        <f>IFERROR(VLOOKUP(F86,AnsHTBL,2,0),0)</f>
        <v>0</v>
      </c>
      <c r="H86" s="63"/>
      <c r="I86" s="436"/>
      <c r="J86" s="111"/>
      <c r="K86" s="442"/>
      <c r="L86" s="398"/>
      <c r="M86" s="399"/>
      <c r="N86" s="31"/>
      <c r="O86" s="31"/>
      <c r="P86" s="18"/>
      <c r="Q86" s="18"/>
      <c r="R86" s="18"/>
      <c r="S86" s="18"/>
      <c r="T86" s="18"/>
      <c r="U86" s="18"/>
      <c r="V86" s="18"/>
      <c r="W86" s="18"/>
      <c r="X86" s="18"/>
      <c r="Y86" s="18"/>
    </row>
    <row r="87" spans="1:25" ht="72" customHeight="1">
      <c r="B87" s="440"/>
      <c r="C87" s="65"/>
      <c r="D87" s="55" t="str">
        <f>VLOOKUP(A86,'imp-questions'!A:H,7,0)</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56"/>
      <c r="F87" s="90"/>
      <c r="G87" s="91"/>
      <c r="H87" s="92"/>
      <c r="I87" s="436"/>
      <c r="J87" s="111"/>
      <c r="K87" s="442"/>
      <c r="L87" s="398"/>
      <c r="M87" s="399"/>
      <c r="N87" s="31"/>
      <c r="O87" s="31"/>
      <c r="P87" s="18"/>
      <c r="Q87" s="18"/>
      <c r="R87" s="18"/>
      <c r="S87" s="18"/>
      <c r="T87" s="18"/>
      <c r="U87" s="18"/>
      <c r="V87" s="18"/>
      <c r="W87" s="18"/>
      <c r="X87" s="18"/>
      <c r="Y87" s="18"/>
    </row>
    <row r="88" spans="1:25" ht="13.25" customHeight="1">
      <c r="B88" s="439" t="s">
        <v>102</v>
      </c>
      <c r="C88" s="439"/>
      <c r="D88" s="439"/>
      <c r="E88" s="112"/>
      <c r="F88" s="113" t="s">
        <v>52</v>
      </c>
      <c r="G88" s="113"/>
      <c r="H88" s="114"/>
      <c r="I88" s="115" t="s">
        <v>53</v>
      </c>
      <c r="J88" s="116" t="s">
        <v>54</v>
      </c>
      <c r="K88" s="117"/>
      <c r="L88" s="118"/>
      <c r="M88" s="119"/>
      <c r="N88" s="31"/>
      <c r="O88" s="31"/>
      <c r="P88" s="18"/>
      <c r="Q88" s="18"/>
      <c r="R88" s="18"/>
      <c r="S88" s="18"/>
      <c r="T88" s="18"/>
      <c r="U88" s="18"/>
      <c r="V88" s="18"/>
      <c r="W88" s="18"/>
      <c r="X88" s="18"/>
      <c r="Y88" s="18"/>
    </row>
    <row r="89" spans="1:25" ht="14" customHeight="1">
      <c r="A89" s="96" t="s">
        <v>103</v>
      </c>
      <c r="B89" s="440" t="str">
        <f>VLOOKUP(A89,'imp-questions'!A:H,4,0)</f>
        <v>Architecture Design</v>
      </c>
      <c r="C89" s="107">
        <f>VLOOKUP(A89,'imp-questions'!A:H,5,0)</f>
        <v>1</v>
      </c>
      <c r="D89" s="49" t="str">
        <f>VLOOKUP(A89,'imp-questions'!A:H,6,0)</f>
        <v>Do teams use security principles during design?</v>
      </c>
      <c r="E89" s="50" t="str">
        <f>CHAR(65+VLOOKUP(A89,'imp-questions'!A:H,8,0))</f>
        <v>F</v>
      </c>
      <c r="F89" s="108" t="s">
        <v>85</v>
      </c>
      <c r="G89" s="62">
        <f>IFERROR(VLOOKUP(F89,AnsFTBL,2,0),0)</f>
        <v>1</v>
      </c>
      <c r="H89" s="53">
        <f>IFERROR(AVERAGE(G89,G96),0)</f>
        <v>0.5</v>
      </c>
      <c r="I89" s="396"/>
      <c r="J89" s="441">
        <f>SUM(H89,H91,H93)</f>
        <v>0.5</v>
      </c>
      <c r="K89" s="405"/>
      <c r="L89" s="398" t="s">
        <v>29</v>
      </c>
      <c r="M89" s="399" t="s">
        <v>30</v>
      </c>
      <c r="N89" s="31"/>
      <c r="O89" s="31"/>
      <c r="P89" s="18"/>
      <c r="Q89" s="18"/>
      <c r="R89" s="18"/>
      <c r="S89" s="18"/>
      <c r="T89" s="18"/>
      <c r="U89" s="18"/>
      <c r="V89" s="18"/>
      <c r="W89" s="18"/>
      <c r="X89" s="18"/>
      <c r="Y89" s="18"/>
    </row>
    <row r="90" spans="1:25" ht="42">
      <c r="B90" s="440"/>
      <c r="C90" s="54"/>
      <c r="D90" s="68" t="str">
        <f>VLOOKUP(A89,'imp-questions'!A:H,7,0)</f>
        <v>You have an agreed upon checklist of security principles
You store your checklist in an accessible location
Relevant stakeholders understand security principles</v>
      </c>
      <c r="E90" s="56"/>
      <c r="F90" s="90"/>
      <c r="G90" s="91"/>
      <c r="H90" s="59"/>
      <c r="I90" s="396"/>
      <c r="J90" s="441"/>
      <c r="K90" s="405"/>
      <c r="L90" s="398"/>
      <c r="M90" s="399"/>
      <c r="N90" s="31"/>
      <c r="O90" s="31"/>
      <c r="P90" s="18"/>
      <c r="Q90" s="18"/>
      <c r="R90" s="18"/>
      <c r="S90" s="18"/>
      <c r="T90" s="18"/>
      <c r="U90" s="18"/>
      <c r="V90" s="18"/>
      <c r="W90" s="18"/>
      <c r="X90" s="18"/>
      <c r="Y90" s="18"/>
    </row>
    <row r="91" spans="1:25">
      <c r="A91" s="96" t="s">
        <v>104</v>
      </c>
      <c r="B91" s="440"/>
      <c r="C91" s="107">
        <f>VLOOKUP(A91,'imp-questions'!A:H,5,0)</f>
        <v>2</v>
      </c>
      <c r="D91" s="49" t="str">
        <f>VLOOKUP(A91,'imp-questions'!A:H,6,0)</f>
        <v>Do you use shared security services during design?</v>
      </c>
      <c r="E91" s="50" t="str">
        <f>CHAR(65+VLOOKUP(A91,'imp-questions'!A:H,8,0))</f>
        <v>F</v>
      </c>
      <c r="F91" s="108"/>
      <c r="G91" s="62">
        <f>IFERROR(VLOOKUP(F91,AnsFTBL,2,0),0)</f>
        <v>0</v>
      </c>
      <c r="H91" s="53">
        <f>IFERROR(AVERAGE(G91,G98),0)</f>
        <v>0</v>
      </c>
      <c r="I91" s="430"/>
      <c r="J91" s="109"/>
      <c r="K91" s="415"/>
      <c r="L91" s="398"/>
      <c r="M91" s="399"/>
      <c r="N91" s="31"/>
      <c r="O91" s="31"/>
      <c r="P91" s="18"/>
      <c r="Q91" s="18"/>
      <c r="R91" s="18"/>
      <c r="S91" s="18"/>
      <c r="T91" s="18"/>
      <c r="U91" s="18"/>
      <c r="V91" s="18"/>
      <c r="W91" s="18"/>
      <c r="X91" s="18"/>
      <c r="Y91" s="18"/>
    </row>
    <row r="92" spans="1:25" ht="42">
      <c r="B92" s="440"/>
      <c r="C92" s="54"/>
      <c r="D92" s="68" t="str">
        <f>VLOOKUP(A91,'imp-questions'!A:H,7,0)</f>
        <v>You have a documented list of reusable security services, available to relevant stakeholders
You have reviewed the baseline security posture for each selected service
Your designers are trained to integrate each selected service following available guidance</v>
      </c>
      <c r="E92" s="56"/>
      <c r="F92" s="90"/>
      <c r="G92" s="91"/>
      <c r="H92" s="67"/>
      <c r="I92" s="430"/>
      <c r="J92" s="109"/>
      <c r="K92" s="415"/>
      <c r="L92" s="398"/>
      <c r="M92" s="399"/>
      <c r="N92" s="31"/>
      <c r="O92" s="31"/>
      <c r="P92" s="18"/>
      <c r="Q92" s="18"/>
      <c r="R92" s="18"/>
      <c r="S92" s="18"/>
      <c r="T92" s="18"/>
      <c r="U92" s="18"/>
      <c r="V92" s="18"/>
      <c r="W92" s="18"/>
      <c r="X92" s="18"/>
      <c r="Y92" s="18"/>
    </row>
    <row r="93" spans="1:25">
      <c r="A93" s="96" t="s">
        <v>105</v>
      </c>
      <c r="B93" s="440"/>
      <c r="C93" s="107">
        <f>VLOOKUP(A93,'imp-questions'!A:H,5,0)</f>
        <v>3</v>
      </c>
      <c r="D93" s="49" t="str">
        <f>VLOOKUP(A93,'imp-questions'!A:H,6,0)</f>
        <v>Do you base your design on available reference architectures?</v>
      </c>
      <c r="E93" s="50" t="str">
        <f>CHAR(65+VLOOKUP(A93,'imp-questions'!A:H,8,0))</f>
        <v>F</v>
      </c>
      <c r="F93" s="108"/>
      <c r="G93" s="62">
        <f>IFERROR(VLOOKUP(F93,AnsFTBL,2,0),0)</f>
        <v>0</v>
      </c>
      <c r="H93" s="53">
        <f>IFERROR(AVERAGE(G93,G100),0)</f>
        <v>0</v>
      </c>
      <c r="I93" s="431"/>
      <c r="J93" s="109"/>
      <c r="K93" s="416"/>
      <c r="L93" s="398"/>
      <c r="M93" s="399"/>
      <c r="N93" s="31"/>
      <c r="O93" s="31"/>
      <c r="P93" s="18"/>
      <c r="Q93" s="18"/>
      <c r="R93" s="18"/>
      <c r="S93" s="18"/>
      <c r="T93" s="18"/>
      <c r="U93" s="18"/>
      <c r="V93" s="18"/>
      <c r="W93" s="18"/>
      <c r="X93" s="18"/>
      <c r="Y93" s="18"/>
    </row>
    <row r="94" spans="1:25" ht="42">
      <c r="B94" s="440"/>
      <c r="C94" s="65"/>
      <c r="D94" s="55" t="str">
        <f>VLOOKUP(A93,'imp-questions'!A:H,7,0)</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56"/>
      <c r="F94" s="90"/>
      <c r="G94" s="91"/>
      <c r="H94" s="67"/>
      <c r="I94" s="431"/>
      <c r="J94" s="109"/>
      <c r="K94" s="416"/>
      <c r="L94" s="398"/>
      <c r="M94" s="399"/>
      <c r="N94" s="31"/>
      <c r="O94" s="31"/>
      <c r="P94" s="18"/>
      <c r="Q94" s="18"/>
      <c r="R94" s="18"/>
      <c r="S94" s="18"/>
      <c r="T94" s="18"/>
      <c r="U94" s="18"/>
      <c r="V94" s="18"/>
      <c r="W94" s="18"/>
      <c r="X94" s="18"/>
      <c r="Y94" s="18"/>
    </row>
    <row r="95" spans="1:25">
      <c r="B95" s="73"/>
      <c r="C95" s="74"/>
      <c r="D95" s="74"/>
      <c r="E95" s="74"/>
      <c r="F95" s="74"/>
      <c r="G95" s="74"/>
      <c r="H95" s="74"/>
      <c r="I95" s="74"/>
      <c r="J95" s="75"/>
      <c r="K95" s="74"/>
      <c r="L95" s="74"/>
      <c r="M95" s="76"/>
      <c r="N95" s="31"/>
      <c r="O95" s="31"/>
      <c r="P95" s="18"/>
      <c r="Q95" s="18"/>
      <c r="R95" s="18"/>
      <c r="S95" s="18"/>
      <c r="T95" s="18"/>
      <c r="U95" s="18"/>
      <c r="V95" s="18"/>
      <c r="W95" s="18"/>
      <c r="X95" s="18"/>
      <c r="Y95" s="18"/>
    </row>
    <row r="96" spans="1:25">
      <c r="A96" s="96" t="s">
        <v>106</v>
      </c>
      <c r="B96" s="435" t="str">
        <f>VLOOKUP(A96,'imp-questions'!A:H,4,0)</f>
        <v>Technology Management</v>
      </c>
      <c r="C96" s="107">
        <f>VLOOKUP(A96,'imp-questions'!A:H,5,0)</f>
        <v>1</v>
      </c>
      <c r="D96" s="49" t="str">
        <f>VLOOKUP(A96,'imp-questions'!A:H,6,0)</f>
        <v>Do you evaluate the security quality of important technologies used for development?</v>
      </c>
      <c r="E96" s="50" t="str">
        <f>CHAR(65+VLOOKUP(A96,'imp-questions'!A:H,8,0))</f>
        <v>F</v>
      </c>
      <c r="F96" s="108"/>
      <c r="G96" s="62">
        <f>IFERROR(VLOOKUP(F96,AnsFTBL,2,0),0)</f>
        <v>0</v>
      </c>
      <c r="H96" s="63"/>
      <c r="I96" s="436"/>
      <c r="J96" s="111"/>
      <c r="K96" s="437"/>
      <c r="L96" s="398"/>
      <c r="M96" s="399"/>
      <c r="N96" s="31"/>
      <c r="O96" s="31"/>
      <c r="P96" s="18"/>
      <c r="Q96" s="18"/>
      <c r="R96" s="18"/>
      <c r="S96" s="18"/>
      <c r="T96" s="18"/>
      <c r="U96" s="18"/>
      <c r="V96" s="18"/>
      <c r="W96" s="18"/>
      <c r="X96" s="18"/>
      <c r="Y96" s="18"/>
    </row>
    <row r="97" spans="1:25" ht="42">
      <c r="B97" s="435"/>
      <c r="C97" s="54"/>
      <c r="D97" s="68" t="str">
        <f>VLOOKUP(A96,'imp-questions'!A:H,7,0)</f>
        <v>You have a list of the most important technologies used in or in support of each application
You identify and track technological risks
You ensure the risks to these technologies are in line with the organizational baseline</v>
      </c>
      <c r="E97" s="56"/>
      <c r="F97" s="90"/>
      <c r="G97" s="91"/>
      <c r="H97" s="92"/>
      <c r="I97" s="436"/>
      <c r="J97" s="111"/>
      <c r="K97" s="437"/>
      <c r="L97" s="398"/>
      <c r="M97" s="399"/>
      <c r="N97" s="31"/>
      <c r="O97" s="31"/>
      <c r="P97" s="18"/>
      <c r="Q97" s="18"/>
      <c r="R97" s="18"/>
      <c r="S97" s="18"/>
      <c r="T97" s="18"/>
      <c r="U97" s="18"/>
      <c r="V97" s="18"/>
      <c r="W97" s="18"/>
      <c r="X97" s="18"/>
      <c r="Y97" s="18"/>
    </row>
    <row r="98" spans="1:25">
      <c r="A98" s="96" t="s">
        <v>107</v>
      </c>
      <c r="B98" s="435"/>
      <c r="C98" s="107">
        <f>VLOOKUP(A98,'imp-questions'!A:H,5,0)</f>
        <v>2</v>
      </c>
      <c r="D98" s="49" t="str">
        <f>VLOOKUP(A98,'imp-questions'!A:H,6,0)</f>
        <v>Do you have a list of recommended technologies for the organization?</v>
      </c>
      <c r="E98" s="50" t="str">
        <f>CHAR(65+VLOOKUP(A98,'imp-questions'!A:H,8,0))</f>
        <v>U</v>
      </c>
      <c r="F98" s="121"/>
      <c r="G98" s="62">
        <f>IFERROR(VLOOKUP(F98,AnsUTBL,2,0),0)</f>
        <v>0</v>
      </c>
      <c r="H98" s="63"/>
      <c r="I98" s="436"/>
      <c r="J98" s="111"/>
      <c r="K98" s="437"/>
      <c r="L98" s="398"/>
      <c r="M98" s="399"/>
      <c r="N98" s="31"/>
      <c r="O98" s="31"/>
      <c r="P98" s="18"/>
      <c r="Q98" s="18"/>
      <c r="R98" s="18"/>
      <c r="S98" s="18"/>
      <c r="T98" s="18"/>
      <c r="U98" s="18"/>
      <c r="V98" s="18"/>
      <c r="W98" s="18"/>
      <c r="X98" s="18"/>
      <c r="Y98" s="18"/>
    </row>
    <row r="99" spans="1:25" ht="56">
      <c r="B99" s="435"/>
      <c r="C99" s="54"/>
      <c r="D99" s="68" t="str">
        <f>VLOOKUP(A98,'imp-questions'!A:H,7,0)</f>
        <v>The list is based on technologies used in the software portfolio
Lead architects and developers review and approve the list
You share the list across the organization
You review and update the list at least yearly</v>
      </c>
      <c r="E99" s="56"/>
      <c r="F99" s="90"/>
      <c r="G99" s="91"/>
      <c r="H99" s="92"/>
      <c r="I99" s="436"/>
      <c r="J99" s="111"/>
      <c r="K99" s="437"/>
      <c r="L99" s="398"/>
      <c r="M99" s="399"/>
      <c r="N99" s="31"/>
      <c r="O99" s="31"/>
      <c r="P99" s="18"/>
      <c r="Q99" s="18"/>
      <c r="R99" s="18"/>
      <c r="S99" s="18"/>
      <c r="T99" s="18"/>
      <c r="U99" s="18"/>
      <c r="V99" s="18"/>
      <c r="W99" s="18"/>
      <c r="X99" s="18"/>
      <c r="Y99" s="18"/>
    </row>
    <row r="100" spans="1:25">
      <c r="A100" s="96" t="s">
        <v>108</v>
      </c>
      <c r="B100" s="435"/>
      <c r="C100" s="107">
        <f>VLOOKUP(A100,'imp-questions'!A:H,5,0)</f>
        <v>3</v>
      </c>
      <c r="D100" s="49" t="str">
        <f>VLOOKUP(A100,'imp-questions'!A:H,6,0)</f>
        <v>Do you enforce the use of recommended technologies within the organization?</v>
      </c>
      <c r="E100" s="50" t="str">
        <f>CHAR(65+VLOOKUP(A100,'imp-questions'!A:H,8,0))</f>
        <v>F</v>
      </c>
      <c r="F100" s="108"/>
      <c r="G100" s="62">
        <f>IFERROR(VLOOKUP(F100,AnsFTBL,2,0),0)</f>
        <v>0</v>
      </c>
      <c r="H100" s="63"/>
      <c r="I100" s="438"/>
      <c r="J100" s="111"/>
      <c r="K100" s="397"/>
      <c r="L100" s="398"/>
      <c r="M100" s="399"/>
      <c r="N100" s="31"/>
      <c r="O100" s="31"/>
      <c r="P100" s="18"/>
      <c r="Q100" s="18"/>
      <c r="R100" s="18"/>
      <c r="S100" s="18"/>
      <c r="T100" s="18"/>
      <c r="U100" s="18"/>
      <c r="V100" s="18"/>
      <c r="W100" s="18"/>
      <c r="X100" s="18"/>
      <c r="Y100" s="18"/>
    </row>
    <row r="101" spans="1:25" ht="42">
      <c r="B101" s="435"/>
      <c r="C101" s="54"/>
      <c r="D101" s="68" t="str">
        <f>VLOOKUP(A100,'imp-questions'!A:H,7,0)</f>
        <v>You monitor applications regularly for the correct use of the recommended technologies
You solve violations against the list accoranding to organizational policies
You take action if the number of violations falls outside the yearly objectives</v>
      </c>
      <c r="E101" s="69"/>
      <c r="F101" s="93"/>
      <c r="G101" s="94"/>
      <c r="H101" s="95"/>
      <c r="I101" s="438"/>
      <c r="J101" s="111"/>
      <c r="K101" s="397"/>
      <c r="L101" s="398"/>
      <c r="M101" s="399"/>
      <c r="N101" s="31"/>
      <c r="O101" s="31"/>
      <c r="P101" s="18"/>
      <c r="Q101" s="18"/>
      <c r="R101" s="18"/>
      <c r="S101" s="18"/>
      <c r="T101" s="18"/>
      <c r="U101" s="18"/>
      <c r="V101" s="18"/>
      <c r="W101" s="18"/>
      <c r="X101" s="18"/>
      <c r="Y101" s="18"/>
    </row>
    <row r="102" spans="1:25" ht="12.75" customHeight="1">
      <c r="B102" s="434" t="s">
        <v>109</v>
      </c>
      <c r="C102" s="434"/>
      <c r="D102" s="434"/>
      <c r="E102" s="434"/>
      <c r="F102" s="434"/>
      <c r="G102" s="434"/>
      <c r="H102" s="434"/>
      <c r="I102" s="434"/>
      <c r="J102" s="434"/>
      <c r="K102" s="122"/>
      <c r="L102" s="122"/>
      <c r="M102" s="123"/>
      <c r="N102" s="31"/>
      <c r="O102" s="31"/>
      <c r="P102" s="18"/>
      <c r="Q102" s="18"/>
      <c r="R102" s="18"/>
      <c r="S102" s="18"/>
      <c r="T102" s="18"/>
      <c r="U102" s="18"/>
      <c r="V102" s="18"/>
      <c r="W102" s="18"/>
      <c r="X102" s="18"/>
      <c r="Y102" s="18"/>
    </row>
    <row r="103" spans="1:25" ht="12.75" customHeight="1">
      <c r="B103" s="424" t="s">
        <v>110</v>
      </c>
      <c r="C103" s="424"/>
      <c r="D103" s="424"/>
      <c r="E103" s="125"/>
      <c r="F103" s="124" t="s">
        <v>52</v>
      </c>
      <c r="G103" s="124"/>
      <c r="H103" s="126"/>
      <c r="I103" s="127" t="s">
        <v>53</v>
      </c>
      <c r="J103" s="128" t="s">
        <v>54</v>
      </c>
      <c r="K103" s="129"/>
      <c r="L103" s="130"/>
      <c r="M103" s="131"/>
      <c r="N103" s="31"/>
      <c r="O103" s="31"/>
      <c r="P103" s="18"/>
      <c r="Q103" s="18"/>
      <c r="R103" s="18"/>
      <c r="S103" s="18"/>
      <c r="T103" s="18"/>
      <c r="U103" s="18"/>
      <c r="V103" s="18"/>
      <c r="W103" s="18"/>
      <c r="X103" s="18"/>
      <c r="Y103" s="18"/>
    </row>
    <row r="104" spans="1:25" ht="23.75" customHeight="1">
      <c r="A104" s="96" t="s">
        <v>111</v>
      </c>
      <c r="B104" s="423" t="str">
        <f>VLOOKUP(A104,'imp-questions'!A:H,4,0)</f>
        <v>Build Process</v>
      </c>
      <c r="C104" s="133">
        <f>VLOOKUP(A104,'imp-questions'!A:H,5,0)</f>
        <v>1</v>
      </c>
      <c r="D104" s="49" t="str">
        <f>VLOOKUP(A104,'imp-questions'!A:H,6,0)</f>
        <v>Is your full build process formally described?</v>
      </c>
      <c r="E104" s="50" t="str">
        <f>CHAR(65+VLOOKUP(A104,'imp-questions'!A:H,8,0))</f>
        <v>F</v>
      </c>
      <c r="F104" s="108" t="s">
        <v>85</v>
      </c>
      <c r="G104" s="62">
        <f>IFERROR(VLOOKUP(F104,AnsFTBL,2,0),0)</f>
        <v>1</v>
      </c>
      <c r="H104" s="53">
        <f>IFERROR(AVERAGE(G104,G111),0)</f>
        <v>1</v>
      </c>
      <c r="I104" s="396"/>
      <c r="J104" s="425">
        <f>SUM(H104,H106,H108)</f>
        <v>2.5</v>
      </c>
      <c r="K104" s="405"/>
      <c r="L104" s="398" t="s">
        <v>29</v>
      </c>
      <c r="M104" s="399" t="s">
        <v>30</v>
      </c>
      <c r="N104" s="31"/>
      <c r="O104" s="31"/>
      <c r="P104" s="18"/>
      <c r="Q104" s="18"/>
      <c r="R104" s="18"/>
      <c r="S104" s="18"/>
      <c r="T104" s="18"/>
      <c r="U104" s="18"/>
      <c r="V104" s="18"/>
      <c r="W104" s="18"/>
      <c r="X104" s="18"/>
      <c r="Y104" s="18"/>
    </row>
    <row r="105" spans="1:25" ht="70">
      <c r="B105" s="423"/>
      <c r="C105" s="54"/>
      <c r="D105" s="68" t="str">
        <f>VLOOKUP(A104,'imp-questions'!A:H,7,0)</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56"/>
      <c r="F105" s="90"/>
      <c r="G105" s="91"/>
      <c r="H105" s="59"/>
      <c r="I105" s="396"/>
      <c r="J105" s="425"/>
      <c r="K105" s="405"/>
      <c r="L105" s="398"/>
      <c r="M105" s="399"/>
      <c r="N105" s="31"/>
      <c r="O105" s="31"/>
      <c r="P105" s="18"/>
      <c r="Q105" s="18"/>
      <c r="R105" s="18"/>
      <c r="S105" s="18"/>
      <c r="T105" s="18"/>
      <c r="U105" s="18"/>
      <c r="V105" s="18"/>
      <c r="W105" s="18"/>
      <c r="X105" s="18"/>
      <c r="Y105" s="18"/>
    </row>
    <row r="106" spans="1:25">
      <c r="A106" s="96" t="s">
        <v>112</v>
      </c>
      <c r="B106" s="423"/>
      <c r="C106" s="133">
        <f>VLOOKUP(A106,'imp-questions'!A:H,5,0)</f>
        <v>2</v>
      </c>
      <c r="D106" s="49" t="str">
        <f>VLOOKUP(A106,'imp-questions'!A:H,6,0)</f>
        <v>Is the build process fully automated?</v>
      </c>
      <c r="E106" s="50" t="str">
        <f>CHAR(65+VLOOKUP(A106,'imp-questions'!A:H,8,0))</f>
        <v>F</v>
      </c>
      <c r="F106" s="108" t="s">
        <v>85</v>
      </c>
      <c r="G106" s="62">
        <f>IFERROR(VLOOKUP(F106,AnsFTBL,2,0),0)</f>
        <v>1</v>
      </c>
      <c r="H106" s="53">
        <f>IFERROR(AVERAGE(G106,G113),0)</f>
        <v>1</v>
      </c>
      <c r="I106" s="430"/>
      <c r="J106" s="109"/>
      <c r="K106" s="415"/>
      <c r="L106" s="398"/>
      <c r="M106" s="399"/>
      <c r="N106" s="31"/>
      <c r="O106" s="31"/>
      <c r="P106" s="18"/>
      <c r="Q106" s="18"/>
      <c r="R106" s="18"/>
      <c r="S106" s="18"/>
      <c r="T106" s="18"/>
      <c r="U106" s="18"/>
      <c r="V106" s="18"/>
      <c r="W106" s="18"/>
      <c r="X106" s="18"/>
      <c r="Y106" s="18"/>
    </row>
    <row r="107" spans="1:25" ht="42">
      <c r="B107" s="423"/>
      <c r="C107" s="54"/>
      <c r="D107" s="68" t="str">
        <f>VLOOKUP(A106,'imp-questions'!A:H,7,0)</f>
        <v>The build process itself doesn't require any human interaction
Your build tools are hardened as per best practice and vendor guidance
You encrypt the secrets required by the build tools and control access based on the principle of least privilege</v>
      </c>
      <c r="E107" s="56"/>
      <c r="F107" s="90"/>
      <c r="G107" s="91"/>
      <c r="H107" s="67"/>
      <c r="I107" s="430"/>
      <c r="J107" s="109"/>
      <c r="K107" s="415"/>
      <c r="L107" s="398"/>
      <c r="M107" s="399"/>
      <c r="N107" s="31"/>
      <c r="O107" s="31"/>
      <c r="P107" s="18"/>
      <c r="Q107" s="18"/>
      <c r="R107" s="18"/>
      <c r="S107" s="18"/>
      <c r="T107" s="18"/>
      <c r="U107" s="18"/>
      <c r="V107" s="18"/>
      <c r="W107" s="18"/>
      <c r="X107" s="18"/>
      <c r="Y107" s="18"/>
    </row>
    <row r="108" spans="1:25">
      <c r="A108" s="96" t="s">
        <v>113</v>
      </c>
      <c r="B108" s="423"/>
      <c r="C108" s="133">
        <f>VLOOKUP(A108,'imp-questions'!A:H,5,0)</f>
        <v>3</v>
      </c>
      <c r="D108" s="49" t="str">
        <f>VLOOKUP(A108,'imp-questions'!A:H,6,0)</f>
        <v>Do you enforce automated security checks in your build processes?</v>
      </c>
      <c r="E108" s="50" t="str">
        <f>CHAR(65+VLOOKUP(A108,'imp-questions'!A:H,8,0))</f>
        <v>F</v>
      </c>
      <c r="F108" s="108" t="s">
        <v>85</v>
      </c>
      <c r="G108" s="62">
        <f>IFERROR(VLOOKUP(F108,AnsFTBL,2,0),0)</f>
        <v>1</v>
      </c>
      <c r="H108" s="53">
        <f>IFERROR(AVERAGE(G108,G115),0)</f>
        <v>0.5</v>
      </c>
      <c r="I108" s="431"/>
      <c r="J108" s="109"/>
      <c r="K108" s="416"/>
      <c r="L108" s="398"/>
      <c r="M108" s="399"/>
      <c r="N108" s="31"/>
      <c r="O108" s="31"/>
      <c r="P108" s="18"/>
      <c r="Q108" s="18"/>
      <c r="R108" s="18"/>
      <c r="S108" s="18"/>
      <c r="T108" s="18"/>
      <c r="U108" s="18"/>
      <c r="V108" s="18"/>
      <c r="W108" s="18"/>
      <c r="X108" s="18"/>
      <c r="Y108" s="18"/>
    </row>
    <row r="109" spans="1:25" ht="56">
      <c r="B109" s="423"/>
      <c r="C109" s="65"/>
      <c r="D109" s="55" t="str">
        <f>VLOOKUP(A108,'imp-questions'!A:H,7,0)</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56"/>
      <c r="F109" s="90"/>
      <c r="G109" s="91"/>
      <c r="H109" s="67"/>
      <c r="I109" s="431"/>
      <c r="J109" s="109"/>
      <c r="K109" s="416"/>
      <c r="L109" s="398"/>
      <c r="M109" s="399"/>
      <c r="N109" s="31"/>
      <c r="O109" s="31"/>
      <c r="P109" s="18"/>
      <c r="Q109" s="18"/>
      <c r="R109" s="18"/>
      <c r="S109" s="18"/>
      <c r="T109" s="18"/>
      <c r="U109" s="18"/>
      <c r="V109" s="18"/>
      <c r="W109" s="18"/>
      <c r="X109" s="18"/>
      <c r="Y109" s="18"/>
    </row>
    <row r="110" spans="1:25">
      <c r="B110" s="73"/>
      <c r="C110" s="74"/>
      <c r="D110" s="74"/>
      <c r="E110" s="74"/>
      <c r="F110" s="74"/>
      <c r="G110" s="74"/>
      <c r="H110" s="74"/>
      <c r="I110" s="74"/>
      <c r="J110" s="75"/>
      <c r="K110" s="74"/>
      <c r="L110" s="74"/>
      <c r="M110" s="76"/>
      <c r="N110" s="31"/>
      <c r="O110" s="31"/>
      <c r="P110" s="18"/>
      <c r="Q110" s="18"/>
      <c r="R110" s="18"/>
      <c r="S110" s="18"/>
      <c r="T110" s="18"/>
      <c r="U110" s="18"/>
      <c r="V110" s="18"/>
      <c r="W110" s="18"/>
      <c r="X110" s="18"/>
      <c r="Y110" s="18"/>
    </row>
    <row r="111" spans="1:25" ht="23.75" customHeight="1">
      <c r="A111" s="96" t="s">
        <v>114</v>
      </c>
      <c r="B111" s="432" t="str">
        <f>VLOOKUP(A111,'imp-questions'!A:H,4,0)</f>
        <v>Software Dependencies</v>
      </c>
      <c r="C111" s="133">
        <f>VLOOKUP(A111,'imp-questions'!A:H,5,0)</f>
        <v>1</v>
      </c>
      <c r="D111" s="49" t="str">
        <f>VLOOKUP(A111,'imp-questions'!A:H,6,0)</f>
        <v>Do you have solid knowledge about dependencies you're relying on?</v>
      </c>
      <c r="E111" s="50" t="str">
        <f>CHAR(65+VLOOKUP(A111,'imp-questions'!A:H,8,0))</f>
        <v>F</v>
      </c>
      <c r="F111" s="108" t="s">
        <v>85</v>
      </c>
      <c r="G111" s="62">
        <f>IFERROR(VLOOKUP(F111,AnsFTBL,2,0),0)</f>
        <v>1</v>
      </c>
      <c r="H111" s="63"/>
      <c r="I111" s="396" t="s">
        <v>115</v>
      </c>
      <c r="J111" s="111"/>
      <c r="K111" s="405"/>
      <c r="L111" s="398" t="s">
        <v>29</v>
      </c>
      <c r="M111" s="399" t="s">
        <v>30</v>
      </c>
      <c r="N111" s="31"/>
      <c r="O111" s="31"/>
      <c r="P111" s="18"/>
      <c r="Q111" s="18"/>
      <c r="R111" s="18"/>
      <c r="S111" s="18"/>
      <c r="T111" s="18"/>
      <c r="U111" s="18"/>
      <c r="V111" s="18"/>
      <c r="W111" s="18"/>
      <c r="X111" s="18"/>
      <c r="Y111" s="18"/>
    </row>
    <row r="112" spans="1:25" ht="42">
      <c r="B112" s="432"/>
      <c r="C112" s="54"/>
      <c r="D112" s="68" t="str">
        <f>VLOOKUP(A111,'imp-questions'!A:H,7,0)</f>
        <v>You have a current bill of materials (BOM) for every application
You can quickly find out which applications are affected by a particular CVE
You have analyzed, addressed, and documented findings from dependencies at least once in the last three months</v>
      </c>
      <c r="E112" s="56"/>
      <c r="F112" s="90"/>
      <c r="G112" s="91"/>
      <c r="H112" s="92"/>
      <c r="I112" s="396"/>
      <c r="J112" s="111"/>
      <c r="K112" s="405"/>
      <c r="L112" s="398"/>
      <c r="M112" s="399"/>
      <c r="N112" s="31"/>
      <c r="O112" s="31"/>
      <c r="P112" s="18"/>
      <c r="Q112" s="18"/>
      <c r="R112" s="18"/>
      <c r="S112" s="18"/>
      <c r="T112" s="18"/>
      <c r="U112" s="18"/>
      <c r="V112" s="18"/>
      <c r="W112" s="18"/>
      <c r="X112" s="18"/>
      <c r="Y112" s="18"/>
    </row>
    <row r="113" spans="1:25">
      <c r="A113" s="96" t="s">
        <v>116</v>
      </c>
      <c r="B113" s="432"/>
      <c r="C113" s="133">
        <f>VLOOKUP(A113,'imp-questions'!A:H,5,0)</f>
        <v>2</v>
      </c>
      <c r="D113" s="49" t="str">
        <f>VLOOKUP(A113,'imp-questions'!A:H,6,0)</f>
        <v>Do you handle 3rd party dependency risk by a formal process?</v>
      </c>
      <c r="E113" s="50" t="str">
        <f>CHAR(65+VLOOKUP(A113,'imp-questions'!A:H,8,0))</f>
        <v>F</v>
      </c>
      <c r="F113" s="108" t="s">
        <v>85</v>
      </c>
      <c r="G113" s="62">
        <f>IFERROR(VLOOKUP(F113,AnsFTBL,2,0),0)</f>
        <v>1</v>
      </c>
      <c r="H113" s="63"/>
      <c r="I113" s="396" t="s">
        <v>117</v>
      </c>
      <c r="J113" s="111"/>
      <c r="K113" s="405"/>
      <c r="L113" s="398"/>
      <c r="M113" s="399"/>
      <c r="N113" s="31"/>
      <c r="O113" s="31"/>
      <c r="P113" s="18"/>
      <c r="Q113" s="18"/>
      <c r="R113" s="18"/>
      <c r="S113" s="18"/>
      <c r="T113" s="18"/>
      <c r="U113" s="18"/>
      <c r="V113" s="18"/>
      <c r="W113" s="18"/>
      <c r="X113" s="18"/>
      <c r="Y113" s="18"/>
    </row>
    <row r="114" spans="1:25" ht="70">
      <c r="B114" s="432"/>
      <c r="C114" s="54"/>
      <c r="D114" s="68" t="str">
        <f>VLOOKUP(A113,'imp-questions'!A:H,7,0)</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56"/>
      <c r="F114" s="90"/>
      <c r="G114" s="91"/>
      <c r="H114" s="92"/>
      <c r="I114" s="396"/>
      <c r="J114" s="111"/>
      <c r="K114" s="405"/>
      <c r="L114" s="398"/>
      <c r="M114" s="399"/>
      <c r="N114" s="31"/>
      <c r="O114" s="31"/>
      <c r="P114" s="18"/>
      <c r="Q114" s="18"/>
      <c r="R114" s="18"/>
      <c r="S114" s="18"/>
      <c r="T114" s="18"/>
      <c r="U114" s="18"/>
      <c r="V114" s="18"/>
      <c r="W114" s="18"/>
      <c r="X114" s="18"/>
      <c r="Y114" s="18"/>
    </row>
    <row r="115" spans="1:25">
      <c r="A115" s="96" t="s">
        <v>118</v>
      </c>
      <c r="B115" s="432"/>
      <c r="C115" s="133">
        <f>VLOOKUP(A115,'imp-questions'!A:H,5,0)</f>
        <v>3</v>
      </c>
      <c r="D115" s="49" t="str">
        <f>VLOOKUP(A115,'imp-questions'!A:H,6,0)</f>
        <v>Do you prevent build of software if it's affected by vulnerabilities in dependencies?</v>
      </c>
      <c r="E115" s="50" t="str">
        <f>CHAR(65+VLOOKUP(A115,'imp-questions'!A:H,8,0))</f>
        <v>F</v>
      </c>
      <c r="F115" s="108" t="s">
        <v>93</v>
      </c>
      <c r="G115" s="62">
        <f>IFERROR(VLOOKUP(F115,AnsFTBL,2,0),0)</f>
        <v>0</v>
      </c>
      <c r="H115" s="63"/>
      <c r="I115" s="433"/>
      <c r="J115" s="111"/>
      <c r="K115" s="411"/>
      <c r="L115" s="398"/>
      <c r="M115" s="399"/>
      <c r="N115" s="31"/>
      <c r="O115" s="31"/>
      <c r="P115" s="18"/>
      <c r="Q115" s="18"/>
      <c r="R115" s="18"/>
      <c r="S115" s="18"/>
      <c r="T115" s="18"/>
      <c r="U115" s="18"/>
      <c r="V115" s="18"/>
      <c r="W115" s="18"/>
      <c r="X115" s="18"/>
      <c r="Y115" s="18"/>
    </row>
    <row r="116" spans="1:25" ht="70">
      <c r="B116" s="432"/>
      <c r="C116" s="54"/>
      <c r="D116" s="68" t="str">
        <f>VLOOKUP(A115,'imp-questions'!A:H,7,0)</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69"/>
      <c r="F116" s="93"/>
      <c r="G116" s="94"/>
      <c r="H116" s="95"/>
      <c r="I116" s="433"/>
      <c r="J116" s="111"/>
      <c r="K116" s="411"/>
      <c r="L116" s="398"/>
      <c r="M116" s="399"/>
      <c r="N116" s="31"/>
      <c r="O116" s="31"/>
      <c r="P116" s="18"/>
      <c r="Q116" s="18"/>
      <c r="R116" s="18"/>
      <c r="S116" s="18"/>
      <c r="T116" s="18"/>
      <c r="U116" s="18"/>
      <c r="V116" s="18"/>
      <c r="W116" s="18"/>
      <c r="X116" s="18"/>
      <c r="Y116" s="18"/>
    </row>
    <row r="117" spans="1:25" ht="12.75" customHeight="1">
      <c r="B117" s="426" t="s">
        <v>119</v>
      </c>
      <c r="C117" s="426"/>
      <c r="D117" s="426"/>
      <c r="E117" s="134"/>
      <c r="F117" s="135" t="s">
        <v>52</v>
      </c>
      <c r="G117" s="136"/>
      <c r="H117" s="137"/>
      <c r="I117" s="138" t="s">
        <v>53</v>
      </c>
      <c r="J117" s="139" t="s">
        <v>54</v>
      </c>
      <c r="K117" s="140"/>
      <c r="L117" s="141"/>
      <c r="M117" s="142"/>
      <c r="N117" s="31"/>
      <c r="O117" s="31"/>
      <c r="P117" s="18"/>
      <c r="Q117" s="18"/>
      <c r="R117" s="18"/>
      <c r="S117" s="18"/>
      <c r="T117" s="18"/>
      <c r="U117" s="18"/>
      <c r="V117" s="18"/>
      <c r="W117" s="18"/>
      <c r="X117" s="18"/>
      <c r="Y117" s="18"/>
    </row>
    <row r="118" spans="1:25" ht="14" customHeight="1">
      <c r="A118" s="96" t="s">
        <v>120</v>
      </c>
      <c r="B118" s="427" t="str">
        <f>VLOOKUP(A118,'imp-questions'!A:H,4,0)</f>
        <v>Deployment Process</v>
      </c>
      <c r="C118" s="144">
        <f>VLOOKUP(A118,'imp-questions'!A:H,5,0)</f>
        <v>1</v>
      </c>
      <c r="D118" s="78" t="str">
        <f>VLOOKUP(A118,'imp-questions'!A:H,6,0)</f>
        <v>Do you use repeatable deployment processes?</v>
      </c>
      <c r="E118" s="60" t="str">
        <f>CHAR(65+VLOOKUP(A118,'imp-questions'!A:H,8,0))</f>
        <v>F</v>
      </c>
      <c r="F118" s="121"/>
      <c r="G118" s="62">
        <f>IFERROR(VLOOKUP(F118,AnsFTBL,2,0),0)</f>
        <v>0</v>
      </c>
      <c r="H118" s="79">
        <f>IFERROR(AVERAGE(G118,G125),0)</f>
        <v>0.5</v>
      </c>
      <c r="I118" s="428"/>
      <c r="J118" s="429">
        <f>SUM(H118,H120,H122)</f>
        <v>1</v>
      </c>
      <c r="K118" s="404"/>
      <c r="L118" s="398"/>
      <c r="M118" s="399"/>
      <c r="N118" s="31"/>
      <c r="O118" s="31"/>
      <c r="P118" s="18"/>
      <c r="Q118" s="18"/>
      <c r="R118" s="18"/>
      <c r="S118" s="18"/>
      <c r="T118" s="18"/>
      <c r="U118" s="18"/>
      <c r="V118" s="18"/>
      <c r="W118" s="18"/>
      <c r="X118" s="18"/>
      <c r="Y118" s="18"/>
    </row>
    <row r="119" spans="1:25" ht="70">
      <c r="B119" s="427"/>
      <c r="C119" s="54"/>
      <c r="D119" s="68" t="str">
        <f>VLOOKUP(A118,'imp-questions'!A:H,7,0)</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56"/>
      <c r="F119" s="90"/>
      <c r="G119" s="91"/>
      <c r="H119" s="59"/>
      <c r="I119" s="428"/>
      <c r="J119" s="429"/>
      <c r="K119" s="404"/>
      <c r="L119" s="398"/>
      <c r="M119" s="399"/>
      <c r="N119" s="31"/>
      <c r="O119" s="31"/>
      <c r="P119" s="18"/>
      <c r="Q119" s="18"/>
      <c r="R119" s="18"/>
      <c r="S119" s="18"/>
      <c r="T119" s="18"/>
      <c r="U119" s="18"/>
      <c r="V119" s="18"/>
      <c r="W119" s="18"/>
      <c r="X119" s="18"/>
      <c r="Y119" s="18"/>
    </row>
    <row r="120" spans="1:25">
      <c r="A120" s="96" t="s">
        <v>121</v>
      </c>
      <c r="B120" s="427"/>
      <c r="C120" s="133">
        <f>VLOOKUP(A120,'imp-questions'!A:H,5,0)</f>
        <v>2</v>
      </c>
      <c r="D120" s="49" t="str">
        <f>VLOOKUP(A120,'imp-questions'!A:H,6,0)</f>
        <v>Are deployment processes automated and employing security checks?</v>
      </c>
      <c r="E120" s="50" t="str">
        <f>CHAR(65+VLOOKUP(A120,'imp-questions'!A:H,8,0))</f>
        <v>F</v>
      </c>
      <c r="F120" s="108"/>
      <c r="G120" s="62">
        <f>IFERROR(VLOOKUP(F120,AnsFTBL,2,0),0)</f>
        <v>0</v>
      </c>
      <c r="H120" s="53">
        <f>IFERROR(AVERAGE(G120,G127),0)</f>
        <v>0</v>
      </c>
      <c r="I120" s="430"/>
      <c r="J120" s="109"/>
      <c r="K120" s="415"/>
      <c r="L120" s="398"/>
      <c r="M120" s="399"/>
      <c r="N120" s="31"/>
      <c r="O120" s="31"/>
      <c r="P120" s="18"/>
      <c r="Q120" s="18"/>
      <c r="R120" s="18"/>
      <c r="S120" s="18"/>
      <c r="T120" s="18"/>
      <c r="U120" s="18"/>
      <c r="V120" s="18"/>
      <c r="W120" s="18"/>
      <c r="X120" s="18"/>
      <c r="Y120" s="18"/>
    </row>
    <row r="121" spans="1:25" ht="56">
      <c r="B121" s="427"/>
      <c r="C121" s="54"/>
      <c r="D121" s="68" t="str">
        <f>VLOOKUP(A120,'imp-questions'!A:H,7,0)</f>
        <v>Deployment processes are automated on all stages
Deployment includes automated security testing procedures
You alert responsible staff to identified vulnerabilities
You have logs available for your past deployments for a defined period of time</v>
      </c>
      <c r="E121" s="56"/>
      <c r="F121" s="90"/>
      <c r="G121" s="91"/>
      <c r="H121" s="67"/>
      <c r="I121" s="430"/>
      <c r="J121" s="109"/>
      <c r="K121" s="415"/>
      <c r="L121" s="398"/>
      <c r="M121" s="399"/>
      <c r="N121" s="31"/>
      <c r="O121" s="31"/>
      <c r="P121" s="18"/>
      <c r="Q121" s="18"/>
      <c r="R121" s="18"/>
      <c r="S121" s="18"/>
      <c r="T121" s="18"/>
      <c r="U121" s="18"/>
      <c r="V121" s="18"/>
      <c r="W121" s="18"/>
      <c r="X121" s="18"/>
      <c r="Y121" s="18"/>
    </row>
    <row r="122" spans="1:25">
      <c r="A122" s="96" t="s">
        <v>122</v>
      </c>
      <c r="B122" s="427"/>
      <c r="C122" s="133">
        <f>VLOOKUP(A122,'imp-questions'!A:H,5,0)</f>
        <v>3</v>
      </c>
      <c r="D122" s="49" t="str">
        <f>VLOOKUP(A122,'imp-questions'!A:H,6,0)</f>
        <v>Do you consistently validate the integrity of deployed artifacts?</v>
      </c>
      <c r="E122" s="50" t="str">
        <f>CHAR(65+VLOOKUP(A122,'imp-questions'!A:H,8,0))</f>
        <v>F</v>
      </c>
      <c r="F122" s="108"/>
      <c r="G122" s="62">
        <f>IFERROR(VLOOKUP(F122,AnsFTBL,2,0),0)</f>
        <v>0</v>
      </c>
      <c r="H122" s="53">
        <f>IFERROR(AVERAGE(G122,G129),0)</f>
        <v>0.5</v>
      </c>
      <c r="I122" s="431"/>
      <c r="J122" s="109"/>
      <c r="K122" s="416"/>
      <c r="L122" s="398"/>
      <c r="M122" s="399"/>
      <c r="N122" s="31"/>
      <c r="O122" s="31"/>
      <c r="P122" s="18"/>
      <c r="Q122" s="18"/>
      <c r="R122" s="18"/>
      <c r="S122" s="18"/>
      <c r="T122" s="18"/>
      <c r="U122" s="18"/>
      <c r="V122" s="18"/>
      <c r="W122" s="18"/>
      <c r="X122" s="18"/>
      <c r="Y122" s="18"/>
    </row>
    <row r="123" spans="1:25" ht="42">
      <c r="B123" s="427"/>
      <c r="C123" s="65"/>
      <c r="D123" s="55" t="str">
        <f>VLOOKUP(A122,'imp-questions'!A:H,7,0)</f>
        <v>You prevent or roll back deployment if you detect an integrity breach
The verification is done against signatures created during the build time
If checking of signatures is not possible (e.g. externally build software), you introduce compensating measures</v>
      </c>
      <c r="E123" s="56"/>
      <c r="F123" s="90"/>
      <c r="G123" s="91"/>
      <c r="H123" s="67"/>
      <c r="I123" s="431"/>
      <c r="J123" s="109"/>
      <c r="K123" s="416"/>
      <c r="L123" s="398"/>
      <c r="M123" s="399"/>
      <c r="N123" s="31"/>
      <c r="O123" s="31"/>
      <c r="P123" s="18"/>
      <c r="Q123" s="18"/>
      <c r="R123" s="18"/>
      <c r="S123" s="18"/>
      <c r="T123" s="18"/>
      <c r="U123" s="18"/>
      <c r="V123" s="18"/>
      <c r="W123" s="18"/>
      <c r="X123" s="18"/>
      <c r="Y123" s="18"/>
    </row>
    <row r="124" spans="1:25">
      <c r="B124" s="73"/>
      <c r="C124" s="74"/>
      <c r="D124" s="74"/>
      <c r="E124" s="74"/>
      <c r="F124" s="74"/>
      <c r="G124" s="74"/>
      <c r="H124" s="74"/>
      <c r="I124" s="74"/>
      <c r="J124" s="75"/>
      <c r="K124" s="74"/>
      <c r="L124" s="74"/>
      <c r="M124" s="76"/>
      <c r="N124" s="31"/>
      <c r="O124" s="31"/>
      <c r="P124" s="18"/>
      <c r="Q124" s="18"/>
      <c r="R124" s="18"/>
      <c r="S124" s="18"/>
      <c r="T124" s="18"/>
      <c r="U124" s="18"/>
      <c r="V124" s="18"/>
      <c r="W124" s="18"/>
      <c r="X124" s="18"/>
      <c r="Y124" s="18"/>
    </row>
    <row r="125" spans="1:25" ht="23.75" customHeight="1">
      <c r="A125" s="96" t="s">
        <v>123</v>
      </c>
      <c r="B125" s="423" t="str">
        <f>VLOOKUP(A125,'imp-questions'!A:H,4,0)</f>
        <v>Secret Management</v>
      </c>
      <c r="C125" s="133">
        <f>VLOOKUP(A125,'imp-questions'!A:H,5,0)</f>
        <v>1</v>
      </c>
      <c r="D125" s="49" t="str">
        <f>VLOOKUP(A125,'imp-questions'!A:H,6,0)</f>
        <v>Do you limit access to application secrets according to the least privilege principle?</v>
      </c>
      <c r="E125" s="50" t="str">
        <f>CHAR(65+VLOOKUP(A125,'imp-questions'!A:H,8,0))</f>
        <v>F</v>
      </c>
      <c r="F125" s="108" t="s">
        <v>85</v>
      </c>
      <c r="G125" s="62">
        <f>IFERROR(VLOOKUP(F125,AnsFTBL,2,0),0)</f>
        <v>1</v>
      </c>
      <c r="H125" s="63"/>
      <c r="I125" s="396"/>
      <c r="J125" s="111"/>
      <c r="K125" s="405"/>
      <c r="L125" s="398" t="s">
        <v>29</v>
      </c>
      <c r="M125" s="399" t="s">
        <v>32</v>
      </c>
      <c r="N125" s="31"/>
      <c r="O125" s="31"/>
      <c r="P125" s="18"/>
      <c r="Q125" s="18"/>
      <c r="R125" s="18"/>
      <c r="S125" s="18"/>
      <c r="T125" s="18"/>
      <c r="U125" s="18"/>
      <c r="V125" s="18"/>
      <c r="W125" s="18"/>
      <c r="X125" s="18"/>
      <c r="Y125" s="18"/>
    </row>
    <row r="126" spans="1:25" ht="42">
      <c r="B126" s="423"/>
      <c r="C126" s="54"/>
      <c r="D126" s="68" t="str">
        <f>VLOOKUP(A125,'imp-questions'!A:H,7,0)</f>
        <v>You store production secrets protected in a secured location
Developers do not have access to production secrets
Production secrets are not available in non-production environments</v>
      </c>
      <c r="E126" s="56"/>
      <c r="F126" s="90"/>
      <c r="G126" s="91"/>
      <c r="H126" s="92"/>
      <c r="I126" s="396"/>
      <c r="J126" s="111"/>
      <c r="K126" s="405"/>
      <c r="L126" s="398"/>
      <c r="M126" s="399"/>
      <c r="N126" s="31"/>
      <c r="O126" s="31"/>
      <c r="P126" s="18"/>
      <c r="Q126" s="18"/>
      <c r="R126" s="18"/>
      <c r="S126" s="18"/>
      <c r="T126" s="18"/>
      <c r="U126" s="18"/>
      <c r="V126" s="18"/>
      <c r="W126" s="18"/>
      <c r="X126" s="18"/>
      <c r="Y126" s="18"/>
    </row>
    <row r="127" spans="1:25">
      <c r="A127" s="96" t="s">
        <v>124</v>
      </c>
      <c r="B127" s="423"/>
      <c r="C127" s="133">
        <f>VLOOKUP(A127,'imp-questions'!A:H,5,0)</f>
        <v>2</v>
      </c>
      <c r="D127" s="49" t="str">
        <f>VLOOKUP(A127,'imp-questions'!A:H,6,0)</f>
        <v>Do you inject production secrets into configuration files during deployment?</v>
      </c>
      <c r="E127" s="50" t="str">
        <f>CHAR(65+VLOOKUP(A127,'imp-questions'!A:H,8,0))</f>
        <v>F</v>
      </c>
      <c r="F127" s="108" t="s">
        <v>93</v>
      </c>
      <c r="G127" s="62">
        <f>IFERROR(VLOOKUP(F127,AnsFTBL,2,0),0)</f>
        <v>0</v>
      </c>
      <c r="H127" s="63"/>
      <c r="I127" s="396"/>
      <c r="J127" s="111"/>
      <c r="K127" s="405"/>
      <c r="L127" s="398"/>
      <c r="M127" s="399"/>
      <c r="N127" s="31"/>
      <c r="O127" s="31"/>
      <c r="P127" s="18"/>
      <c r="Q127" s="18"/>
      <c r="R127" s="18"/>
      <c r="S127" s="18"/>
      <c r="T127" s="18"/>
      <c r="U127" s="18"/>
      <c r="V127" s="18"/>
      <c r="W127" s="18"/>
      <c r="X127" s="18"/>
      <c r="Y127" s="18"/>
    </row>
    <row r="128" spans="1:25" ht="42">
      <c r="B128" s="423"/>
      <c r="C128" s="54"/>
      <c r="D128" s="68" t="str">
        <f>VLOOKUP(A127,'imp-questions'!A:H,7,0)</f>
        <v>Source code files no longer contain active application secrets
Under normal circumstances, no humans access secrets during deployment procedures
You log and alert to any abnormal access to secrets</v>
      </c>
      <c r="E128" s="56"/>
      <c r="F128" s="90"/>
      <c r="G128" s="91"/>
      <c r="H128" s="92"/>
      <c r="I128" s="396"/>
      <c r="J128" s="111"/>
      <c r="K128" s="405"/>
      <c r="L128" s="398"/>
      <c r="M128" s="399"/>
      <c r="N128" s="31"/>
      <c r="O128" s="31"/>
      <c r="P128" s="18"/>
      <c r="Q128" s="18"/>
      <c r="R128" s="18"/>
      <c r="S128" s="18"/>
      <c r="T128" s="18"/>
      <c r="U128" s="18"/>
      <c r="V128" s="18"/>
      <c r="W128" s="18"/>
      <c r="X128" s="18"/>
      <c r="Y128" s="18"/>
    </row>
    <row r="129" spans="1:25">
      <c r="A129" s="96" t="s">
        <v>125</v>
      </c>
      <c r="B129" s="423"/>
      <c r="C129" s="133">
        <f>VLOOKUP(A129,'imp-questions'!A:H,5,0)</f>
        <v>3</v>
      </c>
      <c r="D129" s="49" t="str">
        <f>VLOOKUP(A129,'imp-questions'!A:H,6,0)</f>
        <v>Do you practice proper lifecycle management for application secrets?</v>
      </c>
      <c r="E129" s="50" t="str">
        <f>CHAR(65+VLOOKUP(A129,'imp-questions'!A:H,8,0))</f>
        <v>F</v>
      </c>
      <c r="F129" s="108" t="s">
        <v>85</v>
      </c>
      <c r="G129" s="62">
        <f>IFERROR(VLOOKUP(F129,AnsFTBL,2,0),0)</f>
        <v>1</v>
      </c>
      <c r="H129" s="63"/>
      <c r="I129" s="396"/>
      <c r="J129" s="111"/>
      <c r="K129" s="405"/>
      <c r="L129" s="398"/>
      <c r="M129" s="399"/>
      <c r="N129" s="31"/>
      <c r="O129" s="31"/>
      <c r="P129" s="18"/>
      <c r="Q129" s="18"/>
      <c r="R129" s="18"/>
      <c r="S129" s="18"/>
      <c r="T129" s="18"/>
      <c r="U129" s="18"/>
      <c r="V129" s="18"/>
      <c r="W129" s="18"/>
      <c r="X129" s="18"/>
      <c r="Y129" s="18"/>
    </row>
    <row r="130" spans="1:25" ht="42">
      <c r="B130" s="423"/>
      <c r="C130" s="65"/>
      <c r="D130" s="55" t="str">
        <f>VLOOKUP(A129,'imp-questions'!A:H,7,0)</f>
        <v>You generate and synchronize secrets using a vetted solution
Secrets are different between different application instances
Secrets are regularly updated</v>
      </c>
      <c r="E130" s="56"/>
      <c r="F130" s="90"/>
      <c r="G130" s="91"/>
      <c r="H130" s="92"/>
      <c r="I130" s="396"/>
      <c r="J130" s="111"/>
      <c r="K130" s="405"/>
      <c r="L130" s="398"/>
      <c r="M130" s="399"/>
      <c r="N130" s="31"/>
      <c r="O130" s="31"/>
      <c r="P130" s="18"/>
      <c r="Q130" s="18"/>
      <c r="R130" s="18"/>
      <c r="S130" s="18"/>
      <c r="T130" s="18"/>
      <c r="U130" s="18"/>
      <c r="V130" s="18"/>
      <c r="W130" s="18"/>
      <c r="X130" s="18"/>
      <c r="Y130" s="18"/>
    </row>
    <row r="131" spans="1:25" ht="12.75" customHeight="1">
      <c r="B131" s="424" t="s">
        <v>126</v>
      </c>
      <c r="C131" s="424"/>
      <c r="D131" s="424"/>
      <c r="E131" s="145"/>
      <c r="F131" s="124" t="s">
        <v>52</v>
      </c>
      <c r="G131" s="146"/>
      <c r="H131" s="147"/>
      <c r="I131" s="148" t="s">
        <v>53</v>
      </c>
      <c r="J131" s="149" t="s">
        <v>54</v>
      </c>
      <c r="K131" s="129"/>
      <c r="L131" s="130"/>
      <c r="M131" s="131"/>
      <c r="N131" s="31"/>
      <c r="O131" s="31"/>
      <c r="P131" s="18"/>
      <c r="Q131" s="18"/>
      <c r="R131" s="18"/>
      <c r="S131" s="18"/>
      <c r="T131" s="18"/>
      <c r="U131" s="18"/>
      <c r="V131" s="18"/>
      <c r="W131" s="18"/>
      <c r="X131" s="18"/>
      <c r="Y131" s="18"/>
    </row>
    <row r="132" spans="1:25" ht="14" customHeight="1">
      <c r="A132" s="96" t="s">
        <v>127</v>
      </c>
      <c r="B132" s="423" t="str">
        <f>VLOOKUP(A132,'imp-questions'!A:H,4,0)</f>
        <v>Defect Tracking</v>
      </c>
      <c r="C132" s="133">
        <f>VLOOKUP(A132,'imp-questions'!A:H,5,0)</f>
        <v>1</v>
      </c>
      <c r="D132" s="49" t="str">
        <f>VLOOKUP(A132,'imp-questions'!A:H,6,0)</f>
        <v>Do you track all known security defects in accessible locations?</v>
      </c>
      <c r="E132" s="50" t="str">
        <f>CHAR(65+VLOOKUP(A132,'imp-questions'!A:H,8,0))</f>
        <v>F</v>
      </c>
      <c r="F132" s="108"/>
      <c r="G132" s="62">
        <f>IFERROR(VLOOKUP(F132,AnsFTBL,2,0),0)</f>
        <v>0</v>
      </c>
      <c r="H132" s="53">
        <f>IFERROR(AVERAGE(G132,G139),0)</f>
        <v>0.5</v>
      </c>
      <c r="I132" s="396"/>
      <c r="J132" s="425">
        <f>SUM(H132,H134,H136)</f>
        <v>0.5</v>
      </c>
      <c r="K132" s="405"/>
      <c r="L132" s="398"/>
      <c r="M132" s="399"/>
      <c r="N132" s="31"/>
      <c r="O132" s="31"/>
      <c r="P132" s="18"/>
      <c r="Q132" s="18"/>
      <c r="R132" s="18"/>
      <c r="S132" s="18"/>
      <c r="T132" s="18"/>
      <c r="U132" s="18"/>
      <c r="V132" s="18"/>
      <c r="W132" s="18"/>
      <c r="X132" s="18"/>
      <c r="Y132" s="18"/>
    </row>
    <row r="133" spans="1:25" ht="56">
      <c r="B133" s="423"/>
      <c r="C133" s="54"/>
      <c r="D133" s="68" t="str">
        <f>VLOOKUP(A132,'imp-questions'!A:H,7,0)</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56"/>
      <c r="F133" s="90"/>
      <c r="G133" s="91"/>
      <c r="H133" s="59"/>
      <c r="I133" s="396"/>
      <c r="J133" s="425"/>
      <c r="K133" s="405"/>
      <c r="L133" s="398"/>
      <c r="M133" s="399"/>
      <c r="N133" s="31"/>
      <c r="O133" s="31"/>
      <c r="P133" s="18"/>
      <c r="Q133" s="18"/>
      <c r="R133" s="18"/>
      <c r="S133" s="18"/>
      <c r="T133" s="18"/>
      <c r="U133" s="18"/>
      <c r="V133" s="18"/>
      <c r="W133" s="18"/>
      <c r="X133" s="18"/>
      <c r="Y133" s="18"/>
    </row>
    <row r="134" spans="1:25">
      <c r="A134" s="96" t="s">
        <v>128</v>
      </c>
      <c r="B134" s="423"/>
      <c r="C134" s="133">
        <f>VLOOKUP(A134,'imp-questions'!A:H,5,0)</f>
        <v>2</v>
      </c>
      <c r="D134" s="49" t="str">
        <f>VLOOKUP(A134,'imp-questions'!A:H,6,0)</f>
        <v>Do you keep an overview of the state of security defects across the organization?</v>
      </c>
      <c r="E134" s="50" t="str">
        <f>CHAR(65+VLOOKUP(A134,'imp-questions'!A:H,8,0))</f>
        <v>F</v>
      </c>
      <c r="F134" s="108"/>
      <c r="G134" s="62">
        <f>IFERROR(VLOOKUP(F134,AnsFTBL,2,0),0)</f>
        <v>0</v>
      </c>
      <c r="H134" s="53">
        <f>IFERROR(AVERAGE(G134,G141),0)</f>
        <v>0</v>
      </c>
      <c r="I134" s="396"/>
      <c r="J134" s="109"/>
      <c r="K134" s="415"/>
      <c r="L134" s="398"/>
      <c r="M134" s="399"/>
      <c r="N134" s="31"/>
      <c r="O134" s="31"/>
      <c r="P134" s="18"/>
      <c r="Q134" s="18"/>
      <c r="R134" s="18"/>
      <c r="S134" s="18"/>
      <c r="T134" s="18"/>
      <c r="U134" s="18"/>
      <c r="V134" s="18"/>
      <c r="W134" s="18"/>
      <c r="X134" s="18"/>
      <c r="Y134" s="18"/>
    </row>
    <row r="135" spans="1:25" ht="42">
      <c r="B135" s="423"/>
      <c r="C135" s="54"/>
      <c r="D135" s="68" t="str">
        <f>VLOOKUP(A134,'imp-questions'!A:H,7,0)</f>
        <v>A single severity scheme is applied to all defects across the organization
The scheme includes SLAs for fixing particular severity classes
You regularly report compliance to SLAs</v>
      </c>
      <c r="E135" s="56"/>
      <c r="F135" s="90"/>
      <c r="G135" s="91"/>
      <c r="H135" s="67"/>
      <c r="I135" s="396"/>
      <c r="J135" s="109"/>
      <c r="K135" s="415"/>
      <c r="L135" s="398"/>
      <c r="M135" s="399"/>
      <c r="N135" s="31"/>
      <c r="O135" s="31"/>
      <c r="P135" s="18"/>
      <c r="Q135" s="18"/>
      <c r="R135" s="18"/>
      <c r="S135" s="18"/>
      <c r="T135" s="18"/>
      <c r="U135" s="18"/>
      <c r="V135" s="18"/>
      <c r="W135" s="18"/>
      <c r="X135" s="18"/>
      <c r="Y135" s="18"/>
    </row>
    <row r="136" spans="1:25">
      <c r="A136" s="96" t="s">
        <v>129</v>
      </c>
      <c r="B136" s="423"/>
      <c r="C136" s="133">
        <f>VLOOKUP(A136,'imp-questions'!A:H,5,0)</f>
        <v>3</v>
      </c>
      <c r="D136" s="49" t="str">
        <f>VLOOKUP(A136,'imp-questions'!A:H,6,0)</f>
        <v>Do you enforce SLAs for fixing security defects?</v>
      </c>
      <c r="E136" s="50" t="str">
        <f>CHAR(65+VLOOKUP(A136,'imp-questions'!A:H,8,0))</f>
        <v>F</v>
      </c>
      <c r="F136" s="108"/>
      <c r="G136" s="62">
        <f>IFERROR(VLOOKUP(F136,AnsFTBL,2,0),0)</f>
        <v>0</v>
      </c>
      <c r="H136" s="53">
        <f>IFERROR(AVERAGE(G136,G143),0)</f>
        <v>0</v>
      </c>
      <c r="I136" s="396"/>
      <c r="J136" s="109"/>
      <c r="K136" s="416"/>
      <c r="L136" s="398"/>
      <c r="M136" s="399"/>
      <c r="N136" s="31"/>
      <c r="O136" s="31"/>
      <c r="P136" s="18"/>
      <c r="Q136" s="18"/>
      <c r="R136" s="18"/>
      <c r="S136" s="18"/>
      <c r="T136" s="18"/>
      <c r="U136" s="18"/>
      <c r="V136" s="18"/>
      <c r="W136" s="18"/>
      <c r="X136" s="18"/>
      <c r="Y136" s="18"/>
    </row>
    <row r="137" spans="1:25" ht="28">
      <c r="B137" s="423"/>
      <c r="C137" s="65"/>
      <c r="D137" s="55" t="str">
        <f>VLOOKUP(A136,'imp-questions'!A:H,7,0)</f>
        <v>You automatically alert of SLA breaches and transfer respective defects to the risk management process
You integrate relevant tooling (e.g. monitoring, build, deployment) with the defect management system</v>
      </c>
      <c r="E137" s="56"/>
      <c r="F137" s="90"/>
      <c r="G137" s="91"/>
      <c r="H137" s="67"/>
      <c r="I137" s="396"/>
      <c r="J137" s="109"/>
      <c r="K137" s="416"/>
      <c r="L137" s="398"/>
      <c r="M137" s="399"/>
      <c r="N137" s="31"/>
      <c r="O137" s="31"/>
      <c r="P137" s="18"/>
      <c r="Q137" s="18"/>
      <c r="R137" s="18"/>
      <c r="S137" s="18"/>
      <c r="T137" s="18"/>
      <c r="U137" s="18"/>
      <c r="V137" s="18"/>
      <c r="W137" s="18"/>
      <c r="X137" s="18"/>
      <c r="Y137" s="18"/>
    </row>
    <row r="138" spans="1:25">
      <c r="B138" s="73"/>
      <c r="C138" s="74"/>
      <c r="D138" s="74"/>
      <c r="E138" s="74"/>
      <c r="F138" s="74"/>
      <c r="G138" s="74"/>
      <c r="H138" s="74"/>
      <c r="I138" s="74"/>
      <c r="J138" s="75"/>
      <c r="K138" s="74"/>
      <c r="L138" s="74"/>
      <c r="M138" s="76"/>
      <c r="N138" s="31"/>
      <c r="O138" s="31"/>
      <c r="P138" s="18"/>
      <c r="Q138" s="18"/>
      <c r="R138" s="18"/>
      <c r="S138" s="18"/>
      <c r="T138" s="18"/>
      <c r="U138" s="18"/>
      <c r="V138" s="18"/>
      <c r="W138" s="18"/>
      <c r="X138" s="18"/>
      <c r="Y138" s="18"/>
    </row>
    <row r="139" spans="1:25" ht="23.75" customHeight="1">
      <c r="A139" s="96" t="s">
        <v>130</v>
      </c>
      <c r="B139" s="423" t="str">
        <f>VLOOKUP(A139,'imp-questions'!A:H,4,0)</f>
        <v>Metrics and Feedback</v>
      </c>
      <c r="C139" s="133">
        <f>VLOOKUP(A139,'imp-questions'!A:H,5,0)</f>
        <v>1</v>
      </c>
      <c r="D139" s="49" t="str">
        <f>VLOOKUP(A139,'imp-questions'!A:H,6,0)</f>
        <v>Do you use basic metrics about recorded security defects to carry out quick win improvement activities?</v>
      </c>
      <c r="E139" s="50" t="str">
        <f>CHAR(65+VLOOKUP(A139,'imp-questions'!A:H,8,0))</f>
        <v>F</v>
      </c>
      <c r="F139" s="108" t="s">
        <v>85</v>
      </c>
      <c r="G139" s="62">
        <f>IFERROR(VLOOKUP(F139,AnsFTBL,2,0),0)</f>
        <v>1</v>
      </c>
      <c r="H139" s="63"/>
      <c r="I139" s="396"/>
      <c r="J139" s="111"/>
      <c r="K139" s="405"/>
      <c r="L139" s="398" t="s">
        <v>31</v>
      </c>
      <c r="M139" s="399" t="s">
        <v>32</v>
      </c>
      <c r="N139" s="31"/>
      <c r="O139" s="31"/>
      <c r="P139" s="18"/>
      <c r="Q139" s="18"/>
      <c r="R139" s="18"/>
      <c r="S139" s="18"/>
      <c r="T139" s="18"/>
      <c r="U139" s="18"/>
      <c r="V139" s="18"/>
      <c r="W139" s="18"/>
      <c r="X139" s="18"/>
      <c r="Y139" s="18"/>
    </row>
    <row r="140" spans="1:25" ht="42">
      <c r="B140" s="423"/>
      <c r="C140" s="54"/>
      <c r="D140" s="68" t="str">
        <f>VLOOKUP(A139,'imp-questions'!A:H,7,0)</f>
        <v>You analyzed your recorded metrics at least once in the last year
At least basic information about this initiative is recorded and available
You have identified and carried out at least one quick win activity based on the data</v>
      </c>
      <c r="E140" s="56"/>
      <c r="F140" s="90"/>
      <c r="G140" s="91"/>
      <c r="H140" s="92"/>
      <c r="I140" s="396"/>
      <c r="J140" s="111"/>
      <c r="K140" s="405"/>
      <c r="L140" s="398"/>
      <c r="M140" s="399"/>
      <c r="N140" s="31"/>
      <c r="O140" s="31"/>
      <c r="P140" s="18"/>
      <c r="Q140" s="18"/>
      <c r="R140" s="18"/>
      <c r="S140" s="18"/>
      <c r="T140" s="18"/>
      <c r="U140" s="18"/>
      <c r="V140" s="18"/>
      <c r="W140" s="18"/>
      <c r="X140" s="18"/>
      <c r="Y140" s="18"/>
    </row>
    <row r="141" spans="1:25">
      <c r="A141" s="96" t="s">
        <v>131</v>
      </c>
      <c r="B141" s="423"/>
      <c r="C141" s="133">
        <f>VLOOKUP(A141,'imp-questions'!A:H,5,0)</f>
        <v>2</v>
      </c>
      <c r="D141" s="49" t="str">
        <f>VLOOKUP(A141,'imp-questions'!A:H,6,0)</f>
        <v>Do you improve your security assurance program upon standardized metrics?</v>
      </c>
      <c r="E141" s="50" t="str">
        <f>CHAR(65+VLOOKUP(A141,'imp-questions'!A:H,8,0))</f>
        <v>F</v>
      </c>
      <c r="F141" s="108"/>
      <c r="G141" s="62">
        <f>IFERROR(VLOOKUP(F141,AnsFTBL,2,0),0)</f>
        <v>0</v>
      </c>
      <c r="H141" s="63"/>
      <c r="I141" s="396"/>
      <c r="J141" s="111"/>
      <c r="K141" s="405"/>
      <c r="L141" s="398"/>
      <c r="M141" s="399"/>
      <c r="N141" s="31"/>
      <c r="O141" s="31"/>
      <c r="P141" s="18"/>
      <c r="Q141" s="18"/>
      <c r="R141" s="18"/>
      <c r="S141" s="18"/>
      <c r="T141" s="18"/>
      <c r="U141" s="18"/>
      <c r="V141" s="18"/>
      <c r="W141" s="18"/>
      <c r="X141" s="18"/>
      <c r="Y141" s="18"/>
    </row>
    <row r="142" spans="1:25" ht="42">
      <c r="B142" s="423"/>
      <c r="C142" s="54"/>
      <c r="D142" s="68" t="str">
        <f>VLOOKUP(A141,'imp-questions'!A:H,7,0)</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56"/>
      <c r="F142" s="90"/>
      <c r="G142" s="91"/>
      <c r="H142" s="92"/>
      <c r="I142" s="396"/>
      <c r="J142" s="111"/>
      <c r="K142" s="405"/>
      <c r="L142" s="398"/>
      <c r="M142" s="399"/>
      <c r="N142" s="31"/>
      <c r="O142" s="31"/>
      <c r="P142" s="18"/>
      <c r="Q142" s="18"/>
      <c r="R142" s="18"/>
      <c r="S142" s="18"/>
      <c r="T142" s="18"/>
      <c r="U142" s="18"/>
      <c r="V142" s="18"/>
      <c r="W142" s="18"/>
      <c r="X142" s="18"/>
      <c r="Y142" s="18"/>
    </row>
    <row r="143" spans="1:25">
      <c r="A143" s="96" t="s">
        <v>132</v>
      </c>
      <c r="B143" s="423"/>
      <c r="C143" s="133">
        <f>VLOOKUP(A143,'imp-questions'!A:H,5,0)</f>
        <v>3</v>
      </c>
      <c r="D143" s="49" t="str">
        <f>VLOOKUP(A143,'imp-questions'!A:H,6,0)</f>
        <v>Do you regularly evaluate the effectiveness of your security metrics so that its input helps drive your security strategy?</v>
      </c>
      <c r="E143" s="50" t="str">
        <f>CHAR(65+VLOOKUP(A143,'imp-questions'!A:H,8,0))</f>
        <v>F</v>
      </c>
      <c r="F143" s="108"/>
      <c r="G143" s="62">
        <f>IFERROR(VLOOKUP(F143,AnsFTBL,2,0),0)</f>
        <v>0</v>
      </c>
      <c r="H143" s="63"/>
      <c r="I143" s="396"/>
      <c r="J143" s="111"/>
      <c r="K143" s="405"/>
      <c r="L143" s="398"/>
      <c r="M143" s="399"/>
      <c r="N143" s="31"/>
      <c r="O143" s="31"/>
      <c r="P143" s="18"/>
      <c r="Q143" s="18"/>
      <c r="R143" s="18"/>
      <c r="S143" s="18"/>
      <c r="T143" s="18"/>
      <c r="U143" s="18"/>
      <c r="V143" s="18"/>
      <c r="W143" s="18"/>
      <c r="X143" s="18"/>
      <c r="Y143" s="18"/>
    </row>
    <row r="144" spans="1:25" ht="56">
      <c r="B144" s="423"/>
      <c r="C144" s="65"/>
      <c r="D144" s="55" t="str">
        <f>VLOOKUP(A143,'imp-questions'!A:H,7,0)</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56"/>
      <c r="F144" s="90"/>
      <c r="G144" s="91"/>
      <c r="H144" s="92"/>
      <c r="I144" s="396"/>
      <c r="J144" s="111"/>
      <c r="K144" s="405"/>
      <c r="L144" s="398"/>
      <c r="M144" s="399"/>
      <c r="N144" s="31"/>
      <c r="O144" s="31"/>
      <c r="P144" s="18"/>
      <c r="Q144" s="18"/>
      <c r="R144" s="18"/>
      <c r="S144" s="18"/>
      <c r="T144" s="18"/>
      <c r="U144" s="18"/>
      <c r="V144" s="18"/>
      <c r="W144" s="18"/>
      <c r="X144" s="18"/>
      <c r="Y144" s="18"/>
    </row>
    <row r="145" spans="1:25" ht="12.75" customHeight="1">
      <c r="B145" s="419" t="s">
        <v>133</v>
      </c>
      <c r="C145" s="419"/>
      <c r="D145" s="419"/>
      <c r="E145" s="419"/>
      <c r="F145" s="419"/>
      <c r="G145" s="419"/>
      <c r="H145" s="419"/>
      <c r="I145" s="419"/>
      <c r="J145" s="419"/>
      <c r="K145" s="150"/>
      <c r="L145" s="150"/>
      <c r="M145" s="150"/>
      <c r="N145" s="31"/>
      <c r="O145" s="31"/>
      <c r="P145" s="18"/>
      <c r="Q145" s="18"/>
      <c r="R145" s="18"/>
      <c r="S145" s="18"/>
      <c r="T145" s="18"/>
      <c r="U145" s="18"/>
      <c r="V145" s="18"/>
      <c r="W145" s="18"/>
      <c r="X145" s="18"/>
      <c r="Y145" s="18"/>
    </row>
    <row r="146" spans="1:25" ht="12.75" customHeight="1">
      <c r="B146" s="420" t="s">
        <v>134</v>
      </c>
      <c r="C146" s="420"/>
      <c r="D146" s="420"/>
      <c r="E146" s="152"/>
      <c r="F146" s="151" t="s">
        <v>52</v>
      </c>
      <c r="G146" s="151"/>
      <c r="H146" s="153"/>
      <c r="I146" s="154" t="s">
        <v>53</v>
      </c>
      <c r="J146" s="155" t="s">
        <v>54</v>
      </c>
      <c r="K146" s="156"/>
      <c r="L146" s="157"/>
      <c r="M146" s="158"/>
      <c r="N146" s="31"/>
      <c r="O146" s="31"/>
      <c r="P146" s="18"/>
      <c r="Q146" s="18"/>
      <c r="R146" s="18"/>
      <c r="S146" s="18"/>
      <c r="T146" s="18"/>
      <c r="U146" s="18"/>
      <c r="V146" s="18"/>
      <c r="W146" s="18"/>
      <c r="X146" s="18"/>
      <c r="Y146" s="18"/>
    </row>
    <row r="147" spans="1:25">
      <c r="A147" s="96" t="s">
        <v>135</v>
      </c>
      <c r="B147" s="421" t="str">
        <f>VLOOKUP(A147,'imp-questions'!A:H,4,0)</f>
        <v>Architecture Validation</v>
      </c>
      <c r="C147" s="159">
        <f>VLOOKUP(A147,'imp-questions'!A:H,5,0)</f>
        <v>1</v>
      </c>
      <c r="D147" s="49" t="str">
        <f>VLOOKUP(A147,'imp-questions'!A:H,6,0)</f>
        <v>Do you review the application architecture for key security objectives on an ad-hoc basis?</v>
      </c>
      <c r="E147" s="160" t="str">
        <f>CHAR(65+VLOOKUP(A147,'imp-questions'!A:H,8,0))</f>
        <v>F</v>
      </c>
      <c r="F147" s="108"/>
      <c r="G147" s="62">
        <f>IFERROR(VLOOKUP(F147,AnsFTBL,2,0),0)</f>
        <v>0</v>
      </c>
      <c r="H147" s="53">
        <f>IFERROR(AVERAGE(G147,G154),0)</f>
        <v>0</v>
      </c>
      <c r="I147" s="396"/>
      <c r="J147" s="422">
        <f>SUM(H147,H149,H151)</f>
        <v>0</v>
      </c>
      <c r="K147" s="405"/>
      <c r="L147" s="398"/>
      <c r="M147" s="399"/>
      <c r="N147" s="31"/>
      <c r="O147" s="31"/>
      <c r="P147" s="18"/>
      <c r="Q147" s="18"/>
      <c r="R147" s="18"/>
      <c r="S147" s="18"/>
      <c r="T147" s="18"/>
      <c r="U147" s="18"/>
      <c r="V147" s="18"/>
      <c r="W147" s="18"/>
      <c r="X147" s="18"/>
      <c r="Y147" s="18"/>
    </row>
    <row r="148" spans="1:25" ht="56">
      <c r="B148" s="421"/>
      <c r="C148" s="54"/>
      <c r="D148" s="68" t="str">
        <f>VLOOKUP(A147,'imp-questions'!A:H,7,0)</f>
        <v>You have an agreed upon model of the overall software architecture
You include components, interfaces, and integrations in the architecture model
You verify the correct provision of general security mechanisms
You log missing security controls as defects</v>
      </c>
      <c r="E148" s="161"/>
      <c r="F148" s="162"/>
      <c r="G148" s="163"/>
      <c r="H148" s="59"/>
      <c r="I148" s="396"/>
      <c r="J148" s="422"/>
      <c r="K148" s="405"/>
      <c r="L148" s="398"/>
      <c r="M148" s="399"/>
      <c r="N148" s="31"/>
      <c r="O148" s="31"/>
      <c r="P148" s="18"/>
      <c r="Q148" s="18"/>
      <c r="R148" s="18"/>
      <c r="S148" s="18"/>
      <c r="T148" s="18"/>
      <c r="U148" s="18"/>
      <c r="V148" s="18"/>
      <c r="W148" s="18"/>
      <c r="X148" s="18"/>
      <c r="Y148" s="18"/>
    </row>
    <row r="149" spans="1:25">
      <c r="A149" s="96" t="s">
        <v>136</v>
      </c>
      <c r="B149" s="421"/>
      <c r="C149" s="159">
        <f>VLOOKUP(A149,'imp-questions'!A:H,5,0)</f>
        <v>2</v>
      </c>
      <c r="D149" s="49" t="str">
        <f>VLOOKUP(A149,'imp-questions'!A:H,6,0)</f>
        <v>Do you regularly review the security mechanisms of your architecture?</v>
      </c>
      <c r="E149" s="160" t="str">
        <f>CHAR(65+VLOOKUP(A149,'imp-questions'!A:H,8,0))</f>
        <v>F</v>
      </c>
      <c r="F149" s="108"/>
      <c r="G149" s="62">
        <f>IFERROR(VLOOKUP(F149,AnsFTBL,2,0),0)</f>
        <v>0</v>
      </c>
      <c r="H149" s="53">
        <f>IFERROR(AVERAGE(G149,G156),0)</f>
        <v>0</v>
      </c>
      <c r="I149" s="396"/>
      <c r="J149" s="109"/>
      <c r="K149" s="415"/>
      <c r="L149" s="398"/>
      <c r="M149" s="399"/>
      <c r="N149" s="31"/>
      <c r="O149" s="31"/>
      <c r="P149" s="18"/>
      <c r="Q149" s="18"/>
      <c r="R149" s="18"/>
      <c r="S149" s="18"/>
      <c r="T149" s="18"/>
      <c r="U149" s="18"/>
      <c r="V149" s="18"/>
      <c r="W149" s="18"/>
      <c r="X149" s="18"/>
      <c r="Y149" s="18"/>
    </row>
    <row r="150" spans="1:25" ht="56">
      <c r="B150" s="421"/>
      <c r="C150" s="54"/>
      <c r="D150" s="68" t="str">
        <f>VLOOKUP(A149,'imp-questions'!A:H,7,0)</f>
        <v>You review compliance with internal and external requirements
You systematically review each interface in the system
You use a formalized review method and structured validation
You log missing security mechanisms as defects</v>
      </c>
      <c r="E150" s="161"/>
      <c r="F150" s="162"/>
      <c r="G150" s="163"/>
      <c r="H150" s="67"/>
      <c r="I150" s="396"/>
      <c r="J150" s="109"/>
      <c r="K150" s="415"/>
      <c r="L150" s="398"/>
      <c r="M150" s="399"/>
      <c r="N150" s="31"/>
      <c r="O150" s="31"/>
      <c r="P150" s="18"/>
      <c r="Q150" s="18"/>
      <c r="R150" s="18"/>
      <c r="S150" s="18"/>
      <c r="T150" s="18"/>
      <c r="U150" s="18"/>
      <c r="V150" s="18"/>
      <c r="W150" s="18"/>
      <c r="X150" s="18"/>
      <c r="Y150" s="18"/>
    </row>
    <row r="151" spans="1:25">
      <c r="A151" s="96" t="s">
        <v>137</v>
      </c>
      <c r="B151" s="421"/>
      <c r="C151" s="159">
        <f>VLOOKUP(A151,'imp-questions'!A:H,5,0)</f>
        <v>3</v>
      </c>
      <c r="D151" s="49" t="str">
        <f>VLOOKUP(A151,'imp-questions'!A:H,6,0)</f>
        <v>Do you regularly review the effectiveness of the security controls?</v>
      </c>
      <c r="E151" s="160" t="str">
        <f>CHAR(65+VLOOKUP(A151,'imp-questions'!A:H,8,0))</f>
        <v>F</v>
      </c>
      <c r="F151" s="108"/>
      <c r="G151" s="62">
        <f>IFERROR(VLOOKUP(F151,AnsFTBL,2,0),0)</f>
        <v>0</v>
      </c>
      <c r="H151" s="53">
        <f>IFERROR(AVERAGE(G151,G158),0)</f>
        <v>0</v>
      </c>
      <c r="I151" s="396"/>
      <c r="J151" s="109"/>
      <c r="K151" s="416"/>
      <c r="L151" s="398"/>
      <c r="M151" s="399"/>
      <c r="N151" s="31"/>
      <c r="O151" s="31"/>
      <c r="P151" s="18"/>
      <c r="Q151" s="18"/>
      <c r="R151" s="18"/>
      <c r="S151" s="18"/>
      <c r="T151" s="18"/>
      <c r="U151" s="18"/>
      <c r="V151" s="18"/>
      <c r="W151" s="18"/>
      <c r="X151" s="18"/>
      <c r="Y151" s="18"/>
    </row>
    <row r="152" spans="1:25" ht="56">
      <c r="B152" s="421"/>
      <c r="C152" s="65"/>
      <c r="D152" s="55" t="str">
        <f>VLOOKUP(A151,'imp-questions'!A:H,7,0)</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1"/>
      <c r="F152" s="162"/>
      <c r="G152" s="163"/>
      <c r="H152" s="67"/>
      <c r="I152" s="396"/>
      <c r="J152" s="109"/>
      <c r="K152" s="416"/>
      <c r="L152" s="398"/>
      <c r="M152" s="399"/>
      <c r="N152" s="31"/>
      <c r="O152" s="31"/>
      <c r="P152" s="18"/>
      <c r="Q152" s="18"/>
      <c r="R152" s="18"/>
      <c r="S152" s="18"/>
      <c r="T152" s="18"/>
      <c r="U152" s="18"/>
      <c r="V152" s="18"/>
      <c r="W152" s="18"/>
      <c r="X152" s="18"/>
      <c r="Y152" s="18"/>
    </row>
    <row r="153" spans="1:25">
      <c r="B153" s="73"/>
      <c r="C153" s="74"/>
      <c r="D153" s="74"/>
      <c r="E153" s="74"/>
      <c r="F153" s="74"/>
      <c r="G153" s="74"/>
      <c r="H153" s="74"/>
      <c r="I153" s="74"/>
      <c r="J153" s="75"/>
      <c r="K153" s="74"/>
      <c r="L153" s="74"/>
      <c r="M153" s="76"/>
      <c r="N153" s="31"/>
      <c r="O153" s="31"/>
      <c r="P153" s="18"/>
      <c r="Q153" s="18"/>
      <c r="R153" s="18"/>
      <c r="S153" s="18"/>
      <c r="T153" s="18"/>
      <c r="U153" s="18"/>
      <c r="V153" s="18"/>
      <c r="W153" s="18"/>
      <c r="X153" s="18"/>
      <c r="Y153" s="18"/>
    </row>
    <row r="154" spans="1:25">
      <c r="A154" s="96" t="s">
        <v>138</v>
      </c>
      <c r="B154" s="410" t="str">
        <f>VLOOKUP(A154,'imp-questions'!A:H,4,0)</f>
        <v>Architecture Mitigation</v>
      </c>
      <c r="C154" s="159">
        <f>VLOOKUP(A154,'imp-questions'!A:H,5,0)</f>
        <v>1</v>
      </c>
      <c r="D154" s="49" t="str">
        <f>VLOOKUP(A154,'imp-questions'!A:H,6,0)</f>
        <v>Do you review the application architecture for mitigations of typical threats on an ad-hoc basis?</v>
      </c>
      <c r="E154" s="160" t="str">
        <f>CHAR(65+VLOOKUP(A154,'imp-questions'!A:H,8,0))</f>
        <v>F</v>
      </c>
      <c r="F154" s="108"/>
      <c r="G154" s="62">
        <f>IFERROR(VLOOKUP(F154,AnsFTBL,2,0),0)</f>
        <v>0</v>
      </c>
      <c r="H154" s="164"/>
      <c r="I154" s="396"/>
      <c r="J154" s="111"/>
      <c r="K154" s="417"/>
      <c r="L154" s="398"/>
      <c r="M154" s="399"/>
      <c r="N154" s="31"/>
      <c r="O154" s="31"/>
      <c r="P154" s="18"/>
      <c r="Q154" s="18"/>
      <c r="R154" s="18"/>
      <c r="S154" s="18"/>
      <c r="T154" s="18"/>
      <c r="U154" s="18"/>
      <c r="V154" s="18"/>
      <c r="W154" s="18"/>
      <c r="X154" s="18"/>
      <c r="Y154" s="18"/>
    </row>
    <row r="155" spans="1:25" ht="42">
      <c r="B155" s="410"/>
      <c r="C155" s="54"/>
      <c r="D155" s="68" t="str">
        <f>VLOOKUP(A154,'imp-questions'!A:H,7,0)</f>
        <v>You have an agreed upon model of the overall software architecture
Security savvy staff conduct the review
You consider different types of threats, including insider and data-related one</v>
      </c>
      <c r="E155" s="161"/>
      <c r="F155" s="162"/>
      <c r="G155" s="163"/>
      <c r="H155" s="165"/>
      <c r="I155" s="396"/>
      <c r="J155" s="111"/>
      <c r="K155" s="417"/>
      <c r="L155" s="398"/>
      <c r="M155" s="399"/>
      <c r="N155" s="31"/>
      <c r="O155" s="31"/>
      <c r="P155" s="18"/>
      <c r="Q155" s="18"/>
      <c r="R155" s="18"/>
      <c r="S155" s="18"/>
      <c r="T155" s="18"/>
      <c r="U155" s="18"/>
      <c r="V155" s="18"/>
      <c r="W155" s="18"/>
      <c r="X155" s="18"/>
      <c r="Y155" s="18"/>
    </row>
    <row r="156" spans="1:25">
      <c r="A156" s="96" t="s">
        <v>139</v>
      </c>
      <c r="B156" s="410"/>
      <c r="C156" s="159">
        <f>VLOOKUP(A156,'imp-questions'!A:H,5,0)</f>
        <v>2</v>
      </c>
      <c r="D156" s="49" t="str">
        <f>VLOOKUP(A156,'imp-questions'!A:H,6,0)</f>
        <v>Do you regularly evaluate the threats to your architecture?</v>
      </c>
      <c r="E156" s="160" t="str">
        <f>CHAR(65+VLOOKUP(A156,'imp-questions'!A:H,8,0))</f>
        <v>F</v>
      </c>
      <c r="F156" s="108"/>
      <c r="G156" s="62">
        <f>IFERROR(VLOOKUP(F156,AnsFTBL,2,0),0)</f>
        <v>0</v>
      </c>
      <c r="H156" s="164"/>
      <c r="I156" s="396"/>
      <c r="J156" s="111"/>
      <c r="K156" s="417"/>
      <c r="L156" s="398"/>
      <c r="M156" s="399"/>
      <c r="N156" s="31"/>
      <c r="O156" s="31"/>
      <c r="P156" s="18"/>
      <c r="Q156" s="18"/>
      <c r="R156" s="18"/>
      <c r="S156" s="18"/>
      <c r="T156" s="18"/>
      <c r="U156" s="18"/>
      <c r="V156" s="18"/>
      <c r="W156" s="18"/>
      <c r="X156" s="18"/>
      <c r="Y156" s="18"/>
    </row>
    <row r="157" spans="1:25" ht="56">
      <c r="B157" s="410"/>
      <c r="C157" s="54"/>
      <c r="D157" s="68" t="str">
        <f>VLOOKUP(A156,'imp-questions'!A:H,7,0)</f>
        <v>You systematically review each threat identified in the Threat Assessment
Trained or experienced people lead review exercise
You identify mitigating design-level features for each identified threat
You log unhandled threats as defects</v>
      </c>
      <c r="E157" s="161"/>
      <c r="F157" s="162"/>
      <c r="G157" s="163"/>
      <c r="H157" s="165"/>
      <c r="I157" s="396"/>
      <c r="J157" s="111"/>
      <c r="K157" s="417"/>
      <c r="L157" s="398"/>
      <c r="M157" s="399"/>
      <c r="N157" s="31"/>
      <c r="O157" s="31"/>
      <c r="P157" s="18"/>
      <c r="Q157" s="18"/>
      <c r="R157" s="18"/>
      <c r="S157" s="18"/>
      <c r="T157" s="18"/>
      <c r="U157" s="18"/>
      <c r="V157" s="18"/>
      <c r="W157" s="18"/>
      <c r="X157" s="18"/>
      <c r="Y157" s="18"/>
    </row>
    <row r="158" spans="1:25">
      <c r="A158" s="96" t="s">
        <v>140</v>
      </c>
      <c r="B158" s="410"/>
      <c r="C158" s="159">
        <f>VLOOKUP(A158,'imp-questions'!A:H,5,0)</f>
        <v>3</v>
      </c>
      <c r="D158" s="49" t="str">
        <f>VLOOKUP(A158,'imp-questions'!A:H,6,0)</f>
        <v>Do you regularly update your reference architectures based on architecture assessment findings?</v>
      </c>
      <c r="E158" s="160" t="str">
        <f>CHAR(65+VLOOKUP(A158,'imp-questions'!A:H,8,0))</f>
        <v>F</v>
      </c>
      <c r="F158" s="108"/>
      <c r="G158" s="62">
        <f>IFERROR(VLOOKUP(F158,AnsFTBL,2,0),0)</f>
        <v>0</v>
      </c>
      <c r="H158" s="164"/>
      <c r="I158" s="396"/>
      <c r="J158" s="111"/>
      <c r="K158" s="418"/>
      <c r="L158" s="398"/>
      <c r="M158" s="399"/>
      <c r="N158" s="31"/>
      <c r="O158" s="31"/>
      <c r="P158" s="18"/>
      <c r="Q158" s="18"/>
      <c r="R158" s="18"/>
      <c r="S158" s="18"/>
      <c r="T158" s="18"/>
      <c r="U158" s="18"/>
      <c r="V158" s="18"/>
      <c r="W158" s="18"/>
      <c r="X158" s="18"/>
      <c r="Y158" s="18"/>
    </row>
    <row r="159" spans="1:25" ht="56">
      <c r="B159" s="410"/>
      <c r="C159" s="54"/>
      <c r="D159" s="68" t="str">
        <f>VLOOKUP(A158,'imp-questions'!A:H,7,0)</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66"/>
      <c r="F159" s="167"/>
      <c r="G159" s="168"/>
      <c r="H159" s="169"/>
      <c r="I159" s="396"/>
      <c r="J159" s="111"/>
      <c r="K159" s="418"/>
      <c r="L159" s="398"/>
      <c r="M159" s="399"/>
      <c r="N159" s="31"/>
      <c r="O159" s="31"/>
      <c r="P159" s="18"/>
      <c r="Q159" s="18"/>
      <c r="R159" s="18"/>
      <c r="S159" s="18"/>
      <c r="T159" s="18"/>
      <c r="U159" s="18"/>
      <c r="V159" s="18"/>
      <c r="W159" s="18"/>
      <c r="X159" s="18"/>
      <c r="Y159" s="18"/>
    </row>
    <row r="160" spans="1:25" ht="12.75" customHeight="1">
      <c r="B160" s="412" t="s">
        <v>141</v>
      </c>
      <c r="C160" s="412"/>
      <c r="D160" s="412"/>
      <c r="E160" s="170"/>
      <c r="F160" s="171" t="s">
        <v>52</v>
      </c>
      <c r="G160" s="171"/>
      <c r="H160" s="172"/>
      <c r="I160" s="173" t="s">
        <v>53</v>
      </c>
      <c r="J160" s="174" t="s">
        <v>54</v>
      </c>
      <c r="K160" s="175"/>
      <c r="L160" s="176"/>
      <c r="M160" s="177"/>
      <c r="N160" s="31"/>
      <c r="O160" s="31"/>
      <c r="P160" s="18"/>
      <c r="Q160" s="18"/>
      <c r="R160" s="18"/>
      <c r="S160" s="18"/>
      <c r="T160" s="18"/>
      <c r="U160" s="18"/>
      <c r="V160" s="18"/>
      <c r="W160" s="18"/>
      <c r="X160" s="18"/>
      <c r="Y160" s="18"/>
    </row>
    <row r="161" spans="1:25" ht="14" customHeight="1">
      <c r="A161" s="96" t="s">
        <v>142</v>
      </c>
      <c r="B161" s="413" t="str">
        <f>VLOOKUP(A161,'imp-questions'!A:H,4,0)</f>
        <v>Control Verification</v>
      </c>
      <c r="C161" s="178">
        <f>VLOOKUP(A161,'imp-questions'!A:H,5,0)</f>
        <v>1</v>
      </c>
      <c r="D161" s="78" t="str">
        <f>VLOOKUP(A161,'imp-questions'!A:H,6,0)</f>
        <v>Do you test applications for the correct functioning of standard security controls?</v>
      </c>
      <c r="E161" s="60" t="str">
        <f>CHAR(65+VLOOKUP(A161,'imp-questions'!A:H,8,0))</f>
        <v>C</v>
      </c>
      <c r="F161" s="121"/>
      <c r="G161" s="62">
        <f>IFERROR(VLOOKUP(F161,AnsCTBL,2,0),0)</f>
        <v>0</v>
      </c>
      <c r="H161" s="79">
        <f>IFERROR(AVERAGE(G161,G168),0)</f>
        <v>0</v>
      </c>
      <c r="I161" s="396"/>
      <c r="J161" s="414">
        <f>SUM(H161,H163,H165)</f>
        <v>0</v>
      </c>
      <c r="K161" s="404"/>
      <c r="L161" s="398"/>
      <c r="M161" s="399"/>
      <c r="N161" s="31"/>
      <c r="O161" s="31"/>
      <c r="P161" s="18"/>
      <c r="Q161" s="18"/>
      <c r="R161" s="18"/>
      <c r="S161" s="18"/>
      <c r="T161" s="18"/>
      <c r="U161" s="18"/>
      <c r="V161" s="18"/>
      <c r="W161" s="18"/>
      <c r="X161" s="18"/>
      <c r="Y161" s="18"/>
    </row>
    <row r="162" spans="1:25" ht="42">
      <c r="B162" s="413"/>
      <c r="C162" s="54"/>
      <c r="D162" s="68" t="str">
        <f>VLOOKUP(A161,'imp-questions'!A:H,7,0)</f>
        <v>Security testing at least verifies the implementation of authentication, access control, input validation, encoding and escaping data, and encryption controls
Security testing executes whenever the application changes its use of the controls</v>
      </c>
      <c r="E162" s="56"/>
      <c r="F162" s="90"/>
      <c r="G162" s="91"/>
      <c r="H162" s="59"/>
      <c r="I162" s="396"/>
      <c r="J162" s="414"/>
      <c r="K162" s="404"/>
      <c r="L162" s="398"/>
      <c r="M162" s="399"/>
      <c r="N162" s="31"/>
      <c r="O162" s="31"/>
      <c r="P162" s="18"/>
      <c r="Q162" s="18"/>
      <c r="R162" s="18"/>
      <c r="S162" s="18"/>
      <c r="T162" s="18"/>
      <c r="U162" s="18"/>
      <c r="V162" s="18"/>
      <c r="W162" s="18"/>
      <c r="X162" s="18"/>
      <c r="Y162" s="18"/>
    </row>
    <row r="163" spans="1:25">
      <c r="A163" s="96" t="s">
        <v>143</v>
      </c>
      <c r="B163" s="413"/>
      <c r="C163" s="159">
        <f>VLOOKUP(A163,'imp-questions'!A:H,5,0)</f>
        <v>2</v>
      </c>
      <c r="D163" s="49" t="str">
        <f>VLOOKUP(A163,'imp-questions'!A:H,6,0)</f>
        <v>Do you consistently write and execute test scripts to verify the functionality of security requirements?</v>
      </c>
      <c r="E163" s="50" t="str">
        <f>CHAR(65+VLOOKUP(A163,'imp-questions'!A:H,8,0))</f>
        <v>C</v>
      </c>
      <c r="F163" s="108"/>
      <c r="G163" s="62">
        <f>IFERROR(VLOOKUP(F163,AnsCTBL,2,0),0)</f>
        <v>0</v>
      </c>
      <c r="H163" s="53">
        <f>IFERROR(AVERAGE(G163,G170),0)</f>
        <v>0</v>
      </c>
      <c r="I163" s="396"/>
      <c r="J163" s="109"/>
      <c r="K163" s="415"/>
      <c r="L163" s="398"/>
      <c r="M163" s="399"/>
      <c r="N163" s="31"/>
      <c r="O163" s="31"/>
      <c r="P163" s="18"/>
      <c r="Q163" s="18"/>
      <c r="R163" s="18"/>
      <c r="S163" s="18"/>
      <c r="T163" s="18"/>
      <c r="U163" s="18"/>
      <c r="V163" s="18"/>
      <c r="W163" s="18"/>
      <c r="X163" s="18"/>
      <c r="Y163" s="18"/>
    </row>
    <row r="164" spans="1:25" ht="42">
      <c r="B164" s="413"/>
      <c r="C164" s="54"/>
      <c r="D164" s="68" t="str">
        <f>VLOOKUP(A163,'imp-questions'!A:H,7,0)</f>
        <v>You tailor tests to each application and assert expected security functionality
You capture test results as a pass or fail condition
Tests use a standardized framework or DSL</v>
      </c>
      <c r="E164" s="56"/>
      <c r="F164" s="90"/>
      <c r="G164" s="91"/>
      <c r="H164" s="67"/>
      <c r="I164" s="396"/>
      <c r="J164" s="109"/>
      <c r="K164" s="415"/>
      <c r="L164" s="398"/>
      <c r="M164" s="399"/>
      <c r="N164" s="31"/>
      <c r="O164" s="31"/>
      <c r="P164" s="18"/>
      <c r="Q164" s="18"/>
      <c r="R164" s="18"/>
      <c r="S164" s="18"/>
      <c r="T164" s="18"/>
      <c r="U164" s="18"/>
      <c r="V164" s="18"/>
      <c r="W164" s="18"/>
      <c r="X164" s="18"/>
      <c r="Y164" s="18"/>
    </row>
    <row r="165" spans="1:25">
      <c r="A165" s="96" t="s">
        <v>144</v>
      </c>
      <c r="B165" s="413"/>
      <c r="C165" s="159">
        <f>VLOOKUP(A165,'imp-questions'!A:H,5,0)</f>
        <v>3</v>
      </c>
      <c r="D165" s="49" t="str">
        <f>VLOOKUP(A165,'imp-questions'!A:H,6,0)</f>
        <v>Do you automatically test applications for security regressions?</v>
      </c>
      <c r="E165" s="50" t="str">
        <f>CHAR(65+VLOOKUP(A165,'imp-questions'!A:H,8,0))</f>
        <v>F</v>
      </c>
      <c r="F165" s="108"/>
      <c r="G165" s="62">
        <f>IFERROR(VLOOKUP(F165,AnsFTBL,2,0),0)</f>
        <v>0</v>
      </c>
      <c r="H165" s="53">
        <f>IFERROR(AVERAGE(G165,G172),0)</f>
        <v>0</v>
      </c>
      <c r="I165" s="396"/>
      <c r="J165" s="109"/>
      <c r="K165" s="416"/>
      <c r="L165" s="398"/>
      <c r="M165" s="399"/>
      <c r="N165" s="31"/>
      <c r="O165" s="31"/>
      <c r="P165" s="18"/>
      <c r="Q165" s="18"/>
      <c r="R165" s="18"/>
      <c r="S165" s="18"/>
      <c r="T165" s="18"/>
      <c r="U165" s="18"/>
      <c r="V165" s="18"/>
      <c r="W165" s="18"/>
      <c r="X165" s="18"/>
      <c r="Y165" s="18"/>
    </row>
    <row r="166" spans="1:25" ht="28">
      <c r="B166" s="413"/>
      <c r="C166" s="65"/>
      <c r="D166" s="55" t="str">
        <f>VLOOKUP(A165,'imp-questions'!A:H,7,0)</f>
        <v>You consistently write tests for all identified bugs (possibly exceeding a pre-defined severity threshhold)
You collect security tests in a test suite that is part of the existing unit testing framework</v>
      </c>
      <c r="E166" s="56"/>
      <c r="F166" s="90"/>
      <c r="G166" s="91"/>
      <c r="H166" s="67"/>
      <c r="I166" s="396"/>
      <c r="J166" s="109"/>
      <c r="K166" s="416"/>
      <c r="L166" s="398"/>
      <c r="M166" s="399"/>
      <c r="N166" s="31"/>
      <c r="O166" s="31"/>
      <c r="P166" s="18"/>
      <c r="Q166" s="18"/>
      <c r="R166" s="18"/>
      <c r="S166" s="18"/>
      <c r="T166" s="18"/>
      <c r="U166" s="18"/>
      <c r="V166" s="18"/>
      <c r="W166" s="18"/>
      <c r="X166" s="18"/>
      <c r="Y166" s="18"/>
    </row>
    <row r="167" spans="1:25">
      <c r="B167" s="73"/>
      <c r="C167" s="74"/>
      <c r="D167" s="74"/>
      <c r="E167" s="74"/>
      <c r="F167" s="74"/>
      <c r="G167" s="74"/>
      <c r="H167" s="74"/>
      <c r="I167" s="74"/>
      <c r="J167" s="75"/>
      <c r="K167" s="74"/>
      <c r="L167" s="74"/>
      <c r="M167" s="76"/>
      <c r="N167" s="31"/>
      <c r="O167" s="31"/>
      <c r="P167" s="18"/>
      <c r="Q167" s="18"/>
      <c r="R167" s="18"/>
      <c r="S167" s="18"/>
      <c r="T167" s="18"/>
      <c r="U167" s="18"/>
      <c r="V167" s="18"/>
      <c r="W167" s="18"/>
      <c r="X167" s="18"/>
      <c r="Y167" s="18"/>
    </row>
    <row r="168" spans="1:25">
      <c r="A168" s="96" t="s">
        <v>145</v>
      </c>
      <c r="B168" s="410" t="str">
        <f>VLOOKUP(A168,'imp-questions'!A:H,4,0)</f>
        <v>Misuse/Abuse Testing</v>
      </c>
      <c r="C168" s="159">
        <f>VLOOKUP(A168,'imp-questions'!A:H,5,0)</f>
        <v>1</v>
      </c>
      <c r="D168" s="49" t="str">
        <f>VLOOKUP(A168,'imp-questions'!A:H,6,0)</f>
        <v>Do you test applications using randomization or fuzzing techniques?</v>
      </c>
      <c r="E168" s="50" t="str">
        <f>CHAR(65+VLOOKUP(A168,'imp-questions'!A:H,8,0))</f>
        <v>F</v>
      </c>
      <c r="F168" s="108"/>
      <c r="G168" s="62">
        <f>IFERROR(VLOOKUP(F168,AnsFTBL,2,0),0)</f>
        <v>0</v>
      </c>
      <c r="H168" s="63"/>
      <c r="I168" s="396"/>
      <c r="J168" s="111"/>
      <c r="K168" s="405"/>
      <c r="L168" s="398"/>
      <c r="M168" s="399"/>
      <c r="N168" s="31"/>
      <c r="O168" s="31"/>
      <c r="P168" s="18"/>
      <c r="Q168" s="18"/>
      <c r="R168" s="18"/>
      <c r="S168" s="18"/>
      <c r="T168" s="18"/>
      <c r="U168" s="18"/>
      <c r="V168" s="18"/>
      <c r="W168" s="18"/>
      <c r="X168" s="18"/>
      <c r="Y168" s="18"/>
    </row>
    <row r="169" spans="1:25" ht="28">
      <c r="B169" s="410"/>
      <c r="C169" s="54"/>
      <c r="D169" s="68" t="str">
        <f>VLOOKUP(A168,'imp-questions'!A:H,7,0)</f>
        <v>Testing covers most or all of the application's main input parameters
You record and inspect all application crashes for security impact on a best-effort basis</v>
      </c>
      <c r="E169" s="56"/>
      <c r="F169" s="90"/>
      <c r="G169" s="91"/>
      <c r="H169" s="92"/>
      <c r="I169" s="396"/>
      <c r="J169" s="111"/>
      <c r="K169" s="405"/>
      <c r="L169" s="398"/>
      <c r="M169" s="399"/>
      <c r="N169" s="31"/>
      <c r="O169" s="31"/>
      <c r="P169" s="18"/>
      <c r="Q169" s="18"/>
      <c r="R169" s="18"/>
      <c r="S169" s="18"/>
      <c r="T169" s="18"/>
      <c r="U169" s="18"/>
      <c r="V169" s="18"/>
      <c r="W169" s="18"/>
      <c r="X169" s="18"/>
      <c r="Y169" s="18"/>
    </row>
    <row r="170" spans="1:25">
      <c r="A170" s="96" t="s">
        <v>146</v>
      </c>
      <c r="B170" s="410"/>
      <c r="C170" s="159">
        <f>VLOOKUP(A170,'imp-questions'!A:H,5,0)</f>
        <v>2</v>
      </c>
      <c r="D170" s="49" t="str">
        <f>VLOOKUP(A170,'imp-questions'!A:H,6,0)</f>
        <v>Do you create abuse cases from functional requirements and use them to drive security tests?</v>
      </c>
      <c r="E170" s="50" t="str">
        <f>CHAR(65+VLOOKUP(A170,'imp-questions'!A:H,8,0))</f>
        <v>H</v>
      </c>
      <c r="F170" s="121"/>
      <c r="G170" s="179">
        <f>IFERROR(VLOOKUP(F170,AnsHTBL,2,0),0)</f>
        <v>0</v>
      </c>
      <c r="H170" s="63"/>
      <c r="I170" s="396"/>
      <c r="J170" s="111"/>
      <c r="K170" s="405"/>
      <c r="L170" s="398"/>
      <c r="M170" s="399"/>
      <c r="N170" s="31"/>
      <c r="O170" s="31"/>
      <c r="P170" s="18"/>
      <c r="Q170" s="18"/>
      <c r="R170" s="18"/>
      <c r="S170" s="18"/>
      <c r="T170" s="18"/>
      <c r="U170" s="18"/>
      <c r="V170" s="18"/>
      <c r="W170" s="18"/>
      <c r="X170" s="18"/>
      <c r="Y170" s="18"/>
    </row>
    <row r="171" spans="1:25" ht="42">
      <c r="B171" s="410"/>
      <c r="C171" s="54"/>
      <c r="D171" s="68" t="str">
        <f>VLOOKUP(A170,'imp-questions'!A:H,7,0)</f>
        <v>Important business functionality has corresponding abuse cases
You build abuse stories around relevant personas with well-defined motivations and characteristics
You capture identified weaknesses as security requirements</v>
      </c>
      <c r="E171" s="56"/>
      <c r="F171" s="90"/>
      <c r="G171" s="91"/>
      <c r="H171" s="92"/>
      <c r="I171" s="396"/>
      <c r="J171" s="111"/>
      <c r="K171" s="405"/>
      <c r="L171" s="398"/>
      <c r="M171" s="399"/>
      <c r="N171" s="31"/>
      <c r="O171" s="31"/>
      <c r="P171" s="18"/>
      <c r="Q171" s="18"/>
      <c r="R171" s="18"/>
      <c r="S171" s="18"/>
      <c r="T171" s="18"/>
      <c r="U171" s="18"/>
      <c r="V171" s="18"/>
      <c r="W171" s="18"/>
      <c r="X171" s="18"/>
      <c r="Y171" s="18"/>
    </row>
    <row r="172" spans="1:25">
      <c r="A172" s="96" t="s">
        <v>147</v>
      </c>
      <c r="B172" s="410"/>
      <c r="C172" s="159">
        <f>VLOOKUP(A172,'imp-questions'!A:H,5,0)</f>
        <v>3</v>
      </c>
      <c r="D172" s="49" t="str">
        <f>VLOOKUP(A172,'imp-questions'!A:H,6,0)</f>
        <v>Do you perform denial of service and security stress testing?</v>
      </c>
      <c r="E172" s="50" t="str">
        <f>CHAR(65+VLOOKUP(A172,'imp-questions'!A:H,8,0))</f>
        <v>H</v>
      </c>
      <c r="F172" s="121"/>
      <c r="G172" s="179">
        <f>IFERROR(VLOOKUP(F172,AnsHTBL,2,0),0)</f>
        <v>0</v>
      </c>
      <c r="H172" s="63"/>
      <c r="I172" s="396"/>
      <c r="J172" s="111"/>
      <c r="K172" s="411"/>
      <c r="L172" s="398"/>
      <c r="M172" s="399"/>
      <c r="N172" s="31"/>
      <c r="O172" s="31"/>
      <c r="P172" s="18"/>
      <c r="Q172" s="18"/>
      <c r="R172" s="18"/>
      <c r="S172" s="18"/>
      <c r="T172" s="18"/>
      <c r="U172" s="18"/>
      <c r="V172" s="18"/>
      <c r="W172" s="18"/>
      <c r="X172" s="18"/>
      <c r="Y172" s="18"/>
    </row>
    <row r="173" spans="1:25" ht="42">
      <c r="B173" s="410"/>
      <c r="C173" s="54"/>
      <c r="D173" s="68" t="str">
        <f>VLOOKUP(A172,'imp-questions'!A:H,7,0)</f>
        <v>Stress tests target specific application resources (e.g. memory exhaustion by saving large amounts of data to a user session)
You design tests around relevant personas with well-defined capabilities (knowledge, resources)
You feed the results back to the Design practices</v>
      </c>
      <c r="E173" s="69"/>
      <c r="F173" s="93"/>
      <c r="G173" s="94"/>
      <c r="H173" s="95"/>
      <c r="I173" s="396"/>
      <c r="J173" s="111"/>
      <c r="K173" s="411"/>
      <c r="L173" s="398"/>
      <c r="M173" s="399"/>
      <c r="N173" s="31"/>
      <c r="O173" s="31"/>
      <c r="P173" s="18"/>
      <c r="Q173" s="18"/>
      <c r="R173" s="18"/>
      <c r="S173" s="18"/>
      <c r="T173" s="18"/>
      <c r="U173" s="18"/>
      <c r="V173" s="18"/>
      <c r="W173" s="18"/>
      <c r="X173" s="18"/>
      <c r="Y173" s="18"/>
    </row>
    <row r="174" spans="1:25" ht="12.75" customHeight="1">
      <c r="B174" s="412" t="s">
        <v>148</v>
      </c>
      <c r="C174" s="412"/>
      <c r="D174" s="412"/>
      <c r="E174" s="170"/>
      <c r="F174" s="171" t="s">
        <v>52</v>
      </c>
      <c r="G174" s="171"/>
      <c r="H174" s="172"/>
      <c r="I174" s="173" t="s">
        <v>53</v>
      </c>
      <c r="J174" s="174" t="s">
        <v>54</v>
      </c>
      <c r="K174" s="175"/>
      <c r="L174" s="176"/>
      <c r="M174" s="177"/>
      <c r="N174" s="31"/>
      <c r="O174" s="31"/>
      <c r="P174" s="18"/>
      <c r="Q174" s="18"/>
      <c r="R174" s="18"/>
      <c r="S174" s="18"/>
      <c r="T174" s="18"/>
      <c r="U174" s="18"/>
      <c r="V174" s="18"/>
      <c r="W174" s="18"/>
      <c r="X174" s="18"/>
      <c r="Y174" s="18"/>
    </row>
    <row r="175" spans="1:25" ht="14" customHeight="1">
      <c r="A175" s="96" t="s">
        <v>149</v>
      </c>
      <c r="B175" s="413" t="str">
        <f>VLOOKUP(A175,'imp-questions'!A:H,4,0)</f>
        <v>Scalable Baseline</v>
      </c>
      <c r="C175" s="178">
        <f>VLOOKUP(A175,'imp-questions'!A:H,5,0)</f>
        <v>1</v>
      </c>
      <c r="D175" s="78" t="str">
        <f>VLOOKUP(A175,'imp-questions'!A:H,6,0)</f>
        <v>Do you scan applications with automated security testing tools?</v>
      </c>
      <c r="E175" s="60" t="str">
        <f>CHAR(65+VLOOKUP(A175,'imp-questions'!A:H,8,0))</f>
        <v>C</v>
      </c>
      <c r="F175" s="121"/>
      <c r="G175" s="62">
        <f>IFERROR(VLOOKUP(F175,AnsCTBL,2,0),0)</f>
        <v>0</v>
      </c>
      <c r="H175" s="79">
        <f>IFERROR(AVERAGE(G175,G182),0)</f>
        <v>0</v>
      </c>
      <c r="I175" s="396"/>
      <c r="J175" s="414">
        <f>SUM(H175,H177,H179)</f>
        <v>0</v>
      </c>
      <c r="K175" s="404"/>
      <c r="L175" s="398"/>
      <c r="M175" s="399"/>
      <c r="N175" s="31"/>
      <c r="O175" s="31"/>
      <c r="P175" s="18"/>
      <c r="Q175" s="18"/>
      <c r="R175" s="18"/>
      <c r="S175" s="18"/>
      <c r="T175" s="18"/>
      <c r="U175" s="18"/>
      <c r="V175" s="18"/>
      <c r="W175" s="18"/>
      <c r="X175" s="18"/>
      <c r="Y175" s="18"/>
    </row>
    <row r="176" spans="1:25" ht="42">
      <c r="B176" s="413"/>
      <c r="C176" s="54"/>
      <c r="D176" s="68" t="str">
        <f>VLOOKUP(A175,'imp-questions'!A:H,7,0)</f>
        <v>You dynamically generate inputs for security tests using automated tools
You choose the security testing tools to fit the organization's architecture and technology stack, and balance depth and accuracy of inspection with usability of findings to the organization</v>
      </c>
      <c r="E176" s="56"/>
      <c r="F176" s="90"/>
      <c r="G176" s="91"/>
      <c r="H176" s="59"/>
      <c r="I176" s="396"/>
      <c r="J176" s="414"/>
      <c r="K176" s="404"/>
      <c r="L176" s="398"/>
      <c r="M176" s="399"/>
      <c r="N176" s="31"/>
      <c r="O176" s="31"/>
      <c r="P176" s="18"/>
      <c r="Q176" s="18"/>
      <c r="R176" s="18"/>
      <c r="S176" s="18"/>
      <c r="T176" s="18"/>
      <c r="U176" s="18"/>
      <c r="V176" s="18"/>
      <c r="W176" s="18"/>
      <c r="X176" s="18"/>
      <c r="Y176" s="18"/>
    </row>
    <row r="177" spans="1:25">
      <c r="A177" s="96" t="s">
        <v>150</v>
      </c>
      <c r="B177" s="413"/>
      <c r="C177" s="159">
        <f>VLOOKUP(A177,'imp-questions'!A:H,5,0)</f>
        <v>2</v>
      </c>
      <c r="D177" s="49" t="str">
        <f>VLOOKUP(A177,'imp-questions'!A:H,6,0)</f>
        <v>Do you customize the automated security tools to your applications and technology stacks?</v>
      </c>
      <c r="E177" s="50" t="str">
        <f>CHAR(65+VLOOKUP(A177,'imp-questions'!A:H,8,0))</f>
        <v>C</v>
      </c>
      <c r="F177" s="121"/>
      <c r="G177" s="62">
        <f>IFERROR(VLOOKUP(F177,AnsCTBL,2,0),0)</f>
        <v>0</v>
      </c>
      <c r="H177" s="53">
        <f>IFERROR(AVERAGE(G177,G184),0)</f>
        <v>0</v>
      </c>
      <c r="I177" s="396"/>
      <c r="J177" s="109"/>
      <c r="K177" s="415"/>
      <c r="L177" s="398"/>
      <c r="M177" s="399"/>
      <c r="N177" s="31"/>
      <c r="O177" s="31"/>
      <c r="P177" s="18"/>
      <c r="Q177" s="18"/>
      <c r="R177" s="18"/>
      <c r="S177" s="18"/>
      <c r="T177" s="18"/>
      <c r="U177" s="18"/>
      <c r="V177" s="18"/>
      <c r="W177" s="18"/>
      <c r="X177" s="18"/>
      <c r="Y177" s="18"/>
    </row>
    <row r="178" spans="1:25" ht="42">
      <c r="B178" s="413"/>
      <c r="C178" s="54"/>
      <c r="D178" s="68" t="str">
        <f>VLOOKUP(A177,'imp-questions'!A:H,7,0)</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56"/>
      <c r="F178" s="90"/>
      <c r="G178" s="91"/>
      <c r="H178" s="67"/>
      <c r="I178" s="396"/>
      <c r="J178" s="109"/>
      <c r="K178" s="415"/>
      <c r="L178" s="398"/>
      <c r="M178" s="399"/>
      <c r="N178" s="31"/>
      <c r="O178" s="31"/>
      <c r="P178" s="18"/>
      <c r="Q178" s="18"/>
      <c r="R178" s="18"/>
      <c r="S178" s="18"/>
      <c r="T178" s="18"/>
      <c r="U178" s="18"/>
      <c r="V178" s="18"/>
      <c r="W178" s="18"/>
      <c r="X178" s="18"/>
      <c r="Y178" s="18"/>
    </row>
    <row r="179" spans="1:25">
      <c r="A179" s="96" t="s">
        <v>151</v>
      </c>
      <c r="B179" s="413"/>
      <c r="C179" s="159">
        <f>VLOOKUP(A179,'imp-questions'!A:H,5,0)</f>
        <v>3</v>
      </c>
      <c r="D179" s="49" t="str">
        <f>VLOOKUP(A179,'imp-questions'!A:H,6,0)</f>
        <v>Do you integrate automated security testing into the build and deploy process?</v>
      </c>
      <c r="E179" s="50" t="str">
        <f>CHAR(65+VLOOKUP(A179,'imp-questions'!A:H,8,0))</f>
        <v>X</v>
      </c>
      <c r="F179" s="121"/>
      <c r="G179" s="62">
        <f>IFERROR(VLOOKUP(F179,AnsXTBL,2,0),0)</f>
        <v>0</v>
      </c>
      <c r="H179" s="53">
        <f>IFERROR(AVERAGE(G179,G186),0)</f>
        <v>0</v>
      </c>
      <c r="I179" s="396"/>
      <c r="J179" s="109"/>
      <c r="K179" s="416"/>
      <c r="L179" s="398"/>
      <c r="M179" s="399"/>
      <c r="N179" s="31"/>
      <c r="O179" s="31"/>
      <c r="P179" s="18"/>
      <c r="Q179" s="18"/>
      <c r="R179" s="18"/>
      <c r="S179" s="18"/>
      <c r="T179" s="18"/>
      <c r="U179" s="18"/>
      <c r="V179" s="18"/>
      <c r="W179" s="18"/>
      <c r="X179" s="18"/>
      <c r="Y179" s="18"/>
    </row>
    <row r="180" spans="1:25" ht="28">
      <c r="B180" s="413"/>
      <c r="C180" s="65"/>
      <c r="D180" s="55" t="str">
        <f>VLOOKUP(A179,'imp-questions'!A:H,7,0)</f>
        <v>Management and business stakeholders track and review test results throughout the development cycle
You merge test results into a central dashboard and feed them into defect management</v>
      </c>
      <c r="E180" s="56"/>
      <c r="F180" s="90"/>
      <c r="G180" s="91"/>
      <c r="H180" s="67"/>
      <c r="I180" s="396"/>
      <c r="J180" s="109"/>
      <c r="K180" s="416"/>
      <c r="L180" s="398"/>
      <c r="M180" s="399"/>
      <c r="N180" s="31"/>
      <c r="O180" s="31"/>
      <c r="P180" s="18"/>
      <c r="Q180" s="18"/>
      <c r="R180" s="18"/>
      <c r="S180" s="18"/>
      <c r="T180" s="18"/>
      <c r="U180" s="18"/>
      <c r="V180" s="18"/>
      <c r="W180" s="18"/>
      <c r="X180" s="18"/>
      <c r="Y180" s="18"/>
    </row>
    <row r="181" spans="1:25">
      <c r="B181" s="73"/>
      <c r="C181" s="74"/>
      <c r="D181" s="74"/>
      <c r="E181" s="74"/>
      <c r="F181" s="74"/>
      <c r="G181" s="74"/>
      <c r="H181" s="74"/>
      <c r="I181" s="74"/>
      <c r="J181" s="75"/>
      <c r="K181" s="74"/>
      <c r="L181" s="74"/>
      <c r="M181" s="76"/>
      <c r="N181" s="31"/>
      <c r="O181" s="31"/>
      <c r="P181" s="18"/>
      <c r="Q181" s="18"/>
      <c r="R181" s="18"/>
      <c r="S181" s="18"/>
      <c r="T181" s="18"/>
      <c r="U181" s="18"/>
      <c r="V181" s="18"/>
      <c r="W181" s="18"/>
      <c r="X181" s="18"/>
      <c r="Y181" s="18"/>
    </row>
    <row r="182" spans="1:25">
      <c r="A182" s="96" t="s">
        <v>152</v>
      </c>
      <c r="B182" s="410" t="str">
        <f>VLOOKUP(A182,'imp-questions'!A:H,4,0)</f>
        <v>Deep Understanding</v>
      </c>
      <c r="C182" s="159">
        <f>VLOOKUP(A182,'imp-questions'!A:H,5,0)</f>
        <v>1</v>
      </c>
      <c r="D182" s="49" t="str">
        <f>VLOOKUP(A182,'imp-questions'!A:H,6,0)</f>
        <v>Do you manually review the security quality of selected high-risk components?</v>
      </c>
      <c r="E182" s="50" t="str">
        <f>CHAR(65+VLOOKUP(A182,'imp-questions'!A:H,8,0))</f>
        <v>M</v>
      </c>
      <c r="F182" s="108"/>
      <c r="G182" s="62">
        <f>IFERROR(VLOOKUP(F182,AnsMTBL,2,0),0)</f>
        <v>0</v>
      </c>
      <c r="H182" s="63"/>
      <c r="I182" s="396"/>
      <c r="J182" s="111"/>
      <c r="K182" s="405"/>
      <c r="L182" s="398"/>
      <c r="M182" s="399"/>
      <c r="N182" s="31"/>
      <c r="O182" s="31"/>
      <c r="P182" s="18"/>
      <c r="Q182" s="18"/>
      <c r="R182" s="18"/>
      <c r="S182" s="18"/>
      <c r="T182" s="18"/>
      <c r="U182" s="18"/>
      <c r="V182" s="18"/>
      <c r="W182" s="18"/>
      <c r="X182" s="18"/>
      <c r="Y182" s="18"/>
    </row>
    <row r="183" spans="1:25" ht="42">
      <c r="B183" s="410"/>
      <c r="C183" s="54"/>
      <c r="D183" s="68" t="str">
        <f>VLOOKUP(A182,'imp-questions'!A:H,7,0)</f>
        <v>Criteria exist to help the reviewer focus on high-risk components
Qualified personnel conduct reviews following documented guidelines
You address findings in accordance with the organization's defect management policy</v>
      </c>
      <c r="E183" s="56"/>
      <c r="F183" s="90"/>
      <c r="G183" s="91"/>
      <c r="H183" s="92"/>
      <c r="I183" s="396"/>
      <c r="J183" s="111"/>
      <c r="K183" s="405"/>
      <c r="L183" s="398"/>
      <c r="M183" s="399"/>
      <c r="N183" s="31"/>
      <c r="O183" s="31"/>
      <c r="P183" s="18"/>
      <c r="Q183" s="18"/>
      <c r="R183" s="18"/>
      <c r="S183" s="18"/>
      <c r="T183" s="18"/>
      <c r="U183" s="18"/>
      <c r="V183" s="18"/>
      <c r="W183" s="18"/>
      <c r="X183" s="18"/>
      <c r="Y183" s="18"/>
    </row>
    <row r="184" spans="1:25">
      <c r="A184" s="96" t="s">
        <v>153</v>
      </c>
      <c r="B184" s="410"/>
      <c r="C184" s="159">
        <f>VLOOKUP(A184,'imp-questions'!A:H,5,0)</f>
        <v>2</v>
      </c>
      <c r="D184" s="49" t="str">
        <f>VLOOKUP(A184,'imp-questions'!A:H,6,0)</f>
        <v>Do you perform penetration testing for your applications at regular intervals?</v>
      </c>
      <c r="E184" s="50" t="str">
        <f>CHAR(65+VLOOKUP(A184,'imp-questions'!A:H,8,0))</f>
        <v>F</v>
      </c>
      <c r="F184" s="108"/>
      <c r="G184" s="62">
        <f>IFERROR(VLOOKUP(F184,AnsFTBL,2,0),0)</f>
        <v>0</v>
      </c>
      <c r="H184" s="63"/>
      <c r="I184" s="396"/>
      <c r="J184" s="111"/>
      <c r="K184" s="405"/>
      <c r="L184" s="398"/>
      <c r="M184" s="399"/>
      <c r="N184" s="31"/>
      <c r="O184" s="31"/>
      <c r="P184" s="18"/>
      <c r="Q184" s="18"/>
      <c r="R184" s="18"/>
      <c r="S184" s="18"/>
      <c r="T184" s="18"/>
      <c r="U184" s="18"/>
      <c r="V184" s="18"/>
      <c r="W184" s="18"/>
      <c r="X184" s="18"/>
      <c r="Y184" s="18"/>
    </row>
    <row r="185" spans="1:25" ht="56">
      <c r="B185" s="410"/>
      <c r="C185" s="54"/>
      <c r="D185" s="68" t="str">
        <f>VLOOKUP(A184,'imp-questions'!A:H,7,0)</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56"/>
      <c r="F185" s="90"/>
      <c r="G185" s="91"/>
      <c r="H185" s="92"/>
      <c r="I185" s="396"/>
      <c r="J185" s="111"/>
      <c r="K185" s="405"/>
      <c r="L185" s="398"/>
      <c r="M185" s="399"/>
      <c r="N185" s="31"/>
      <c r="O185" s="31"/>
      <c r="P185" s="18"/>
      <c r="Q185" s="18"/>
      <c r="R185" s="18"/>
      <c r="S185" s="18"/>
      <c r="T185" s="18"/>
      <c r="U185" s="18"/>
      <c r="V185" s="18"/>
      <c r="W185" s="18"/>
      <c r="X185" s="18"/>
      <c r="Y185" s="18"/>
    </row>
    <row r="186" spans="1:25">
      <c r="A186" s="96" t="s">
        <v>154</v>
      </c>
      <c r="B186" s="410"/>
      <c r="C186" s="159">
        <f>VLOOKUP(A186,'imp-questions'!A:H,5,0)</f>
        <v>3</v>
      </c>
      <c r="D186" s="49" t="str">
        <f>VLOOKUP(A186,'imp-questions'!A:H,6,0)</f>
        <v>Do you use the results of security testing to improve the development lifecycle?</v>
      </c>
      <c r="E186" s="50" t="str">
        <f>CHAR(65+VLOOKUP(A186,'imp-questions'!A:H,8,0))</f>
        <v>T</v>
      </c>
      <c r="F186" s="121"/>
      <c r="G186" s="179">
        <f>IFERROR(VLOOKUP(F186,AnsTTBL,2,0),0)</f>
        <v>0</v>
      </c>
      <c r="H186" s="63"/>
      <c r="I186" s="396"/>
      <c r="J186" s="111"/>
      <c r="K186" s="411"/>
      <c r="L186" s="398"/>
      <c r="M186" s="399"/>
      <c r="N186" s="31"/>
      <c r="O186" s="31"/>
      <c r="P186" s="18"/>
      <c r="Q186" s="18"/>
      <c r="R186" s="18"/>
      <c r="S186" s="18"/>
      <c r="T186" s="18"/>
      <c r="U186" s="18"/>
      <c r="V186" s="18"/>
      <c r="W186" s="18"/>
      <c r="X186" s="18"/>
      <c r="Y186" s="18"/>
    </row>
    <row r="187" spans="1:25" ht="42">
      <c r="B187" s="410"/>
      <c r="C187" s="54"/>
      <c r="D187" s="68" t="str">
        <f>VLOOKUP(A186,'imp-questions'!A:H,7,0)</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69"/>
      <c r="F187" s="93"/>
      <c r="G187" s="94"/>
      <c r="H187" s="95"/>
      <c r="I187" s="396"/>
      <c r="J187" s="111"/>
      <c r="K187" s="411"/>
      <c r="L187" s="398"/>
      <c r="M187" s="399"/>
      <c r="N187" s="31"/>
      <c r="O187" s="31"/>
      <c r="P187" s="18"/>
      <c r="Q187" s="18"/>
      <c r="R187" s="18"/>
      <c r="S187" s="18"/>
      <c r="T187" s="18"/>
      <c r="U187" s="18"/>
      <c r="V187" s="18"/>
      <c r="W187" s="18"/>
      <c r="X187" s="18"/>
      <c r="Y187" s="18"/>
    </row>
    <row r="188" spans="1:25" ht="12.75" customHeight="1">
      <c r="B188" s="409" t="s">
        <v>155</v>
      </c>
      <c r="C188" s="409"/>
      <c r="D188" s="409"/>
      <c r="E188" s="409"/>
      <c r="F188" s="409"/>
      <c r="G188" s="409"/>
      <c r="H188" s="409"/>
      <c r="I188" s="409"/>
      <c r="J188" s="409"/>
      <c r="K188" s="180"/>
      <c r="L188" s="180"/>
      <c r="M188" s="181"/>
      <c r="N188" s="31"/>
      <c r="O188" s="31"/>
      <c r="P188" s="18"/>
      <c r="Q188" s="18"/>
      <c r="R188" s="18"/>
      <c r="S188" s="18"/>
      <c r="T188" s="18"/>
      <c r="U188" s="18"/>
      <c r="V188" s="18"/>
      <c r="W188" s="18"/>
      <c r="X188" s="18"/>
      <c r="Y188" s="18"/>
    </row>
    <row r="189" spans="1:25" ht="12.75" customHeight="1">
      <c r="B189" s="407" t="s">
        <v>156</v>
      </c>
      <c r="C189" s="407"/>
      <c r="D189" s="407"/>
      <c r="E189" s="183"/>
      <c r="F189" s="182" t="s">
        <v>52</v>
      </c>
      <c r="G189" s="182"/>
      <c r="H189" s="184"/>
      <c r="I189" s="185" t="s">
        <v>53</v>
      </c>
      <c r="J189" s="186" t="s">
        <v>54</v>
      </c>
      <c r="K189" s="187"/>
      <c r="L189" s="188"/>
      <c r="M189" s="189"/>
      <c r="N189" s="31"/>
      <c r="O189" s="31"/>
      <c r="P189" s="18"/>
      <c r="Q189" s="18"/>
      <c r="R189" s="18"/>
      <c r="S189" s="18"/>
      <c r="T189" s="18"/>
      <c r="U189" s="18"/>
      <c r="V189" s="18"/>
      <c r="W189" s="18"/>
      <c r="X189" s="18"/>
      <c r="Y189" s="18"/>
    </row>
    <row r="190" spans="1:25">
      <c r="A190" s="96" t="s">
        <v>157</v>
      </c>
      <c r="B190" s="395" t="str">
        <f>VLOOKUP(A190,'imp-questions'!A:H,4,0)</f>
        <v>Incident Detection</v>
      </c>
      <c r="C190" s="191">
        <f>VLOOKUP(A190,'imp-questions'!A:H,5,0)</f>
        <v>1</v>
      </c>
      <c r="D190" s="49" t="str">
        <f>VLOOKUP(A190,'imp-questions'!A:H,6,0)</f>
        <v>Do you analyze log data for security incidents periodically?</v>
      </c>
      <c r="E190" s="50" t="str">
        <f>CHAR(65+VLOOKUP(A190,'imp-questions'!A:H,8,0))</f>
        <v>F</v>
      </c>
      <c r="F190" s="108"/>
      <c r="G190" s="62">
        <f>IFERROR(VLOOKUP(F190,AnsFTBL,2,0),0)</f>
        <v>0</v>
      </c>
      <c r="H190" s="53">
        <f>IFERROR(AVERAGE(G190,G197),0)</f>
        <v>0</v>
      </c>
      <c r="I190" s="396"/>
      <c r="J190" s="408">
        <f>SUM(H190,H192,H194)</f>
        <v>0</v>
      </c>
      <c r="K190" s="405"/>
      <c r="L190" s="398"/>
      <c r="M190" s="399"/>
      <c r="N190" s="31"/>
      <c r="O190" s="31"/>
      <c r="P190" s="18"/>
      <c r="Q190" s="18"/>
      <c r="R190" s="18"/>
      <c r="S190" s="18"/>
      <c r="T190" s="18"/>
      <c r="U190" s="18"/>
      <c r="V190" s="18"/>
      <c r="W190" s="18"/>
      <c r="X190" s="18"/>
      <c r="Y190" s="18"/>
    </row>
    <row r="191" spans="1:25" ht="42">
      <c r="B191" s="395"/>
      <c r="C191" s="65"/>
      <c r="D191" s="55" t="str">
        <f>VLOOKUP(A190,'imp-questions'!A:H,7,0)</f>
        <v>You have a contact point for the creation of security incidents
You analyze data in accordance with the log data retention periods
The frequency of this analysis is aligned with the criticality of your applications</v>
      </c>
      <c r="E191" s="56"/>
      <c r="F191" s="66"/>
      <c r="G191" s="71"/>
      <c r="H191" s="59"/>
      <c r="I191" s="396"/>
      <c r="J191" s="408"/>
      <c r="K191" s="405"/>
      <c r="L191" s="398"/>
      <c r="M191" s="399"/>
      <c r="N191" s="31"/>
      <c r="O191" s="31"/>
      <c r="P191" s="18"/>
      <c r="Q191" s="18"/>
      <c r="R191" s="18"/>
      <c r="S191" s="18"/>
      <c r="T191" s="18"/>
      <c r="U191" s="18"/>
      <c r="V191" s="18"/>
      <c r="W191" s="18"/>
      <c r="X191" s="18"/>
      <c r="Y191" s="18"/>
    </row>
    <row r="192" spans="1:25">
      <c r="A192" s="96" t="s">
        <v>158</v>
      </c>
      <c r="B192" s="395"/>
      <c r="C192" s="191">
        <f>VLOOKUP(A192,'imp-questions'!A:H,5,0)</f>
        <v>2</v>
      </c>
      <c r="D192" s="49" t="str">
        <f>VLOOKUP(A192,'imp-questions'!A:H,6,0)</f>
        <v>Do you follow a documented process for incident detection?</v>
      </c>
      <c r="E192" s="50" t="str">
        <f>CHAR(65+VLOOKUP(A192,'imp-questions'!A:H,8,0))</f>
        <v>F</v>
      </c>
      <c r="F192" s="108"/>
      <c r="G192" s="62">
        <f>IFERROR(VLOOKUP(F192,AnsFTBL,2,0),0)</f>
        <v>0</v>
      </c>
      <c r="H192" s="53">
        <f>IFERROR(AVERAGE(G192,G199),0)</f>
        <v>0</v>
      </c>
      <c r="I192" s="396"/>
      <c r="J192" s="17"/>
      <c r="K192" s="405"/>
      <c r="L192" s="398"/>
      <c r="M192" s="399"/>
      <c r="N192" s="31"/>
      <c r="O192" s="31"/>
      <c r="P192" s="18"/>
      <c r="Q192" s="18"/>
      <c r="R192" s="18"/>
      <c r="S192" s="18"/>
      <c r="T192" s="18"/>
      <c r="U192" s="18"/>
      <c r="V192" s="18"/>
      <c r="W192" s="18"/>
      <c r="X192" s="18"/>
      <c r="Y192" s="18"/>
    </row>
    <row r="193" spans="1:25" ht="70">
      <c r="B193" s="395"/>
      <c r="C193" s="65"/>
      <c r="D193" s="55" t="str">
        <f>VLOOKUP(A192,'imp-questions'!A:H,7,0)</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56"/>
      <c r="F193" s="70"/>
      <c r="G193" s="71"/>
      <c r="H193" s="67"/>
      <c r="I193" s="396"/>
      <c r="J193" s="17"/>
      <c r="K193" s="405"/>
      <c r="L193" s="398"/>
      <c r="M193" s="399"/>
      <c r="N193" s="31"/>
      <c r="O193" s="31"/>
      <c r="P193" s="18"/>
      <c r="Q193" s="18"/>
      <c r="R193" s="18"/>
      <c r="S193" s="18"/>
      <c r="T193" s="18"/>
      <c r="U193" s="18"/>
      <c r="V193" s="18"/>
      <c r="W193" s="18"/>
      <c r="X193" s="18"/>
      <c r="Y193" s="18"/>
    </row>
    <row r="194" spans="1:25">
      <c r="A194" s="96" t="s">
        <v>159</v>
      </c>
      <c r="B194" s="395"/>
      <c r="C194" s="191">
        <f>VLOOKUP(A194,'imp-questions'!A:H,5,0)</f>
        <v>3</v>
      </c>
      <c r="D194" s="49" t="str">
        <f>VLOOKUP(A194,'imp-questions'!A:H,6,0)</f>
        <v>Do you review and update the incident detection process regularly?</v>
      </c>
      <c r="E194" s="50" t="str">
        <f>CHAR(65+VLOOKUP(A194,'imp-questions'!A:H,8,0))</f>
        <v>F</v>
      </c>
      <c r="F194" s="108"/>
      <c r="G194" s="62">
        <f>IFERROR(VLOOKUP(F194,AnsFTBL,2,0),0)</f>
        <v>0</v>
      </c>
      <c r="H194" s="53">
        <f>IFERROR(AVERAGE(G194,G201),0)</f>
        <v>0</v>
      </c>
      <c r="I194" s="396"/>
      <c r="J194" s="17"/>
      <c r="K194" s="405"/>
      <c r="L194" s="398"/>
      <c r="M194" s="399"/>
      <c r="N194" s="31"/>
      <c r="O194" s="31"/>
      <c r="P194" s="18"/>
      <c r="Q194" s="18"/>
      <c r="R194" s="18"/>
      <c r="S194" s="18"/>
      <c r="T194" s="18"/>
      <c r="U194" s="18"/>
      <c r="V194" s="18"/>
      <c r="W194" s="18"/>
      <c r="X194" s="18"/>
      <c r="Y194" s="18"/>
    </row>
    <row r="195" spans="1:25" ht="28">
      <c r="B195" s="395"/>
      <c r="C195" s="65"/>
      <c r="D195" s="55" t="str">
        <f>VLOOKUP(A194,'imp-questions'!A:H,7,0)</f>
        <v>You perform reviews at least annually
You update the checklist of potential attacks with external and internal data</v>
      </c>
      <c r="E195" s="56"/>
      <c r="F195" s="66"/>
      <c r="G195" s="71"/>
      <c r="H195" s="67"/>
      <c r="I195" s="396"/>
      <c r="J195" s="17"/>
      <c r="K195" s="405"/>
      <c r="L195" s="398"/>
      <c r="M195" s="399"/>
      <c r="N195" s="31"/>
      <c r="O195" s="31"/>
      <c r="P195" s="18"/>
      <c r="Q195" s="18"/>
      <c r="R195" s="18"/>
      <c r="S195" s="18"/>
      <c r="T195" s="18"/>
      <c r="U195" s="18"/>
      <c r="V195" s="18"/>
      <c r="W195" s="18"/>
      <c r="X195" s="18"/>
      <c r="Y195" s="18"/>
    </row>
    <row r="196" spans="1:25">
      <c r="B196" s="73"/>
      <c r="C196" s="74"/>
      <c r="D196" s="74"/>
      <c r="E196" s="74"/>
      <c r="F196" s="74"/>
      <c r="G196" s="74"/>
      <c r="H196" s="74"/>
      <c r="I196" s="74"/>
      <c r="J196" s="75"/>
      <c r="K196" s="74"/>
      <c r="L196" s="74"/>
      <c r="M196" s="76"/>
      <c r="N196" s="31"/>
      <c r="O196" s="31"/>
      <c r="P196" s="18"/>
      <c r="Q196" s="18"/>
      <c r="R196" s="18"/>
      <c r="S196" s="18"/>
      <c r="T196" s="18"/>
      <c r="U196" s="18"/>
      <c r="V196" s="18"/>
      <c r="W196" s="18"/>
      <c r="X196" s="18"/>
      <c r="Y196" s="18"/>
    </row>
    <row r="197" spans="1:25">
      <c r="A197" s="96" t="s">
        <v>160</v>
      </c>
      <c r="B197" s="395" t="str">
        <f>VLOOKUP(A197,'imp-questions'!A:H,4,0)</f>
        <v>Incident Response</v>
      </c>
      <c r="C197" s="191">
        <f>VLOOKUP(A197,'imp-questions'!A:H,5,0)</f>
        <v>1</v>
      </c>
      <c r="D197" s="49" t="str">
        <f>VLOOKUP(A197,'imp-questions'!A:H,6,0)</f>
        <v>Do you respond to detected incidents?</v>
      </c>
      <c r="E197" s="50" t="str">
        <f>CHAR(65+VLOOKUP(A197,'imp-questions'!A:H,8,0))</f>
        <v>R</v>
      </c>
      <c r="F197" s="51"/>
      <c r="G197" s="62">
        <f>IFERROR(VLOOKUP(F197,AnsRTBL,2,0),0)</f>
        <v>0</v>
      </c>
      <c r="H197" s="63"/>
      <c r="I197" s="396"/>
      <c r="J197" s="64"/>
      <c r="K197" s="397"/>
      <c r="L197" s="398"/>
      <c r="M197" s="399"/>
      <c r="N197" s="31"/>
      <c r="O197" s="31"/>
      <c r="P197" s="18"/>
      <c r="Q197" s="18"/>
      <c r="R197" s="18"/>
      <c r="S197" s="18"/>
      <c r="T197" s="18"/>
      <c r="U197" s="18"/>
      <c r="V197" s="18"/>
      <c r="W197" s="18"/>
      <c r="X197" s="18"/>
      <c r="Y197" s="18"/>
    </row>
    <row r="198" spans="1:25" ht="28">
      <c r="B198" s="395"/>
      <c r="C198" s="65"/>
      <c r="D198" s="55" t="str">
        <f>VLOOKUP(A197,'imp-questions'!A:H,7,0)</f>
        <v>You have a defined person or role for incident handling
You document security incidents</v>
      </c>
      <c r="E198" s="56"/>
      <c r="F198" s="66"/>
      <c r="G198" s="71"/>
      <c r="H198" s="72"/>
      <c r="I198" s="396"/>
      <c r="J198" s="64"/>
      <c r="K198" s="397"/>
      <c r="L198" s="398"/>
      <c r="M198" s="399"/>
      <c r="N198" s="31"/>
      <c r="O198" s="31"/>
      <c r="P198" s="18"/>
      <c r="Q198" s="18"/>
      <c r="R198" s="18"/>
      <c r="S198" s="18"/>
      <c r="T198" s="18"/>
      <c r="U198" s="18"/>
      <c r="V198" s="18"/>
      <c r="W198" s="18"/>
      <c r="X198" s="18"/>
      <c r="Y198" s="18"/>
    </row>
    <row r="199" spans="1:25">
      <c r="A199" s="96" t="s">
        <v>161</v>
      </c>
      <c r="B199" s="395"/>
      <c r="C199" s="191">
        <f>VLOOKUP(A199,'imp-questions'!A:H,5,0)</f>
        <v>2</v>
      </c>
      <c r="D199" s="49" t="str">
        <f>VLOOKUP(A199,'imp-questions'!A:H,6,0)</f>
        <v>Do you use a repeatable process for incident handling?</v>
      </c>
      <c r="E199" s="50" t="str">
        <f>CHAR(65+VLOOKUP(A199,'imp-questions'!A:H,8,0))</f>
        <v>Q</v>
      </c>
      <c r="F199" s="61"/>
      <c r="G199" s="62">
        <f>IFERROR(VLOOKUP(F199,AnsQTBL,2,0),0)</f>
        <v>0</v>
      </c>
      <c r="H199" s="63"/>
      <c r="I199" s="396"/>
      <c r="J199" s="64"/>
      <c r="K199" s="397"/>
      <c r="L199" s="398"/>
      <c r="M199" s="399"/>
      <c r="N199" s="31"/>
      <c r="O199" s="31"/>
      <c r="P199" s="18"/>
      <c r="Q199" s="18"/>
      <c r="R199" s="18"/>
      <c r="S199" s="18"/>
      <c r="T199" s="18"/>
      <c r="U199" s="18"/>
      <c r="V199" s="18"/>
      <c r="W199" s="18"/>
      <c r="X199" s="18"/>
      <c r="Y199" s="18"/>
    </row>
    <row r="200" spans="1:25" ht="56">
      <c r="B200" s="395"/>
      <c r="C200" s="65"/>
      <c r="D200" s="55" t="str">
        <f>VLOOKUP(A199,'imp-questions'!A:H,7,0)</f>
        <v>You have an agreed upon incident classification
The process considers Root Case Analysis for high severity incidents
Employees responsible for incident response are trained in this process
Forensic analysis tooling is available</v>
      </c>
      <c r="E200" s="56"/>
      <c r="F200" s="66"/>
      <c r="G200" s="71"/>
      <c r="H200" s="72"/>
      <c r="I200" s="396"/>
      <c r="J200" s="64"/>
      <c r="K200" s="397"/>
      <c r="L200" s="398"/>
      <c r="M200" s="399"/>
      <c r="N200" s="31"/>
      <c r="O200" s="31"/>
      <c r="P200" s="18"/>
      <c r="Q200" s="18"/>
      <c r="R200" s="18"/>
      <c r="S200" s="18"/>
      <c r="T200" s="18"/>
      <c r="U200" s="18"/>
      <c r="V200" s="18"/>
      <c r="W200" s="18"/>
      <c r="X200" s="18"/>
      <c r="Y200" s="18"/>
    </row>
    <row r="201" spans="1:25">
      <c r="A201" s="96" t="s">
        <v>162</v>
      </c>
      <c r="B201" s="395"/>
      <c r="C201" s="191">
        <f>VLOOKUP(A201,'imp-questions'!A:H,5,0)</f>
        <v>3</v>
      </c>
      <c r="D201" s="49" t="str">
        <f>VLOOKUP(A201,'imp-questions'!A:H,6,0)</f>
        <v>Do you have a dedicated incident response team available?</v>
      </c>
      <c r="E201" s="50" t="str">
        <f>CHAR(65+VLOOKUP(A201,'imp-questions'!A:H,8,0))</f>
        <v>H</v>
      </c>
      <c r="F201" s="61"/>
      <c r="G201" s="62">
        <f>IFERROR(VLOOKUP(F201,AnsHTBL,2,0),0)</f>
        <v>0</v>
      </c>
      <c r="H201" s="63"/>
      <c r="I201" s="396"/>
      <c r="J201" s="64"/>
      <c r="K201" s="397"/>
      <c r="L201" s="398"/>
      <c r="M201" s="399"/>
      <c r="N201" s="31"/>
      <c r="O201" s="31"/>
      <c r="P201" s="18"/>
      <c r="Q201" s="18"/>
      <c r="R201" s="18"/>
      <c r="S201" s="18"/>
      <c r="T201" s="18"/>
      <c r="U201" s="18"/>
      <c r="V201" s="18"/>
      <c r="W201" s="18"/>
      <c r="X201" s="18"/>
      <c r="Y201" s="18"/>
    </row>
    <row r="202" spans="1:25" ht="28">
      <c r="B202" s="395"/>
      <c r="C202" s="65"/>
      <c r="D202" s="55" t="str">
        <f>VLOOKUP(A201,'imp-questions'!A:H,7,0)</f>
        <v>The team performs Root Cause Analysis for all security incidents unless there is a specific reason not to do so
You review and update the response process at least annually</v>
      </c>
      <c r="E202" s="56"/>
      <c r="F202" s="66"/>
      <c r="G202" s="71"/>
      <c r="H202" s="72"/>
      <c r="I202" s="396"/>
      <c r="J202" s="64"/>
      <c r="K202" s="397"/>
      <c r="L202" s="398"/>
      <c r="M202" s="399"/>
      <c r="N202" s="31"/>
      <c r="O202" s="31"/>
      <c r="P202" s="18"/>
      <c r="Q202" s="18"/>
      <c r="R202" s="18"/>
      <c r="S202" s="18"/>
      <c r="T202" s="18"/>
      <c r="U202" s="18"/>
      <c r="V202" s="18"/>
      <c r="W202" s="18"/>
      <c r="X202" s="18"/>
      <c r="Y202" s="18"/>
    </row>
    <row r="203" spans="1:25" ht="12.75" customHeight="1">
      <c r="B203" s="407" t="s">
        <v>163</v>
      </c>
      <c r="C203" s="407"/>
      <c r="D203" s="407"/>
      <c r="E203" s="183"/>
      <c r="F203" s="182" t="s">
        <v>52</v>
      </c>
      <c r="G203" s="182"/>
      <c r="H203" s="184"/>
      <c r="I203" s="192" t="s">
        <v>53</v>
      </c>
      <c r="J203" s="193" t="s">
        <v>54</v>
      </c>
      <c r="K203" s="187"/>
      <c r="L203" s="188"/>
      <c r="M203" s="189"/>
      <c r="N203" s="31"/>
      <c r="O203" s="31"/>
      <c r="P203" s="18"/>
      <c r="Q203" s="18"/>
      <c r="R203" s="18"/>
      <c r="S203" s="18"/>
      <c r="T203" s="18"/>
      <c r="U203" s="18"/>
      <c r="V203" s="18"/>
      <c r="W203" s="18"/>
      <c r="X203" s="18"/>
      <c r="Y203" s="18"/>
    </row>
    <row r="204" spans="1:25" ht="30" customHeight="1">
      <c r="A204" s="96" t="s">
        <v>164</v>
      </c>
      <c r="B204" s="395" t="str">
        <f>VLOOKUP(A204,'imp-questions'!A:H,4,0)</f>
        <v>Configuration Hardening</v>
      </c>
      <c r="C204" s="191">
        <f>VLOOKUP(A204,'imp-questions'!A:H,5,0)</f>
        <v>1</v>
      </c>
      <c r="D204" s="49" t="str">
        <f>VLOOKUP(A204,'imp-questions'!A:H,6,0)</f>
        <v>Do you harden configurations for key components of your technology stacks?</v>
      </c>
      <c r="E204" s="50" t="str">
        <f>CHAR(65+VLOOKUP(A204,'imp-questions'!A:H,8,0))</f>
        <v>M</v>
      </c>
      <c r="F204" s="108"/>
      <c r="G204" s="62">
        <f>IFERROR(VLOOKUP(F204,AnsMTBL,2,0),0)</f>
        <v>0</v>
      </c>
      <c r="H204" s="53">
        <f>IFERROR(AVERAGE(G204,G211),0)</f>
        <v>0</v>
      </c>
      <c r="I204" s="396"/>
      <c r="J204" s="408">
        <f>SUM(H204,H206,H208)</f>
        <v>0</v>
      </c>
      <c r="K204" s="405"/>
      <c r="L204" s="398"/>
      <c r="M204" s="399"/>
      <c r="N204" s="31"/>
      <c r="O204" s="31"/>
      <c r="P204" s="18"/>
      <c r="Q204" s="18"/>
      <c r="R204" s="18"/>
      <c r="S204" s="18"/>
      <c r="T204" s="18"/>
      <c r="U204" s="18"/>
      <c r="V204" s="18"/>
      <c r="W204" s="18"/>
      <c r="X204" s="18"/>
      <c r="Y204" s="18"/>
    </row>
    <row r="205" spans="1:25" ht="28">
      <c r="B205" s="395"/>
      <c r="C205" s="65"/>
      <c r="D205" s="55" t="str">
        <f>VLOOKUP(A204,'imp-questions'!A:H,7,0)</f>
        <v>You have identified the key components in each technology stack used
You have an established configuration standard for each key component</v>
      </c>
      <c r="E205" s="56"/>
      <c r="F205" s="66"/>
      <c r="G205" s="71"/>
      <c r="H205" s="59"/>
      <c r="I205" s="396"/>
      <c r="J205" s="408"/>
      <c r="K205" s="405"/>
      <c r="L205" s="398"/>
      <c r="M205" s="399"/>
      <c r="N205" s="31"/>
      <c r="O205" s="31"/>
      <c r="P205" s="18"/>
      <c r="Q205" s="18"/>
      <c r="R205" s="18"/>
      <c r="S205" s="18"/>
      <c r="T205" s="18"/>
      <c r="U205" s="18"/>
      <c r="V205" s="18"/>
      <c r="W205" s="18"/>
      <c r="X205" s="18"/>
      <c r="Y205" s="18"/>
    </row>
    <row r="206" spans="1:25">
      <c r="A206" s="96" t="s">
        <v>165</v>
      </c>
      <c r="B206" s="395"/>
      <c r="C206" s="191">
        <f>VLOOKUP(A206,'imp-questions'!A:H,5,0)</f>
        <v>2</v>
      </c>
      <c r="D206" s="49" t="str">
        <f>VLOOKUP(A206,'imp-questions'!A:H,6,0)</f>
        <v>Do you have hardening baselines for your components?</v>
      </c>
      <c r="E206" s="50" t="str">
        <f>CHAR(65+VLOOKUP(A206,'imp-questions'!A:H,8,0))</f>
        <v>M</v>
      </c>
      <c r="F206" s="61"/>
      <c r="G206" s="62">
        <f>IFERROR(VLOOKUP(F206,AnsMTBL,2,0),0)</f>
        <v>0</v>
      </c>
      <c r="H206" s="53">
        <f>IFERROR(AVERAGE(G206,G213),0)</f>
        <v>0</v>
      </c>
      <c r="I206" s="396"/>
      <c r="J206" s="17"/>
      <c r="K206" s="405"/>
      <c r="L206" s="398"/>
      <c r="M206" s="399"/>
      <c r="N206" s="31"/>
      <c r="O206" s="31"/>
      <c r="P206" s="18"/>
      <c r="Q206" s="18"/>
      <c r="R206" s="18"/>
      <c r="S206" s="18"/>
      <c r="T206" s="18"/>
      <c r="U206" s="18"/>
      <c r="V206" s="18"/>
      <c r="W206" s="18"/>
      <c r="X206" s="18"/>
      <c r="Y206" s="18"/>
    </row>
    <row r="207" spans="1:25" ht="56">
      <c r="B207" s="395"/>
      <c r="C207" s="65"/>
      <c r="D207" s="55" t="str">
        <f>VLOOKUP(A206,'imp-questions'!A:H,7,0)</f>
        <v>You have assigned an owner for each baseline
The owner keeps their assigned baselines up to date
You store baselines in an accessible location
You train employees responsible for configurations in these baselines</v>
      </c>
      <c r="E207" s="56"/>
      <c r="F207" s="66"/>
      <c r="G207" s="71"/>
      <c r="H207" s="67"/>
      <c r="I207" s="396"/>
      <c r="J207" s="17"/>
      <c r="K207" s="405"/>
      <c r="L207" s="398"/>
      <c r="M207" s="399"/>
      <c r="N207" s="31"/>
      <c r="O207" s="31"/>
      <c r="P207" s="18"/>
      <c r="Q207" s="18"/>
      <c r="R207" s="18"/>
      <c r="S207" s="18"/>
      <c r="T207" s="18"/>
      <c r="U207" s="18"/>
      <c r="V207" s="18"/>
      <c r="W207" s="18"/>
      <c r="X207" s="18"/>
      <c r="Y207" s="18"/>
    </row>
    <row r="208" spans="1:25">
      <c r="A208" s="96" t="s">
        <v>166</v>
      </c>
      <c r="B208" s="395"/>
      <c r="C208" s="191">
        <f>VLOOKUP(A208,'imp-questions'!A:H,5,0)</f>
        <v>3</v>
      </c>
      <c r="D208" s="49" t="str">
        <f>VLOOKUP(A208,'imp-questions'!A:H,6,0)</f>
        <v>Do you monitor and enforce conformity with hardening baselines?</v>
      </c>
      <c r="E208" s="50" t="str">
        <f>CHAR(65+VLOOKUP(A208,'imp-questions'!A:H,8,0))</f>
        <v>M</v>
      </c>
      <c r="F208" s="61"/>
      <c r="G208" s="62">
        <f>IFERROR(VLOOKUP(F208,AnsMTBL,2,0),0)</f>
        <v>0</v>
      </c>
      <c r="H208" s="53">
        <f>IFERROR(AVERAGE(G208,G215),0)</f>
        <v>0</v>
      </c>
      <c r="I208" s="396"/>
      <c r="J208" s="17"/>
      <c r="K208" s="405"/>
      <c r="L208" s="398"/>
      <c r="M208" s="399"/>
      <c r="N208" s="31"/>
      <c r="O208" s="31"/>
      <c r="P208" s="18"/>
      <c r="Q208" s="18"/>
      <c r="R208" s="18"/>
      <c r="S208" s="18"/>
      <c r="T208" s="18"/>
      <c r="U208" s="18"/>
      <c r="V208" s="18"/>
      <c r="W208" s="18"/>
      <c r="X208" s="18"/>
      <c r="Y208" s="18"/>
    </row>
    <row r="209" spans="1:25" ht="56">
      <c r="B209" s="395"/>
      <c r="C209" s="65"/>
      <c r="D209" s="55" t="str">
        <f>VLOOKUP(A208,'imp-questions'!A:H,7,0)</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56"/>
      <c r="F209" s="66"/>
      <c r="G209" s="71"/>
      <c r="H209" s="67"/>
      <c r="I209" s="396"/>
      <c r="J209" s="17"/>
      <c r="K209" s="405"/>
      <c r="L209" s="398"/>
      <c r="M209" s="399"/>
      <c r="N209" s="31"/>
      <c r="O209" s="31"/>
      <c r="P209" s="18"/>
      <c r="Q209" s="18"/>
      <c r="R209" s="18"/>
      <c r="S209" s="18"/>
      <c r="T209" s="18"/>
      <c r="U209" s="18"/>
      <c r="V209" s="18"/>
      <c r="W209" s="18"/>
      <c r="X209" s="18"/>
      <c r="Y209" s="18"/>
    </row>
    <row r="210" spans="1:25">
      <c r="B210" s="73"/>
      <c r="C210" s="74"/>
      <c r="D210" s="74"/>
      <c r="E210" s="74"/>
      <c r="F210" s="74"/>
      <c r="G210" s="74"/>
      <c r="H210" s="74"/>
      <c r="I210" s="74"/>
      <c r="J210" s="75"/>
      <c r="K210" s="74"/>
      <c r="L210" s="74"/>
      <c r="M210" s="76"/>
      <c r="N210" s="31"/>
      <c r="O210" s="31"/>
      <c r="P210" s="18"/>
      <c r="Q210" s="18"/>
      <c r="R210" s="18"/>
      <c r="S210" s="18"/>
      <c r="T210" s="18"/>
      <c r="U210" s="18"/>
      <c r="V210" s="18"/>
      <c r="W210" s="18"/>
      <c r="X210" s="18"/>
      <c r="Y210" s="18"/>
    </row>
    <row r="211" spans="1:25">
      <c r="A211" s="96" t="s">
        <v>167</v>
      </c>
      <c r="B211" s="406" t="str">
        <f>VLOOKUP(A211,'imp-questions'!A:H,4,0)</f>
        <v>Patching and Updating</v>
      </c>
      <c r="C211" s="191">
        <f>VLOOKUP(A211,'imp-questions'!A:H,5,0)</f>
        <v>1</v>
      </c>
      <c r="D211" s="49" t="str">
        <f>VLOOKUP(A211,'imp-questions'!A:H,6,0)</f>
        <v>Do you identify and patch vulnerable components?</v>
      </c>
      <c r="E211" s="50" t="str">
        <f>CHAR(65+VLOOKUP(A211,'imp-questions'!A:H,8,0))</f>
        <v>M</v>
      </c>
      <c r="F211" s="51"/>
      <c r="G211" s="62">
        <f>IFERROR(VLOOKUP(F211,AnsMTBL,2,0),0)</f>
        <v>0</v>
      </c>
      <c r="H211" s="63"/>
      <c r="I211" s="396"/>
      <c r="J211" s="64"/>
      <c r="K211" s="397"/>
      <c r="L211" s="398"/>
      <c r="M211" s="399"/>
      <c r="N211" s="31"/>
      <c r="O211" s="31"/>
      <c r="P211" s="18"/>
      <c r="Q211" s="18"/>
      <c r="R211" s="18"/>
      <c r="S211" s="18"/>
      <c r="T211" s="18"/>
      <c r="U211" s="18"/>
      <c r="V211" s="18"/>
      <c r="W211" s="18"/>
      <c r="X211" s="18"/>
      <c r="Y211" s="18"/>
    </row>
    <row r="212" spans="1:25" ht="28">
      <c r="B212" s="406"/>
      <c r="C212" s="65"/>
      <c r="D212" s="55" t="str">
        <f>VLOOKUP(A211,'imp-questions'!A:H,7,0)</f>
        <v>You have an up-to-date list of components, including version information
You regularly review public sources for vulnerabilities related to your components</v>
      </c>
      <c r="E212" s="56"/>
      <c r="F212" s="66"/>
      <c r="G212" s="71"/>
      <c r="H212" s="72"/>
      <c r="I212" s="396"/>
      <c r="J212" s="64"/>
      <c r="K212" s="397"/>
      <c r="L212" s="398"/>
      <c r="M212" s="399"/>
      <c r="N212" s="31"/>
      <c r="O212" s="31"/>
      <c r="P212" s="18"/>
      <c r="Q212" s="18"/>
      <c r="R212" s="18"/>
      <c r="S212" s="18"/>
      <c r="T212" s="18"/>
      <c r="U212" s="18"/>
      <c r="V212" s="18"/>
      <c r="W212" s="18"/>
      <c r="X212" s="18"/>
      <c r="Y212" s="18"/>
    </row>
    <row r="213" spans="1:25">
      <c r="A213" s="96" t="s">
        <v>168</v>
      </c>
      <c r="B213" s="406"/>
      <c r="C213" s="191">
        <f>VLOOKUP(A213,'imp-questions'!A:H,5,0)</f>
        <v>2</v>
      </c>
      <c r="D213" s="49" t="str">
        <f>VLOOKUP(A213,'imp-questions'!A:H,6,0)</f>
        <v>Do you follow an established process for updating components of your technology stacks?</v>
      </c>
      <c r="E213" s="50" t="str">
        <f>CHAR(65+VLOOKUP(A213,'imp-questions'!A:H,8,0))</f>
        <v>M</v>
      </c>
      <c r="F213" s="61"/>
      <c r="G213" s="62">
        <f>IFERROR(VLOOKUP(F213,AnsMTBL,2,0),0)</f>
        <v>0</v>
      </c>
      <c r="H213" s="63"/>
      <c r="I213" s="396"/>
      <c r="J213" s="64"/>
      <c r="K213" s="397"/>
      <c r="L213" s="398"/>
      <c r="M213" s="399"/>
      <c r="N213" s="31"/>
      <c r="O213" s="31"/>
      <c r="P213" s="18"/>
      <c r="Q213" s="18"/>
      <c r="R213" s="18"/>
      <c r="S213" s="18"/>
      <c r="T213" s="18"/>
      <c r="U213" s="18"/>
      <c r="V213" s="18"/>
      <c r="W213" s="18"/>
      <c r="X213" s="18"/>
      <c r="Y213" s="18"/>
    </row>
    <row r="214" spans="1:25" ht="42">
      <c r="B214" s="406"/>
      <c r="C214" s="65"/>
      <c r="D214" s="55" t="str">
        <f>VLOOKUP(A213,'imp-questions'!A:H,7,0)</f>
        <v>The process includes vendor information for third-party patches
The process considers external sources to gather information about zero day attacks, and includes appropriate risk mitigation steps
The process includes guidance for prioritizing component updates</v>
      </c>
      <c r="E214" s="56"/>
      <c r="F214" s="66"/>
      <c r="G214" s="58"/>
      <c r="H214" s="67"/>
      <c r="I214" s="396"/>
      <c r="J214" s="64"/>
      <c r="K214" s="397"/>
      <c r="L214" s="398"/>
      <c r="M214" s="399"/>
      <c r="N214" s="31"/>
      <c r="O214" s="31"/>
      <c r="P214" s="18"/>
      <c r="Q214" s="18"/>
      <c r="R214" s="18"/>
      <c r="S214" s="18"/>
      <c r="T214" s="18"/>
      <c r="U214" s="18"/>
      <c r="V214" s="18"/>
      <c r="W214" s="18"/>
      <c r="X214" s="18"/>
      <c r="Y214" s="18"/>
    </row>
    <row r="215" spans="1:25">
      <c r="A215" s="96" t="s">
        <v>169</v>
      </c>
      <c r="B215" s="406"/>
      <c r="C215" s="191">
        <f>VLOOKUP(A215,'imp-questions'!A:H,5,0)</f>
        <v>3</v>
      </c>
      <c r="D215" s="49" t="str">
        <f>VLOOKUP(A215,'imp-questions'!A:H,6,0)</f>
        <v>Do you regularly evaluate components and review patch level status?</v>
      </c>
      <c r="E215" s="50" t="str">
        <f>CHAR(65+VLOOKUP(A215,'imp-questions'!A:H,8,0))</f>
        <v>M</v>
      </c>
      <c r="F215" s="61"/>
      <c r="G215" s="62">
        <f>IFERROR(VLOOKUP(F215,AnsMTBL,2,0),0)</f>
        <v>0</v>
      </c>
      <c r="H215" s="63"/>
      <c r="I215" s="396"/>
      <c r="J215" s="64"/>
      <c r="K215" s="397"/>
      <c r="L215" s="398"/>
      <c r="M215" s="399"/>
      <c r="N215" s="31"/>
      <c r="O215" s="31"/>
      <c r="P215" s="18"/>
      <c r="Q215" s="18"/>
      <c r="R215" s="18"/>
      <c r="S215" s="18"/>
      <c r="T215" s="18"/>
      <c r="U215" s="18"/>
      <c r="V215" s="18"/>
      <c r="W215" s="18"/>
      <c r="X215" s="18"/>
      <c r="Y215" s="18"/>
    </row>
    <row r="216" spans="1:25" ht="42">
      <c r="B216" s="406"/>
      <c r="C216" s="54"/>
      <c r="D216" s="68" t="str">
        <f>VLOOKUP(A215,'imp-questions'!A:H,7,0)</f>
        <v>You update the list with components and versions
You identify and update missing updates according to existing SLA
You review and update the process based on feedback from the people who perform patching</v>
      </c>
      <c r="E216" s="69"/>
      <c r="F216" s="70"/>
      <c r="G216" s="71"/>
      <c r="H216" s="72"/>
      <c r="I216" s="396"/>
      <c r="J216" s="64"/>
      <c r="K216" s="397"/>
      <c r="L216" s="398"/>
      <c r="M216" s="399"/>
      <c r="N216" s="31"/>
      <c r="O216" s="31"/>
      <c r="P216" s="18"/>
      <c r="Q216" s="18"/>
      <c r="R216" s="18"/>
      <c r="S216" s="18"/>
      <c r="T216" s="18"/>
      <c r="U216" s="18"/>
      <c r="V216" s="18"/>
      <c r="W216" s="18"/>
      <c r="X216" s="18"/>
      <c r="Y216" s="18"/>
    </row>
    <row r="217" spans="1:25" ht="12.75" customHeight="1">
      <c r="B217" s="401" t="s">
        <v>170</v>
      </c>
      <c r="C217" s="401"/>
      <c r="D217" s="401"/>
      <c r="E217" s="194"/>
      <c r="F217" s="195" t="s">
        <v>52</v>
      </c>
      <c r="G217" s="195"/>
      <c r="H217" s="196"/>
      <c r="I217" s="197" t="s">
        <v>53</v>
      </c>
      <c r="J217" s="198" t="s">
        <v>54</v>
      </c>
      <c r="K217" s="199"/>
      <c r="L217" s="200"/>
      <c r="M217" s="201"/>
      <c r="N217" s="31"/>
      <c r="O217" s="31"/>
      <c r="P217" s="18"/>
      <c r="Q217" s="18"/>
      <c r="R217" s="18"/>
      <c r="S217" s="18"/>
      <c r="T217" s="18"/>
      <c r="U217" s="18"/>
      <c r="V217" s="18"/>
      <c r="W217" s="18"/>
      <c r="X217" s="18"/>
      <c r="Y217" s="18"/>
    </row>
    <row r="218" spans="1:25" ht="28">
      <c r="A218" s="96" t="s">
        <v>171</v>
      </c>
      <c r="B218" s="402" t="str">
        <f>VLOOKUP(A218,'imp-questions'!A:H,4,0)</f>
        <v>Data Protection</v>
      </c>
      <c r="C218" s="202">
        <f>VLOOKUP(A218,'imp-questions'!A:H,5,0)</f>
        <v>1</v>
      </c>
      <c r="D218" s="78" t="str">
        <f>VLOOKUP(A218,'imp-questions'!A:H,6,0)</f>
        <v>Do you protect and handle information according to protection requirements for data stored and processed on each application?</v>
      </c>
      <c r="E218" s="60" t="str">
        <f>CHAR(65+VLOOKUP(A218,'imp-questions'!A:H,8,0))</f>
        <v>F</v>
      </c>
      <c r="F218" s="121"/>
      <c r="G218" s="62">
        <f>IFERROR(VLOOKUP(F218,AnsFTBL,2,0),0)</f>
        <v>0</v>
      </c>
      <c r="H218" s="79">
        <f>IFERROR(AVERAGE(G218,G225),0)</f>
        <v>0</v>
      </c>
      <c r="I218" s="396"/>
      <c r="J218" s="403">
        <f>SUM(H218,H220,H222)</f>
        <v>0</v>
      </c>
      <c r="K218" s="404"/>
      <c r="L218" s="398"/>
      <c r="M218" s="399"/>
      <c r="N218" s="31"/>
      <c r="O218" s="31"/>
      <c r="P218" s="18"/>
      <c r="Q218" s="18"/>
      <c r="R218" s="18"/>
      <c r="S218" s="18"/>
      <c r="T218" s="18"/>
      <c r="U218" s="18"/>
      <c r="V218" s="18"/>
      <c r="W218" s="18"/>
      <c r="X218" s="18"/>
      <c r="Y218" s="18"/>
    </row>
    <row r="219" spans="1:25" ht="42">
      <c r="B219" s="402"/>
      <c r="C219" s="65"/>
      <c r="D219" s="55" t="str">
        <f>VLOOKUP(A218,'imp-questions'!A:H,7,0)</f>
        <v>You know the data elements processed and stored by each application
You know the type and sensitivity level of each identified data element
You have controls to prevent propagation of unsanitized sensitive data from production to lower environments</v>
      </c>
      <c r="E219" s="56"/>
      <c r="F219" s="66"/>
      <c r="G219" s="58"/>
      <c r="H219" s="59"/>
      <c r="I219" s="396"/>
      <c r="J219" s="403"/>
      <c r="K219" s="404"/>
      <c r="L219" s="398"/>
      <c r="M219" s="399"/>
      <c r="N219" s="31"/>
      <c r="O219" s="31"/>
      <c r="P219" s="18"/>
      <c r="Q219" s="18"/>
      <c r="R219" s="18"/>
      <c r="S219" s="18"/>
      <c r="T219" s="18"/>
      <c r="U219" s="18"/>
      <c r="V219" s="18"/>
      <c r="W219" s="18"/>
      <c r="X219" s="18"/>
      <c r="Y219" s="18"/>
    </row>
    <row r="220" spans="1:25">
      <c r="A220" s="96" t="s">
        <v>172</v>
      </c>
      <c r="B220" s="402"/>
      <c r="C220" s="191">
        <f>VLOOKUP(A220,'imp-questions'!A:H,5,0)</f>
        <v>2</v>
      </c>
      <c r="D220" s="49" t="str">
        <f>VLOOKUP(A220,'imp-questions'!A:H,6,0)</f>
        <v>Do you maintain a data catalog, including types, sensitivity levels, and processing and storage locations?</v>
      </c>
      <c r="E220" s="50" t="str">
        <f>CHAR(65+VLOOKUP(A220,'imp-questions'!A:H,8,0))</f>
        <v>O</v>
      </c>
      <c r="F220" s="61"/>
      <c r="G220" s="62">
        <f>IFERROR(VLOOKUP(F220,AnsOTBL,2,0),0)</f>
        <v>0</v>
      </c>
      <c r="H220" s="53">
        <f>IFERROR(AVERAGE(G220,G227),0)</f>
        <v>0</v>
      </c>
      <c r="I220" s="396"/>
      <c r="J220" s="17"/>
      <c r="K220" s="405"/>
      <c r="L220" s="398"/>
      <c r="M220" s="399"/>
      <c r="N220" s="31"/>
      <c r="O220" s="31"/>
      <c r="P220" s="18"/>
      <c r="Q220" s="18"/>
      <c r="R220" s="18"/>
      <c r="S220" s="18"/>
      <c r="T220" s="18"/>
      <c r="U220" s="18"/>
      <c r="V220" s="18"/>
      <c r="W220" s="18"/>
      <c r="X220" s="18"/>
      <c r="Y220" s="18"/>
    </row>
    <row r="221" spans="1:25" ht="56">
      <c r="B221" s="402"/>
      <c r="C221" s="65"/>
      <c r="D221" s="55" t="str">
        <f>VLOOKUP(A220,'imp-questions'!A:H,7,0)</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56"/>
      <c r="F221" s="66"/>
      <c r="G221" s="58"/>
      <c r="H221" s="67"/>
      <c r="I221" s="396"/>
      <c r="J221" s="17"/>
      <c r="K221" s="405"/>
      <c r="L221" s="398"/>
      <c r="M221" s="399"/>
      <c r="N221" s="31"/>
      <c r="O221" s="31"/>
      <c r="P221" s="18"/>
      <c r="Q221" s="18"/>
      <c r="R221" s="18"/>
      <c r="S221" s="18"/>
      <c r="T221" s="18"/>
      <c r="U221" s="18"/>
      <c r="V221" s="18"/>
      <c r="W221" s="18"/>
      <c r="X221" s="18"/>
      <c r="Y221" s="18"/>
    </row>
    <row r="222" spans="1:25">
      <c r="A222" s="96" t="s">
        <v>173</v>
      </c>
      <c r="B222" s="402"/>
      <c r="C222" s="191">
        <f>VLOOKUP(A222,'imp-questions'!A:H,5,0)</f>
        <v>3</v>
      </c>
      <c r="D222" s="49" t="str">
        <f>VLOOKUP(A222,'imp-questions'!A:H,6,0)</f>
        <v>Do you regularly review and update the data catalog and your data protection policies and procedures?</v>
      </c>
      <c r="E222" s="50" t="str">
        <f>CHAR(65+VLOOKUP(A222,'imp-questions'!A:H,8,0))</f>
        <v>P</v>
      </c>
      <c r="F222" s="61"/>
      <c r="G222" s="62">
        <f>IFERROR(VLOOKUP(F222,AnsPTBL,2,0),0)</f>
        <v>0</v>
      </c>
      <c r="H222" s="53">
        <f>IFERROR(AVERAGE(G222,G229),0)</f>
        <v>0</v>
      </c>
      <c r="I222" s="396"/>
      <c r="J222" s="17"/>
      <c r="K222" s="405"/>
      <c r="L222" s="398"/>
      <c r="M222" s="399"/>
      <c r="N222" s="31"/>
      <c r="O222" s="31"/>
      <c r="P222" s="18"/>
      <c r="Q222" s="18"/>
      <c r="R222" s="18"/>
      <c r="S222" s="18"/>
      <c r="T222" s="18"/>
      <c r="U222" s="18"/>
      <c r="V222" s="18"/>
      <c r="W222" s="18"/>
      <c r="X222" s="18"/>
      <c r="Y222" s="18"/>
    </row>
    <row r="223" spans="1:25" ht="42">
      <c r="B223" s="402"/>
      <c r="C223" s="65"/>
      <c r="D223" s="55" t="str">
        <f>VLOOKUP(A222,'imp-questions'!A:H,7,0)</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56"/>
      <c r="F223" s="66"/>
      <c r="G223" s="58"/>
      <c r="H223" s="67"/>
      <c r="I223" s="396"/>
      <c r="J223" s="17"/>
      <c r="K223" s="405"/>
      <c r="L223" s="398"/>
      <c r="M223" s="399"/>
      <c r="N223" s="31"/>
      <c r="O223" s="31"/>
      <c r="P223" s="18"/>
      <c r="Q223" s="18"/>
      <c r="R223" s="18"/>
      <c r="S223" s="18"/>
      <c r="T223" s="18"/>
      <c r="U223" s="18"/>
      <c r="V223" s="18"/>
      <c r="W223" s="18"/>
      <c r="X223" s="18"/>
      <c r="Y223" s="18"/>
    </row>
    <row r="224" spans="1:25">
      <c r="B224" s="73"/>
      <c r="C224" s="74"/>
      <c r="D224" s="74"/>
      <c r="E224" s="74"/>
      <c r="F224" s="74"/>
      <c r="G224" s="74"/>
      <c r="H224" s="74"/>
      <c r="I224" s="74"/>
      <c r="J224" s="75"/>
      <c r="K224" s="74"/>
      <c r="L224" s="74"/>
      <c r="M224" s="76"/>
      <c r="N224" s="31"/>
      <c r="O224" s="31"/>
      <c r="P224" s="18"/>
      <c r="Q224" s="18"/>
      <c r="R224" s="18"/>
      <c r="S224" s="18"/>
      <c r="T224" s="18"/>
      <c r="U224" s="18"/>
      <c r="V224" s="18"/>
      <c r="W224" s="18"/>
      <c r="X224" s="18"/>
      <c r="Y224" s="18"/>
    </row>
    <row r="225" spans="1:25" ht="28">
      <c r="A225" s="96" t="s">
        <v>174</v>
      </c>
      <c r="B225" s="395" t="str">
        <f>VLOOKUP(A225,'imp-questions'!A:H,4,0)</f>
        <v>System Decomissioning / Legacy Management</v>
      </c>
      <c r="C225" s="191">
        <f>VLOOKUP(A225,'imp-questions'!A:H,5,0)</f>
        <v>1</v>
      </c>
      <c r="D225" s="49" t="str">
        <f>VLOOKUP(A225,'imp-questions'!A:H,6,0)</f>
        <v>Do you identify and remove systems, applications, application dependencies, or services that are no longer used, have reached end of life, or are no longer actively developed or supported?</v>
      </c>
      <c r="E225" s="50" t="str">
        <f>CHAR(65+VLOOKUP(A225,'imp-questions'!A:H,8,0))</f>
        <v>F</v>
      </c>
      <c r="F225" s="108"/>
      <c r="G225" s="62">
        <f>IFERROR(VLOOKUP(F225,AnsFTBL,2,0),0)</f>
        <v>0</v>
      </c>
      <c r="H225" s="63"/>
      <c r="I225" s="396"/>
      <c r="J225" s="64"/>
      <c r="K225" s="397"/>
      <c r="L225" s="398"/>
      <c r="M225" s="399"/>
      <c r="N225" s="31"/>
      <c r="O225" s="31"/>
      <c r="P225" s="18"/>
      <c r="Q225" s="18"/>
      <c r="R225" s="18"/>
      <c r="S225" s="18"/>
      <c r="T225" s="18"/>
      <c r="U225" s="18"/>
      <c r="V225" s="18"/>
      <c r="W225" s="18"/>
      <c r="X225" s="18"/>
      <c r="Y225" s="18"/>
    </row>
    <row r="226" spans="1:25" ht="28">
      <c r="B226" s="395"/>
      <c r="C226" s="65"/>
      <c r="D226" s="55" t="str">
        <f>VLOOKUP(A225,'imp-questions'!A:H,7,0)</f>
        <v>You do not use unsupported applications or dependencies
You manage customer/user migration from older versions for each product and customer/user group</v>
      </c>
      <c r="E226" s="56"/>
      <c r="F226" s="66"/>
      <c r="G226" s="58"/>
      <c r="H226" s="67"/>
      <c r="I226" s="396"/>
      <c r="J226" s="64"/>
      <c r="K226" s="397"/>
      <c r="L226" s="398"/>
      <c r="M226" s="399"/>
      <c r="N226" s="31"/>
      <c r="O226" s="31"/>
      <c r="P226" s="18"/>
      <c r="Q226" s="18"/>
      <c r="R226" s="18"/>
      <c r="S226" s="18"/>
      <c r="T226" s="18"/>
      <c r="U226" s="18"/>
      <c r="V226" s="18"/>
      <c r="W226" s="18"/>
      <c r="X226" s="18"/>
      <c r="Y226" s="18"/>
    </row>
    <row r="227" spans="1:25" ht="28">
      <c r="A227" s="96" t="s">
        <v>175</v>
      </c>
      <c r="B227" s="395"/>
      <c r="C227" s="191">
        <f>VLOOKUP(A227,'imp-questions'!A:H,5,0)</f>
        <v>2</v>
      </c>
      <c r="D227" s="49" t="str">
        <f>VLOOKUP(A227,'imp-questions'!A:H,6,0)</f>
        <v>Do you follow an established process for removing all associated resources, as part of decommissioning of unused systems, applications, application dependencies, or services?</v>
      </c>
      <c r="E227" s="50" t="str">
        <f>CHAR(65+VLOOKUP(A227,'imp-questions'!A:H,8,0))</f>
        <v>H</v>
      </c>
      <c r="F227" s="61"/>
      <c r="G227" s="62">
        <f>IFERROR(VLOOKUP(F227,AnsHTBL,2,0),0)</f>
        <v>0</v>
      </c>
      <c r="H227" s="63"/>
      <c r="I227" s="396"/>
      <c r="J227" s="64"/>
      <c r="K227" s="397"/>
      <c r="L227" s="398"/>
      <c r="M227" s="399"/>
      <c r="N227" s="31"/>
      <c r="O227" s="31"/>
      <c r="P227" s="18"/>
      <c r="Q227" s="18"/>
      <c r="R227" s="18"/>
      <c r="S227" s="18"/>
      <c r="T227" s="18"/>
      <c r="U227" s="18"/>
      <c r="V227" s="18"/>
      <c r="W227" s="18"/>
      <c r="X227" s="18"/>
      <c r="Y227" s="18"/>
    </row>
    <row r="228" spans="1:25" ht="42">
      <c r="B228" s="395"/>
      <c r="C228" s="65"/>
      <c r="D228" s="55" t="str">
        <f>VLOOKUP(A227,'imp-questions'!A:H,7,0)</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56"/>
      <c r="F228" s="66"/>
      <c r="G228" s="58"/>
      <c r="H228" s="67"/>
      <c r="I228" s="396"/>
      <c r="J228" s="64"/>
      <c r="K228" s="397"/>
      <c r="L228" s="398"/>
      <c r="M228" s="399"/>
      <c r="N228" s="31"/>
      <c r="O228" s="31"/>
      <c r="P228" s="18"/>
      <c r="Q228" s="18"/>
      <c r="R228" s="18"/>
      <c r="S228" s="18"/>
      <c r="T228" s="18"/>
      <c r="U228" s="18"/>
      <c r="V228" s="18"/>
      <c r="W228" s="18"/>
      <c r="X228" s="18"/>
      <c r="Y228" s="18"/>
    </row>
    <row r="229" spans="1:25" ht="28">
      <c r="A229" s="96" t="s">
        <v>176</v>
      </c>
      <c r="B229" s="395"/>
      <c r="C229" s="191">
        <f>VLOOKUP(A229,'imp-questions'!A:H,5,0)</f>
        <v>3</v>
      </c>
      <c r="D229" s="49" t="str">
        <f>VLOOKUP(A229,'imp-questions'!A:H,6,0)</f>
        <v>Do you regularly evaluate the lifecycle state and support status of every software asset and underlying infrastructure component, and estimate their end of life?</v>
      </c>
      <c r="E229" s="50" t="str">
        <f>CHAR(65+VLOOKUP(A229,'imp-questions'!A:H,8,0))</f>
        <v>S</v>
      </c>
      <c r="F229" s="61"/>
      <c r="G229" s="62">
        <f>IFERROR(VLOOKUP(F229,AnsSTBL,2,0),0)</f>
        <v>0</v>
      </c>
      <c r="H229" s="203"/>
      <c r="I229" s="396"/>
      <c r="J229" s="204"/>
      <c r="K229" s="400"/>
      <c r="L229" s="398"/>
      <c r="M229" s="399"/>
      <c r="N229" s="31"/>
      <c r="O229" s="31"/>
      <c r="P229" s="18"/>
      <c r="Q229" s="18"/>
      <c r="R229" s="18"/>
      <c r="S229" s="18"/>
      <c r="T229" s="18"/>
      <c r="U229" s="18"/>
      <c r="V229" s="18"/>
      <c r="W229" s="18"/>
      <c r="X229" s="18"/>
      <c r="Y229" s="18"/>
    </row>
    <row r="230" spans="1:25" ht="42">
      <c r="B230" s="395"/>
      <c r="C230" s="65"/>
      <c r="D230" s="55" t="str">
        <f>VLOOKUP(A229,'imp-questions'!A:H,7,0)</f>
        <v>Your end of life management process is agreed upon
You inform customers and user groups of product timelines to prevent disruption of service or support
You review the process at least annually</v>
      </c>
      <c r="E230" s="56"/>
      <c r="F230" s="66"/>
      <c r="G230" s="58"/>
      <c r="H230" s="205"/>
      <c r="I230" s="396"/>
      <c r="J230" s="204"/>
      <c r="K230" s="400"/>
      <c r="L230" s="398"/>
      <c r="M230" s="399"/>
      <c r="N230" s="31"/>
      <c r="O230" s="31"/>
      <c r="P230" s="18"/>
      <c r="Q230" s="18"/>
      <c r="R230" s="18"/>
      <c r="S230" s="18"/>
      <c r="T230" s="18"/>
      <c r="U230" s="18"/>
      <c r="V230" s="18"/>
      <c r="W230" s="18"/>
      <c r="X230" s="18"/>
      <c r="Y230" s="18"/>
    </row>
    <row r="232" spans="1:25" ht="44.25" customHeight="1">
      <c r="F232" s="32" t="s">
        <v>177</v>
      </c>
      <c r="G232" s="206"/>
      <c r="H232" s="207"/>
      <c r="I232" s="208">
        <v>0.61597222222222203</v>
      </c>
    </row>
    <row r="233" spans="1:25">
      <c r="F233" s="14" t="s">
        <v>555</v>
      </c>
      <c r="I233" t="s">
        <v>556</v>
      </c>
    </row>
  </sheetData>
  <sheetProtection selectLockedCells="1"/>
  <mergeCells count="317">
    <mergeCell ref="B1:I1"/>
    <mergeCell ref="B3:I3"/>
    <mergeCell ref="B4:I4"/>
    <mergeCell ref="B5:I5"/>
    <mergeCell ref="B6:I6"/>
    <mergeCell ref="B7:I7"/>
    <mergeCell ref="B8:I8"/>
    <mergeCell ref="B10:C10"/>
    <mergeCell ref="B11:C11"/>
    <mergeCell ref="B12:C12"/>
    <mergeCell ref="B13:C13"/>
    <mergeCell ref="B14:C14"/>
    <mergeCell ref="B16:J16"/>
    <mergeCell ref="K16:M16"/>
    <mergeCell ref="B18:B23"/>
    <mergeCell ref="I18:I19"/>
    <mergeCell ref="J18:J19"/>
    <mergeCell ref="K18:K19"/>
    <mergeCell ref="L18:L23"/>
    <mergeCell ref="M18:M23"/>
    <mergeCell ref="I20:I21"/>
    <mergeCell ref="K20:K21"/>
    <mergeCell ref="I22:I23"/>
    <mergeCell ref="K22:K23"/>
    <mergeCell ref="B25:B30"/>
    <mergeCell ref="I25:I26"/>
    <mergeCell ref="K25:K26"/>
    <mergeCell ref="L25:L30"/>
    <mergeCell ref="M25:M30"/>
    <mergeCell ref="I27:I28"/>
    <mergeCell ref="K27:K28"/>
    <mergeCell ref="I29:I30"/>
    <mergeCell ref="K29:K30"/>
    <mergeCell ref="B31:D31"/>
    <mergeCell ref="B32:B37"/>
    <mergeCell ref="I32:I33"/>
    <mergeCell ref="J32:J33"/>
    <mergeCell ref="K32:K33"/>
    <mergeCell ref="L32:L37"/>
    <mergeCell ref="M32:M37"/>
    <mergeCell ref="I34:I35"/>
    <mergeCell ref="K34:K35"/>
    <mergeCell ref="I36:I37"/>
    <mergeCell ref="K36:K37"/>
    <mergeCell ref="B39:B44"/>
    <mergeCell ref="I39:I40"/>
    <mergeCell ref="K39:K40"/>
    <mergeCell ref="L39:L44"/>
    <mergeCell ref="M39:M44"/>
    <mergeCell ref="I41:I42"/>
    <mergeCell ref="K41:K42"/>
    <mergeCell ref="I43:I44"/>
    <mergeCell ref="K43:K44"/>
    <mergeCell ref="B45:D45"/>
    <mergeCell ref="B46:B51"/>
    <mergeCell ref="I46:I47"/>
    <mergeCell ref="J46:J47"/>
    <mergeCell ref="K46:K47"/>
    <mergeCell ref="L46:L51"/>
    <mergeCell ref="M46:M51"/>
    <mergeCell ref="I48:I49"/>
    <mergeCell ref="K48:K49"/>
    <mergeCell ref="I50:I51"/>
    <mergeCell ref="K50:K51"/>
    <mergeCell ref="B53:B58"/>
    <mergeCell ref="I53:I54"/>
    <mergeCell ref="K53:K54"/>
    <mergeCell ref="L53:L58"/>
    <mergeCell ref="M53:M58"/>
    <mergeCell ref="I55:I56"/>
    <mergeCell ref="K55:K56"/>
    <mergeCell ref="I57:I58"/>
    <mergeCell ref="K57:K58"/>
    <mergeCell ref="B59:J59"/>
    <mergeCell ref="B60:D60"/>
    <mergeCell ref="B61:B66"/>
    <mergeCell ref="I61:I62"/>
    <mergeCell ref="J61:J62"/>
    <mergeCell ref="K61:K62"/>
    <mergeCell ref="L61:L66"/>
    <mergeCell ref="M61:M66"/>
    <mergeCell ref="I63:I64"/>
    <mergeCell ref="K63:K64"/>
    <mergeCell ref="I65:I66"/>
    <mergeCell ref="K65:K66"/>
    <mergeCell ref="B68:B73"/>
    <mergeCell ref="I68:I69"/>
    <mergeCell ref="K68:K69"/>
    <mergeCell ref="L68:L73"/>
    <mergeCell ref="M68:M73"/>
    <mergeCell ref="I70:I71"/>
    <mergeCell ref="K70:K71"/>
    <mergeCell ref="I72:I73"/>
    <mergeCell ref="K72:K73"/>
    <mergeCell ref="B74:D74"/>
    <mergeCell ref="B75:B80"/>
    <mergeCell ref="I75:I76"/>
    <mergeCell ref="J75:J76"/>
    <mergeCell ref="K75:K76"/>
    <mergeCell ref="L75:L80"/>
    <mergeCell ref="M75:M80"/>
    <mergeCell ref="I77:I78"/>
    <mergeCell ref="K77:K78"/>
    <mergeCell ref="I79:I80"/>
    <mergeCell ref="K79:K80"/>
    <mergeCell ref="B82:B87"/>
    <mergeCell ref="I82:I83"/>
    <mergeCell ref="K82:K83"/>
    <mergeCell ref="L82:L87"/>
    <mergeCell ref="M82:M87"/>
    <mergeCell ref="I84:I85"/>
    <mergeCell ref="K84:K85"/>
    <mergeCell ref="I86:I87"/>
    <mergeCell ref="K86:K87"/>
    <mergeCell ref="B88:D88"/>
    <mergeCell ref="B89:B94"/>
    <mergeCell ref="I89:I90"/>
    <mergeCell ref="J89:J90"/>
    <mergeCell ref="K89:K90"/>
    <mergeCell ref="L89:L94"/>
    <mergeCell ref="M89:M94"/>
    <mergeCell ref="I91:I92"/>
    <mergeCell ref="K91:K92"/>
    <mergeCell ref="I93:I94"/>
    <mergeCell ref="K93:K94"/>
    <mergeCell ref="B96:B101"/>
    <mergeCell ref="I96:I97"/>
    <mergeCell ref="K96:K97"/>
    <mergeCell ref="L96:L101"/>
    <mergeCell ref="M96:M101"/>
    <mergeCell ref="I98:I99"/>
    <mergeCell ref="K98:K99"/>
    <mergeCell ref="I100:I101"/>
    <mergeCell ref="K100:K101"/>
    <mergeCell ref="B102:J102"/>
    <mergeCell ref="B103:D103"/>
    <mergeCell ref="B104:B109"/>
    <mergeCell ref="I104:I105"/>
    <mergeCell ref="J104:J105"/>
    <mergeCell ref="K104:K105"/>
    <mergeCell ref="L104:L109"/>
    <mergeCell ref="M104:M109"/>
    <mergeCell ref="I106:I107"/>
    <mergeCell ref="K106:K107"/>
    <mergeCell ref="I108:I109"/>
    <mergeCell ref="K108:K109"/>
    <mergeCell ref="B111:B116"/>
    <mergeCell ref="I111:I112"/>
    <mergeCell ref="K111:K112"/>
    <mergeCell ref="L111:L116"/>
    <mergeCell ref="M111:M116"/>
    <mergeCell ref="I113:I114"/>
    <mergeCell ref="K113:K114"/>
    <mergeCell ref="I115:I116"/>
    <mergeCell ref="K115:K116"/>
    <mergeCell ref="B117:D117"/>
    <mergeCell ref="B118:B123"/>
    <mergeCell ref="I118:I119"/>
    <mergeCell ref="J118:J119"/>
    <mergeCell ref="K118:K119"/>
    <mergeCell ref="L118:L123"/>
    <mergeCell ref="M118:M123"/>
    <mergeCell ref="I120:I121"/>
    <mergeCell ref="K120:K121"/>
    <mergeCell ref="I122:I123"/>
    <mergeCell ref="K122:K123"/>
    <mergeCell ref="B125:B130"/>
    <mergeCell ref="I125:I126"/>
    <mergeCell ref="K125:K126"/>
    <mergeCell ref="L125:L130"/>
    <mergeCell ref="M125:M130"/>
    <mergeCell ref="I127:I128"/>
    <mergeCell ref="K127:K128"/>
    <mergeCell ref="I129:I130"/>
    <mergeCell ref="K129:K130"/>
    <mergeCell ref="B131:D131"/>
    <mergeCell ref="B132:B137"/>
    <mergeCell ref="I132:I133"/>
    <mergeCell ref="J132:J133"/>
    <mergeCell ref="K132:K133"/>
    <mergeCell ref="L132:L137"/>
    <mergeCell ref="M132:M137"/>
    <mergeCell ref="I134:I135"/>
    <mergeCell ref="K134:K135"/>
    <mergeCell ref="I136:I137"/>
    <mergeCell ref="K136:K137"/>
    <mergeCell ref="B139:B144"/>
    <mergeCell ref="I139:I140"/>
    <mergeCell ref="K139:K140"/>
    <mergeCell ref="L139:L144"/>
    <mergeCell ref="M139:M144"/>
    <mergeCell ref="I141:I142"/>
    <mergeCell ref="K141:K142"/>
    <mergeCell ref="I143:I144"/>
    <mergeCell ref="K143:K144"/>
    <mergeCell ref="B145:J145"/>
    <mergeCell ref="B146:D146"/>
    <mergeCell ref="B147:B152"/>
    <mergeCell ref="I147:I148"/>
    <mergeCell ref="J147:J148"/>
    <mergeCell ref="K147:K148"/>
    <mergeCell ref="L147:L152"/>
    <mergeCell ref="M147:M152"/>
    <mergeCell ref="I149:I150"/>
    <mergeCell ref="K149:K150"/>
    <mergeCell ref="I151:I152"/>
    <mergeCell ref="K151:K152"/>
    <mergeCell ref="B154:B159"/>
    <mergeCell ref="I154:I155"/>
    <mergeCell ref="K154:K155"/>
    <mergeCell ref="L154:L159"/>
    <mergeCell ref="M154:M159"/>
    <mergeCell ref="I156:I157"/>
    <mergeCell ref="K156:K157"/>
    <mergeCell ref="I158:I159"/>
    <mergeCell ref="K158:K159"/>
    <mergeCell ref="B160:D160"/>
    <mergeCell ref="B161:B166"/>
    <mergeCell ref="I161:I162"/>
    <mergeCell ref="J161:J162"/>
    <mergeCell ref="K161:K162"/>
    <mergeCell ref="L161:L166"/>
    <mergeCell ref="M161:M166"/>
    <mergeCell ref="I163:I164"/>
    <mergeCell ref="K163:K164"/>
    <mergeCell ref="I165:I166"/>
    <mergeCell ref="K165:K166"/>
    <mergeCell ref="B168:B173"/>
    <mergeCell ref="I168:I169"/>
    <mergeCell ref="K168:K169"/>
    <mergeCell ref="L168:L173"/>
    <mergeCell ref="M168:M173"/>
    <mergeCell ref="I170:I171"/>
    <mergeCell ref="K170:K171"/>
    <mergeCell ref="I172:I173"/>
    <mergeCell ref="K172:K173"/>
    <mergeCell ref="B174:D174"/>
    <mergeCell ref="B175:B180"/>
    <mergeCell ref="I175:I176"/>
    <mergeCell ref="J175:J176"/>
    <mergeCell ref="K175:K176"/>
    <mergeCell ref="L175:L180"/>
    <mergeCell ref="M175:M180"/>
    <mergeCell ref="I177:I178"/>
    <mergeCell ref="K177:K178"/>
    <mergeCell ref="I179:I180"/>
    <mergeCell ref="K179:K180"/>
    <mergeCell ref="B182:B187"/>
    <mergeCell ref="I182:I183"/>
    <mergeCell ref="K182:K183"/>
    <mergeCell ref="L182:L187"/>
    <mergeCell ref="M182:M187"/>
    <mergeCell ref="I184:I185"/>
    <mergeCell ref="K184:K185"/>
    <mergeCell ref="I186:I187"/>
    <mergeCell ref="K186:K187"/>
    <mergeCell ref="B188:J188"/>
    <mergeCell ref="B189:D189"/>
    <mergeCell ref="B190:B195"/>
    <mergeCell ref="I190:I191"/>
    <mergeCell ref="J190:J191"/>
    <mergeCell ref="K190:K191"/>
    <mergeCell ref="L190:L195"/>
    <mergeCell ref="M190:M195"/>
    <mergeCell ref="I192:I193"/>
    <mergeCell ref="K192:K193"/>
    <mergeCell ref="I194:I195"/>
    <mergeCell ref="K194:K195"/>
    <mergeCell ref="B197:B202"/>
    <mergeCell ref="I197:I198"/>
    <mergeCell ref="K197:K198"/>
    <mergeCell ref="L197:L202"/>
    <mergeCell ref="M197:M202"/>
    <mergeCell ref="I199:I200"/>
    <mergeCell ref="K199:K200"/>
    <mergeCell ref="I201:I202"/>
    <mergeCell ref="K201:K202"/>
    <mergeCell ref="B203:D203"/>
    <mergeCell ref="B204:B209"/>
    <mergeCell ref="I204:I205"/>
    <mergeCell ref="J204:J205"/>
    <mergeCell ref="K204:K205"/>
    <mergeCell ref="L204:L209"/>
    <mergeCell ref="M204:M209"/>
    <mergeCell ref="I206:I207"/>
    <mergeCell ref="K206:K207"/>
    <mergeCell ref="I208:I209"/>
    <mergeCell ref="K208:K209"/>
    <mergeCell ref="B211:B216"/>
    <mergeCell ref="I211:I212"/>
    <mergeCell ref="K211:K212"/>
    <mergeCell ref="L211:L216"/>
    <mergeCell ref="M211:M216"/>
    <mergeCell ref="I213:I214"/>
    <mergeCell ref="K213:K214"/>
    <mergeCell ref="I215:I216"/>
    <mergeCell ref="K215:K216"/>
    <mergeCell ref="B217:D217"/>
    <mergeCell ref="B218:B223"/>
    <mergeCell ref="I218:I219"/>
    <mergeCell ref="J218:J219"/>
    <mergeCell ref="K218:K219"/>
    <mergeCell ref="L218:L223"/>
    <mergeCell ref="M218:M223"/>
    <mergeCell ref="I220:I221"/>
    <mergeCell ref="K220:K221"/>
    <mergeCell ref="I222:I223"/>
    <mergeCell ref="K222:K223"/>
    <mergeCell ref="B225:B230"/>
    <mergeCell ref="I225:I226"/>
    <mergeCell ref="K225:K226"/>
    <mergeCell ref="L225:L230"/>
    <mergeCell ref="M225:M230"/>
    <mergeCell ref="I227:I228"/>
    <mergeCell ref="K227:K228"/>
    <mergeCell ref="I229:I230"/>
    <mergeCell ref="K229:K230"/>
  </mergeCells>
  <conditionalFormatting sqref="F15">
    <cfRule type="expression" dxfId="633" priority="2">
      <formula>$H$25=1</formula>
    </cfRule>
  </conditionalFormatting>
  <dataValidations count="28">
    <dataValidation type="list" allowBlank="1" showInputMessage="1" showErrorMessage="1" sqref="F18" xr:uid="{00000000-0002-0000-0100-000000000000}">
      <formula1>AnsY</formula1>
      <formula2>0</formula2>
    </dataValidation>
    <dataValidation type="list" allowBlank="1" showInputMessage="1" showErrorMessage="1" sqref="N20:O20 N22:O22" xr:uid="{00000000-0002-0000-0100-000001000000}">
      <formula1>answerb</formula1>
      <formula2>0</formula2>
    </dataValidation>
    <dataValidation type="list" allowBlank="1" showInputMessage="1" showErrorMessage="1" sqref="N18:O18" xr:uid="{00000000-0002-0000-0100-000002000000}">
      <formula1>answera</formula1>
      <formula2>0</formula2>
    </dataValidation>
    <dataValidation type="list" allowBlank="1" showInputMessage="1" showErrorMessage="1" sqref="F34" xr:uid="{00000000-0002-0000-0100-000003000000}">
      <formula1>AnsA</formula1>
      <formula2>0</formula2>
    </dataValidation>
    <dataValidation type="list" allowBlank="1" showInputMessage="1" showErrorMessage="1" sqref="F186" xr:uid="{00000000-0002-0000-0100-000004000000}">
      <formula1>AnsT</formula1>
      <formula2>0</formula2>
    </dataValidation>
    <dataValidation type="list" allowBlank="1" showInputMessage="1" showErrorMessage="1" sqref="F55 F57" xr:uid="{00000000-0002-0000-0100-000005000000}">
      <formula1>AnsL</formula1>
      <formula2>0</formula2>
    </dataValidation>
    <dataValidation type="list" allowBlank="1" showInputMessage="1" showErrorMessage="1" sqref="F20" xr:uid="{00000000-0002-0000-0100-000006000000}">
      <formula1>AnsV</formula1>
      <formula2>0</formula2>
    </dataValidation>
    <dataValidation type="list" allowBlank="1" showInputMessage="1" showErrorMessage="1" sqref="F46 F61 F68 F161 F163 F175 F177" xr:uid="{00000000-0002-0000-0100-000007000000}">
      <formula1>AnsC</formula1>
      <formula2>0</formula2>
    </dataValidation>
    <dataValidation type="list" allowBlank="1" showInputMessage="1" showErrorMessage="1" sqref="F65" xr:uid="{00000000-0002-0000-0100-000008000000}">
      <formula1>AnsG</formula1>
      <formula2>0</formula2>
    </dataValidation>
    <dataValidation type="list" allowBlank="1" showInputMessage="1" showErrorMessage="1" sqref="F98" xr:uid="{00000000-0002-0000-0100-000009000000}">
      <formula1>AnsU</formula1>
      <formula2>0</formula2>
    </dataValidation>
    <dataValidation type="list" allowBlank="1" showInputMessage="1" showErrorMessage="1" sqref="F197" xr:uid="{00000000-0002-0000-0100-00000A000000}">
      <formula1>AnsR</formula1>
      <formula2>0</formula2>
    </dataValidation>
    <dataValidation type="list" allowBlank="1" showInputMessage="1" showErrorMessage="1" sqref="F25" xr:uid="{00000000-0002-0000-0100-00000B000000}">
      <formula1>AnsK</formula1>
      <formula2>0</formula2>
    </dataValidation>
    <dataValidation type="list" allowBlank="1" showInputMessage="1" showErrorMessage="1" sqref="F32 F39 F63 F70 F75 F79 F89 F91 F93 F96 F100 F104 F106 F108 F111 F113 F115 F118 F120 F122 F125 F127 F129 F132 F134 F136 F139 F141 F143 F147 F149 F151 F154 F156 F158 F165 F168 F184 F190 F192 F194 F218 F225" xr:uid="{00000000-0002-0000-0100-00000C000000}">
      <formula1>AnsF</formula1>
      <formula2>0</formula2>
    </dataValidation>
    <dataValidation type="list" allowBlank="1" showInputMessage="1" showErrorMessage="1" sqref="F41" xr:uid="{00000000-0002-0000-0100-00000D000000}">
      <formula1>AnsD</formula1>
      <formula2>0</formula2>
    </dataValidation>
    <dataValidation type="list" allowBlank="1" showInputMessage="1" showErrorMessage="1" sqref="F199" xr:uid="{00000000-0002-0000-0100-00000E000000}">
      <formula1>AnsQ</formula1>
      <formula2>0</formula2>
    </dataValidation>
    <dataValidation type="list" allowBlank="1" showInputMessage="1" showErrorMessage="1" sqref="F222" xr:uid="{00000000-0002-0000-0100-00000F000000}">
      <formula1>AnsP</formula1>
      <formula2>0</formula2>
    </dataValidation>
    <dataValidation type="list" allowBlank="1" showInputMessage="1" showErrorMessage="1" sqref="F229" xr:uid="{00000000-0002-0000-0100-000010000000}">
      <formula1>AnsS</formula1>
      <formula2>0</formula2>
    </dataValidation>
    <dataValidation type="list" allowBlank="1" showInputMessage="1" showErrorMessage="1" sqref="F48 F50" xr:uid="{00000000-0002-0000-0100-000011000000}">
      <formula1>AnsI</formula1>
      <formula2>0</formula2>
    </dataValidation>
    <dataValidation type="list" allowBlank="1" showInputMessage="1" showErrorMessage="1" sqref="F220" xr:uid="{00000000-0002-0000-0100-000012000000}">
      <formula1>AnsO</formula1>
      <formula2>0</formula2>
    </dataValidation>
    <dataValidation type="list" allowBlank="1" showInputMessage="1" showErrorMessage="1" sqref="F182 F204 F206 F208 F211 F213 F215" xr:uid="{00000000-0002-0000-0100-000013000000}">
      <formula1>AnsM</formula1>
      <formula2>0</formula2>
    </dataValidation>
    <dataValidation type="list" allowBlank="1" showInputMessage="1" showErrorMessage="1" sqref="F77 F82 F84 F86 F170 F172 F201 F227" xr:uid="{00000000-0002-0000-0100-000014000000}">
      <formula1>AnsH</formula1>
      <formula2>0</formula2>
    </dataValidation>
    <dataValidation type="list" allowBlank="1" showInputMessage="1" showErrorMessage="1" sqref="F179" xr:uid="{00000000-0002-0000-0100-000015000000}">
      <formula1>AnsX</formula1>
      <formula2>0</formula2>
    </dataValidation>
    <dataValidation type="list" allowBlank="1" showInputMessage="1" showErrorMessage="1" sqref="F22 F29 F72" xr:uid="{00000000-0002-0000-0100-000016000000}">
      <formula1>AnsN</formula1>
      <formula2>0</formula2>
    </dataValidation>
    <dataValidation type="list" allowBlank="1" showInputMessage="1" showErrorMessage="1" sqref="F53" xr:uid="{00000000-0002-0000-0100-000017000000}">
      <formula1>AnsW</formula1>
      <formula2>0</formula2>
    </dataValidation>
    <dataValidation type="list" allowBlank="1" showInputMessage="1" showErrorMessage="1" sqref="F36 F43" xr:uid="{00000000-0002-0000-0100-000018000000}">
      <formula1>AnsE</formula1>
      <formula2>0</formula2>
    </dataValidation>
    <dataValidation type="list" allowBlank="1" showInputMessage="1" showErrorMessage="1" sqref="F27" xr:uid="{00000000-0002-0000-0100-000019000000}">
      <formula1>AnsB</formula1>
      <formula2>0</formula2>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11:M216 M218:M223 M225:M230" xr:uid="{00000000-0002-0000-0100-00001A000000}">
      <formula1>$M$4:$M$7</formula1>
      <formula2>0</formula2>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11:L216 L218:L223 L225:L230" xr:uid="{00000000-0002-0000-0100-00001B000000}">
      <formula1>$L$4:$L$7</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8"/>
  <sheetViews>
    <sheetView showGridLines="0" topLeftCell="C1" zoomScale="90" zoomScaleNormal="90" workbookViewId="0">
      <selection activeCell="I17" sqref="I17"/>
    </sheetView>
  </sheetViews>
  <sheetFormatPr baseColWidth="10" defaultColWidth="8.83203125" defaultRowHeight="13"/>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customWidth="1"/>
    <col min="11" max="11" width="7.33203125" customWidth="1"/>
    <col min="12" max="14" width="15" customWidth="1"/>
    <col min="15" max="19" width="8.83203125" customWidth="1"/>
    <col min="20" max="20" width="13.6640625" customWidth="1"/>
    <col min="21" max="21" width="22.1640625" customWidth="1"/>
    <col min="22" max="22" width="10.1640625" customWidth="1"/>
    <col min="23" max="24" width="10.5" customWidth="1"/>
    <col min="25" max="25" width="9.33203125" customWidth="1"/>
    <col min="26" max="1025" width="8.83203125" customWidth="1"/>
  </cols>
  <sheetData>
    <row r="1" spans="1:26" ht="25.5" customHeight="1">
      <c r="A1" s="479" t="str">
        <f>CONCATENATE("SAMM Assessment Scorecard: ",C6," For ",C5)</f>
        <v>SAMM Assessment Scorecard:  For COMPANY</v>
      </c>
      <c r="B1" s="479"/>
      <c r="C1" s="479"/>
      <c r="D1" s="479"/>
      <c r="E1" s="479"/>
      <c r="F1" s="479"/>
      <c r="G1" s="479"/>
      <c r="H1" s="479"/>
      <c r="I1" s="479"/>
      <c r="J1" s="479"/>
      <c r="K1" s="18"/>
      <c r="L1" s="18"/>
      <c r="M1" s="18"/>
      <c r="N1" s="18"/>
    </row>
    <row r="2" spans="1:26" ht="12.75" customHeight="1">
      <c r="A2" s="210"/>
      <c r="B2" s="210"/>
      <c r="C2" s="210"/>
      <c r="D2" s="210"/>
      <c r="E2" s="210"/>
      <c r="F2" s="210"/>
      <c r="G2" s="210"/>
      <c r="H2" s="210"/>
      <c r="I2" s="210"/>
      <c r="J2" s="210"/>
      <c r="K2" s="18"/>
      <c r="L2" s="18"/>
      <c r="M2" s="18"/>
      <c r="N2" s="18"/>
    </row>
    <row r="3" spans="1:26" ht="54" customHeight="1">
      <c r="A3" s="480" t="s">
        <v>178</v>
      </c>
      <c r="B3" s="480"/>
      <c r="C3" s="480"/>
      <c r="D3" s="480"/>
      <c r="E3" s="480"/>
      <c r="F3" s="480"/>
      <c r="G3" s="480"/>
      <c r="H3" s="480"/>
      <c r="I3" s="480"/>
      <c r="J3" s="480"/>
      <c r="K3" s="480"/>
      <c r="L3" s="18"/>
      <c r="M3" s="18"/>
      <c r="N3" s="18"/>
    </row>
    <row r="4" spans="1:26" ht="12.75" customHeight="1">
      <c r="A4" s="211"/>
      <c r="B4" s="211"/>
      <c r="C4" s="211"/>
      <c r="D4" s="211"/>
      <c r="E4" s="211"/>
      <c r="F4" s="211"/>
      <c r="G4" s="211"/>
      <c r="H4" s="211"/>
      <c r="I4" s="211"/>
      <c r="J4" s="211"/>
      <c r="K4" s="18"/>
      <c r="L4" s="18"/>
      <c r="M4" s="18"/>
      <c r="N4" s="18"/>
    </row>
    <row r="5" spans="1:26" ht="12.75" customHeight="1">
      <c r="A5" s="475" t="str">
        <f>Interview!B10</f>
        <v>Organization:</v>
      </c>
      <c r="B5" s="475"/>
      <c r="C5" s="477" t="str">
        <f>IF(ISBLANK(Interview!D10),"",Interview!D10)</f>
        <v>COMPANY</v>
      </c>
      <c r="D5" s="477"/>
      <c r="E5" s="477"/>
      <c r="F5" s="477"/>
      <c r="G5" s="18"/>
      <c r="H5" s="18"/>
      <c r="I5" s="18"/>
      <c r="J5" s="18"/>
      <c r="K5" s="18"/>
      <c r="L5" s="18"/>
      <c r="M5" s="18"/>
      <c r="N5" s="18"/>
    </row>
    <row r="6" spans="1:26" ht="12.75" customHeight="1">
      <c r="A6" s="475" t="str">
        <f>Interview!B11</f>
        <v>Team/Application:</v>
      </c>
      <c r="B6" s="475"/>
      <c r="C6" s="477" t="str">
        <f>IF(ISBLANK(Interview!D11),"",Interview!D11)</f>
        <v/>
      </c>
      <c r="D6" s="477"/>
      <c r="E6" s="477"/>
      <c r="F6" s="477"/>
      <c r="G6" s="18"/>
      <c r="H6" s="18"/>
      <c r="I6" s="18"/>
      <c r="J6" s="18"/>
      <c r="K6" s="18"/>
      <c r="L6" s="18"/>
      <c r="M6" s="18"/>
      <c r="N6" s="18"/>
    </row>
    <row r="7" spans="1:26" ht="12.75" customHeight="1">
      <c r="A7" s="475" t="str">
        <f>Interview!B12</f>
        <v>Interview Date:</v>
      </c>
      <c r="B7" s="475"/>
      <c r="C7" s="476" t="str">
        <f>IF(ISBLANK(Interview!D12),"",Interview!D12)</f>
        <v/>
      </c>
      <c r="D7" s="476"/>
      <c r="E7" s="476"/>
      <c r="F7" s="476"/>
      <c r="G7" s="18"/>
      <c r="H7" s="18"/>
      <c r="I7" s="18"/>
      <c r="J7" s="18"/>
      <c r="K7" s="18"/>
      <c r="L7" s="18"/>
      <c r="M7" s="18"/>
      <c r="N7" s="18"/>
    </row>
    <row r="8" spans="1:26" ht="12.75" customHeight="1">
      <c r="A8" s="475" t="str">
        <f>Interview!B13</f>
        <v xml:space="preserve">Team Lead: </v>
      </c>
      <c r="B8" s="475"/>
      <c r="C8" s="477" t="str">
        <f>IF(ISBLANK(Interview!D13),"",Interview!D13)</f>
        <v/>
      </c>
      <c r="D8" s="477"/>
      <c r="E8" s="477"/>
      <c r="F8" s="477"/>
      <c r="G8" s="18"/>
      <c r="H8" s="18"/>
      <c r="I8" s="18"/>
      <c r="J8" s="18"/>
      <c r="K8" s="18"/>
      <c r="L8" s="18"/>
      <c r="M8" s="18"/>
      <c r="N8" s="18"/>
    </row>
    <row r="9" spans="1:26" ht="12.75" customHeight="1">
      <c r="A9" s="475" t="str">
        <f>Interview!B14</f>
        <v>Name:</v>
      </c>
      <c r="B9" s="475"/>
      <c r="C9" s="478" t="str">
        <f>IF(ISBLANK(Interview!D14),"",Interview!D14)</f>
        <v>229a43e68f7f67bd25211bf95ce5c4e8</v>
      </c>
      <c r="D9" s="478"/>
      <c r="E9" s="478"/>
      <c r="F9" s="478"/>
      <c r="G9" s="478"/>
      <c r="H9" s="478"/>
      <c r="I9" s="478"/>
      <c r="J9" s="18"/>
      <c r="K9" s="18"/>
      <c r="L9" s="18"/>
      <c r="M9" s="18"/>
      <c r="N9" s="18"/>
    </row>
    <row r="10" spans="1:26" ht="12.75" customHeight="1">
      <c r="A10" s="212"/>
      <c r="B10" s="18"/>
      <c r="C10" s="18"/>
      <c r="D10" s="18"/>
      <c r="E10" s="18"/>
      <c r="F10" s="18"/>
      <c r="G10" s="18"/>
      <c r="H10" s="18"/>
      <c r="I10" s="18"/>
      <c r="J10" s="18"/>
      <c r="K10" s="18"/>
      <c r="L10" s="18"/>
      <c r="M10" s="18"/>
      <c r="N10" s="18"/>
    </row>
    <row r="11" spans="1:26" ht="25" customHeight="1">
      <c r="A11" s="473" t="s">
        <v>179</v>
      </c>
      <c r="B11" s="473"/>
      <c r="C11" s="473"/>
      <c r="D11" s="473"/>
      <c r="E11" s="473"/>
      <c r="F11" s="473"/>
      <c r="G11" s="473"/>
      <c r="H11" s="473"/>
      <c r="I11" s="473"/>
      <c r="J11" s="473"/>
      <c r="K11" s="18"/>
      <c r="L11" s="473" t="s">
        <v>179</v>
      </c>
      <c r="M11" s="473"/>
      <c r="N11" s="473"/>
      <c r="O11" s="473"/>
      <c r="P11" s="473"/>
      <c r="Q11" s="473"/>
      <c r="R11" s="473"/>
      <c r="T11" s="474" t="s">
        <v>179</v>
      </c>
      <c r="U11" s="474"/>
      <c r="V11" s="474"/>
      <c r="W11" s="474"/>
      <c r="X11" s="474"/>
      <c r="Y11" s="474"/>
      <c r="Z11" s="474"/>
    </row>
    <row r="12" spans="1:26" ht="12.75" customHeight="1">
      <c r="A12" s="210"/>
      <c r="B12" s="210"/>
      <c r="C12" s="210"/>
      <c r="D12" s="472" t="s">
        <v>180</v>
      </c>
      <c r="E12" s="472"/>
      <c r="F12" s="472"/>
      <c r="G12" s="18"/>
      <c r="H12" s="18"/>
      <c r="I12" s="18"/>
      <c r="J12" s="18"/>
      <c r="K12" s="18"/>
      <c r="L12" s="18"/>
      <c r="M12" s="18"/>
      <c r="N12" s="18"/>
    </row>
    <row r="13" spans="1:26" ht="15" customHeight="1">
      <c r="A13" s="213" t="s">
        <v>181</v>
      </c>
      <c r="B13" s="213" t="s">
        <v>182</v>
      </c>
      <c r="C13" s="213" t="s">
        <v>183</v>
      </c>
      <c r="D13" s="214">
        <v>1</v>
      </c>
      <c r="E13" s="214">
        <v>2</v>
      </c>
      <c r="F13" s="214">
        <v>3</v>
      </c>
      <c r="G13" s="215" t="s">
        <v>184</v>
      </c>
      <c r="H13" s="18"/>
      <c r="I13" s="213" t="s">
        <v>181</v>
      </c>
      <c r="J13" s="213" t="s">
        <v>183</v>
      </c>
      <c r="L13" s="18"/>
      <c r="M13" s="18"/>
      <c r="N13" s="18"/>
      <c r="V13" t="str">
        <f>T14</f>
        <v>Governance</v>
      </c>
      <c r="W13" t="str">
        <f>T17</f>
        <v>Design</v>
      </c>
      <c r="X13" t="str">
        <f>T20</f>
        <v>Implementation</v>
      </c>
      <c r="Y13" t="str">
        <f>T23</f>
        <v>Verification</v>
      </c>
      <c r="Z13" t="str">
        <f>T26</f>
        <v>Operations</v>
      </c>
    </row>
    <row r="14" spans="1:26" ht="25" customHeight="1">
      <c r="A14" s="216" t="str">
        <f>Interview!$B$16</f>
        <v>Governance</v>
      </c>
      <c r="B14" s="217" t="str">
        <f>Interview!$D$17</f>
        <v>Strategy &amp; Metrics</v>
      </c>
      <c r="C14" s="218">
        <f>Interview!$J$18</f>
        <v>0</v>
      </c>
      <c r="D14" s="218">
        <f>Interview!H18</f>
        <v>0</v>
      </c>
      <c r="E14" s="218">
        <f>Interview!H20</f>
        <v>0</v>
      </c>
      <c r="F14" s="218">
        <f>Interview!H22</f>
        <v>0</v>
      </c>
      <c r="G14" s="219">
        <f t="shared" ref="G14:G19" si="0">(((((IF((C14="0+"),0.5,0)+IF((C14=1),1,0))+IF((C14="1+"),1.5,0))+IF((C14=2),2,0))+IF((C14="2+"),2.5,0))+IF((C14=3),3,0))+IF((C14="3+"),3.5,0)</f>
        <v>0</v>
      </c>
      <c r="H14" s="220"/>
      <c r="I14" s="216" t="str">
        <f>A14</f>
        <v>Governance</v>
      </c>
      <c r="J14" s="218">
        <f>AVERAGE(C14:C16)</f>
        <v>0.875</v>
      </c>
      <c r="L14" s="18"/>
      <c r="M14" s="18"/>
      <c r="N14" s="18"/>
      <c r="T14" s="216" t="str">
        <f t="shared" ref="T14:V16" si="1">A14</f>
        <v>Governance</v>
      </c>
      <c r="U14" s="217" t="str">
        <f t="shared" si="1"/>
        <v>Strategy &amp; Metrics</v>
      </c>
      <c r="V14" s="218">
        <f t="shared" si="1"/>
        <v>0</v>
      </c>
      <c r="W14" s="218">
        <v>0</v>
      </c>
      <c r="X14" s="218">
        <v>0</v>
      </c>
      <c r="Y14" s="218">
        <v>0</v>
      </c>
      <c r="Z14" s="218">
        <v>0</v>
      </c>
    </row>
    <row r="15" spans="1:26" ht="25" customHeight="1">
      <c r="A15" s="216" t="str">
        <f>Interview!$B$16</f>
        <v>Governance</v>
      </c>
      <c r="B15" s="217" t="str">
        <f>Interview!$B$31</f>
        <v>Policy &amp; Compliance</v>
      </c>
      <c r="C15" s="218">
        <f>Interview!$J$32</f>
        <v>0</v>
      </c>
      <c r="D15" s="218">
        <f>Interview!H32</f>
        <v>0</v>
      </c>
      <c r="E15" s="218">
        <f>Interview!H34</f>
        <v>0</v>
      </c>
      <c r="F15" s="218">
        <f>Interview!H36</f>
        <v>0</v>
      </c>
      <c r="G15" s="219">
        <f t="shared" si="0"/>
        <v>0</v>
      </c>
      <c r="H15" s="220"/>
      <c r="I15" s="221" t="str">
        <f>A17</f>
        <v>Design</v>
      </c>
      <c r="J15" s="218">
        <f>AVERAGE(C17:C19)</f>
        <v>1.4166666666666667</v>
      </c>
      <c r="L15" s="18"/>
      <c r="M15" s="18"/>
      <c r="N15" s="18"/>
      <c r="T15" s="216" t="str">
        <f t="shared" si="1"/>
        <v>Governance</v>
      </c>
      <c r="U15" s="217" t="str">
        <f t="shared" si="1"/>
        <v>Policy &amp; Compliance</v>
      </c>
      <c r="V15" s="218">
        <f t="shared" si="1"/>
        <v>0</v>
      </c>
      <c r="W15" s="218">
        <v>0</v>
      </c>
      <c r="X15" s="218">
        <v>0</v>
      </c>
      <c r="Y15" s="218">
        <v>0</v>
      </c>
      <c r="Z15" s="218">
        <v>0</v>
      </c>
    </row>
    <row r="16" spans="1:26" ht="25" customHeight="1">
      <c r="A16" s="216" t="str">
        <f>Interview!$B$16</f>
        <v>Governance</v>
      </c>
      <c r="B16" s="217" t="str">
        <f>Interview!$B$45</f>
        <v>Education &amp; Guidance</v>
      </c>
      <c r="C16" s="218">
        <f>Interview!$J$46</f>
        <v>2.625</v>
      </c>
      <c r="D16" s="218">
        <f>Interview!H46</f>
        <v>0.625</v>
      </c>
      <c r="E16" s="218">
        <f>Interview!H48</f>
        <v>1</v>
      </c>
      <c r="F16" s="218">
        <f>Interview!H50</f>
        <v>1</v>
      </c>
      <c r="G16" s="219">
        <f t="shared" si="0"/>
        <v>0</v>
      </c>
      <c r="H16" s="220"/>
      <c r="I16" s="222" t="str">
        <f>A20</f>
        <v>Implementation</v>
      </c>
      <c r="J16" s="218">
        <f>AVERAGE(C20:C22)</f>
        <v>1.3333333333333333</v>
      </c>
      <c r="L16" s="18"/>
      <c r="M16" s="18"/>
      <c r="N16" s="18"/>
      <c r="T16" s="216" t="str">
        <f t="shared" si="1"/>
        <v>Governance</v>
      </c>
      <c r="U16" s="217" t="str">
        <f t="shared" si="1"/>
        <v>Education &amp; Guidance</v>
      </c>
      <c r="V16" s="218">
        <f t="shared" si="1"/>
        <v>2.625</v>
      </c>
      <c r="W16" s="218">
        <v>0</v>
      </c>
      <c r="X16" s="218">
        <v>0</v>
      </c>
      <c r="Y16" s="218">
        <v>0</v>
      </c>
      <c r="Z16" s="218">
        <v>0</v>
      </c>
    </row>
    <row r="17" spans="1:26" ht="25" customHeight="1">
      <c r="A17" s="221" t="str">
        <f>Interview!$B$59</f>
        <v>Design</v>
      </c>
      <c r="B17" s="223" t="str">
        <f>Interview!$B$60</f>
        <v>Threat Assessment</v>
      </c>
      <c r="C17" s="218">
        <f>Interview!$J$61</f>
        <v>2.25</v>
      </c>
      <c r="D17" s="218">
        <f>Interview!H61</f>
        <v>1</v>
      </c>
      <c r="E17" s="218">
        <f>Interview!H63</f>
        <v>1</v>
      </c>
      <c r="F17" s="218">
        <f>Interview!H65</f>
        <v>0.25</v>
      </c>
      <c r="G17" s="219">
        <f t="shared" si="0"/>
        <v>0</v>
      </c>
      <c r="H17" s="220"/>
      <c r="I17" s="224" t="str">
        <f>A23</f>
        <v>Verification</v>
      </c>
      <c r="J17" s="218">
        <f>AVERAGE(C23:C25)</f>
        <v>0</v>
      </c>
      <c r="L17" s="18"/>
      <c r="M17" s="18"/>
      <c r="N17" s="18"/>
      <c r="T17" s="221" t="str">
        <f t="shared" ref="T17:T28" si="2">A17</f>
        <v>Design</v>
      </c>
      <c r="U17" s="223" t="str">
        <f t="shared" ref="U17:U28" si="3">B17</f>
        <v>Threat Assessment</v>
      </c>
      <c r="V17" s="218">
        <v>0</v>
      </c>
      <c r="W17" s="218">
        <f>C17</f>
        <v>2.25</v>
      </c>
      <c r="X17" s="218">
        <v>0</v>
      </c>
      <c r="Y17" s="218">
        <v>0</v>
      </c>
      <c r="Z17" s="218">
        <v>0</v>
      </c>
    </row>
    <row r="18" spans="1:26" ht="25" customHeight="1">
      <c r="A18" s="221" t="str">
        <f>Interview!$B$59</f>
        <v>Design</v>
      </c>
      <c r="B18" s="223" t="str">
        <f>Interview!$B$74</f>
        <v>Security Requirements</v>
      </c>
      <c r="C18" s="218">
        <f>Interview!$J$75</f>
        <v>1.5</v>
      </c>
      <c r="D18" s="218">
        <f>Interview!H75</f>
        <v>0.5</v>
      </c>
      <c r="E18" s="218">
        <f>Interview!H77</f>
        <v>0.5</v>
      </c>
      <c r="F18" s="218">
        <f>Interview!H79</f>
        <v>0.5</v>
      </c>
      <c r="G18" s="219">
        <f t="shared" si="0"/>
        <v>0</v>
      </c>
      <c r="H18" s="220"/>
      <c r="I18" s="225" t="str">
        <f>A26</f>
        <v>Operations</v>
      </c>
      <c r="J18" s="218">
        <f>AVERAGE(C26:C28)</f>
        <v>0</v>
      </c>
      <c r="K18" s="18"/>
      <c r="L18" s="18"/>
      <c r="M18" s="18"/>
      <c r="N18" s="18"/>
      <c r="T18" s="221" t="str">
        <f t="shared" si="2"/>
        <v>Design</v>
      </c>
      <c r="U18" s="223" t="str">
        <f t="shared" si="3"/>
        <v>Security Requirements</v>
      </c>
      <c r="V18" s="218">
        <v>0</v>
      </c>
      <c r="W18" s="218">
        <f>C18</f>
        <v>1.5</v>
      </c>
      <c r="X18" s="218">
        <v>0</v>
      </c>
      <c r="Y18" s="218">
        <v>0</v>
      </c>
      <c r="Z18" s="218">
        <v>0</v>
      </c>
    </row>
    <row r="19" spans="1:26" ht="25" customHeight="1">
      <c r="A19" s="221" t="str">
        <f>Interview!$B$59</f>
        <v>Design</v>
      </c>
      <c r="B19" s="223" t="str">
        <f>Interview!$B$88</f>
        <v>Secure Architecture</v>
      </c>
      <c r="C19" s="218">
        <f>Interview!$J$89</f>
        <v>0.5</v>
      </c>
      <c r="D19" s="218">
        <f>Interview!H89</f>
        <v>0.5</v>
      </c>
      <c r="E19" s="218">
        <f>Interview!H91</f>
        <v>0</v>
      </c>
      <c r="F19" s="218">
        <f>Interview!H93</f>
        <v>0</v>
      </c>
      <c r="G19" s="219">
        <f t="shared" si="0"/>
        <v>0</v>
      </c>
      <c r="H19" s="220"/>
      <c r="I19" s="18"/>
      <c r="J19" s="18"/>
      <c r="K19" s="18"/>
      <c r="L19" s="18"/>
      <c r="M19" s="18"/>
      <c r="N19" s="18"/>
      <c r="T19" s="221" t="str">
        <f t="shared" si="2"/>
        <v>Design</v>
      </c>
      <c r="U19" s="223" t="str">
        <f t="shared" si="3"/>
        <v>Secure Architecture</v>
      </c>
      <c r="V19" s="218">
        <v>0</v>
      </c>
      <c r="W19" s="218">
        <f>C19</f>
        <v>0.5</v>
      </c>
      <c r="X19" s="218">
        <v>0</v>
      </c>
      <c r="Y19" s="218">
        <v>0</v>
      </c>
      <c r="Z19" s="218">
        <v>0</v>
      </c>
    </row>
    <row r="20" spans="1:26" ht="25" customHeight="1">
      <c r="A20" s="222" t="str">
        <f>Interview!$B$102</f>
        <v>Implementation</v>
      </c>
      <c r="B20" s="226" t="str">
        <f>Interview!$B$103</f>
        <v>Secure Build</v>
      </c>
      <c r="C20" s="218">
        <f>Interview!$J$104</f>
        <v>2.5</v>
      </c>
      <c r="D20" s="218">
        <f>Interview!H104</f>
        <v>1</v>
      </c>
      <c r="E20" s="218">
        <f>Interview!H106</f>
        <v>1</v>
      </c>
      <c r="F20" s="218">
        <f>Interview!H108</f>
        <v>0.5</v>
      </c>
      <c r="G20" s="219"/>
      <c r="H20" s="220"/>
      <c r="I20" s="18"/>
      <c r="J20" s="18"/>
      <c r="K20" s="18"/>
      <c r="L20" s="18"/>
      <c r="M20" s="18"/>
      <c r="N20" s="18"/>
      <c r="T20" s="222" t="str">
        <f t="shared" si="2"/>
        <v>Implementation</v>
      </c>
      <c r="U20" s="227" t="str">
        <f t="shared" si="3"/>
        <v>Secure Build</v>
      </c>
      <c r="V20" s="218">
        <v>0</v>
      </c>
      <c r="W20" s="218">
        <v>0</v>
      </c>
      <c r="X20" s="218">
        <f>C20</f>
        <v>2.5</v>
      </c>
      <c r="Y20" s="218">
        <v>0</v>
      </c>
      <c r="Z20" s="218">
        <v>0</v>
      </c>
    </row>
    <row r="21" spans="1:26" ht="25" customHeight="1">
      <c r="A21" s="222" t="str">
        <f>Interview!$B$102</f>
        <v>Implementation</v>
      </c>
      <c r="B21" s="226" t="str">
        <f>Interview!$B$117</f>
        <v>Secure Deployment</v>
      </c>
      <c r="C21" s="218">
        <f>Interview!$J$118</f>
        <v>1</v>
      </c>
      <c r="D21" s="218">
        <f>Interview!H118</f>
        <v>0.5</v>
      </c>
      <c r="E21" s="218">
        <f>Interview!H120</f>
        <v>0</v>
      </c>
      <c r="F21" s="218">
        <f>Interview!H122</f>
        <v>0.5</v>
      </c>
      <c r="G21" s="219"/>
      <c r="H21" s="220"/>
      <c r="I21" s="18"/>
      <c r="J21" s="18"/>
      <c r="K21" s="18"/>
      <c r="L21" s="18"/>
      <c r="M21" s="18"/>
      <c r="N21" s="18"/>
      <c r="T21" s="222" t="str">
        <f t="shared" si="2"/>
        <v>Implementation</v>
      </c>
      <c r="U21" s="227" t="str">
        <f t="shared" si="3"/>
        <v>Secure Deployment</v>
      </c>
      <c r="V21" s="218">
        <v>0</v>
      </c>
      <c r="W21" s="218">
        <v>0</v>
      </c>
      <c r="X21" s="218">
        <f>C21</f>
        <v>1</v>
      </c>
      <c r="Y21" s="218">
        <v>0</v>
      </c>
      <c r="Z21" s="218">
        <v>0</v>
      </c>
    </row>
    <row r="22" spans="1:26" ht="25" customHeight="1">
      <c r="A22" s="222" t="str">
        <f>Interview!$B$102</f>
        <v>Implementation</v>
      </c>
      <c r="B22" s="226" t="str">
        <f>Interview!$B$131</f>
        <v>Defect Management</v>
      </c>
      <c r="C22" s="218">
        <f>Interview!$J$132</f>
        <v>0.5</v>
      </c>
      <c r="D22" s="218">
        <f>Interview!H132</f>
        <v>0.5</v>
      </c>
      <c r="E22" s="218">
        <f>Interview!H134</f>
        <v>0</v>
      </c>
      <c r="F22" s="218">
        <f>Interview!H136</f>
        <v>0</v>
      </c>
      <c r="G22" s="219"/>
      <c r="H22" s="220"/>
      <c r="I22" s="18"/>
      <c r="J22" s="18"/>
      <c r="K22" s="18"/>
      <c r="L22" s="18"/>
      <c r="M22" s="18"/>
      <c r="N22" s="18"/>
      <c r="T22" s="222" t="str">
        <f t="shared" si="2"/>
        <v>Implementation</v>
      </c>
      <c r="U22" s="227" t="str">
        <f t="shared" si="3"/>
        <v>Defect Management</v>
      </c>
      <c r="V22" s="218">
        <v>0</v>
      </c>
      <c r="W22" s="218">
        <v>0</v>
      </c>
      <c r="X22" s="218">
        <f>C22</f>
        <v>0.5</v>
      </c>
      <c r="Y22" s="218">
        <v>0</v>
      </c>
      <c r="Z22" s="218">
        <v>0</v>
      </c>
    </row>
    <row r="23" spans="1:26" ht="25" customHeight="1">
      <c r="A23" s="224" t="str">
        <f>Interview!$B$145</f>
        <v>Verification</v>
      </c>
      <c r="B23" s="228" t="str">
        <f>Interview!$B$146</f>
        <v>Architecture Assessment</v>
      </c>
      <c r="C23" s="218">
        <f>Interview!$J$147</f>
        <v>0</v>
      </c>
      <c r="D23" s="218">
        <f>Interview!H147</f>
        <v>0</v>
      </c>
      <c r="E23" s="218">
        <f>Interview!H149</f>
        <v>0</v>
      </c>
      <c r="F23" s="218">
        <f>Interview!H151</f>
        <v>0</v>
      </c>
      <c r="G23" s="219">
        <f t="shared" ref="G23:G28" si="4">(((((IF((C23="0+"),0.5,0)+IF((C23=1),1,0))+IF((C23="1+"),1.5,0))+IF((C23=2),2,0))+IF((C23="2+"),2.5,0))+IF((C23=3),3,0))+IF((C23="3+"),3.5,0)</f>
        <v>0</v>
      </c>
      <c r="H23" s="220"/>
      <c r="I23" s="18"/>
      <c r="J23" s="18"/>
      <c r="K23" s="18"/>
      <c r="L23" s="18"/>
      <c r="M23" s="18"/>
      <c r="N23" s="18"/>
      <c r="T23" s="224" t="str">
        <f t="shared" si="2"/>
        <v>Verification</v>
      </c>
      <c r="U23" s="228" t="str">
        <f t="shared" si="3"/>
        <v>Architecture Assessment</v>
      </c>
      <c r="V23" s="218">
        <v>0</v>
      </c>
      <c r="W23" s="218">
        <v>0</v>
      </c>
      <c r="X23" s="218">
        <v>0</v>
      </c>
      <c r="Y23" s="218">
        <f>C23</f>
        <v>0</v>
      </c>
      <c r="Z23" s="218">
        <v>0</v>
      </c>
    </row>
    <row r="24" spans="1:26" ht="25" customHeight="1">
      <c r="A24" s="224" t="str">
        <f>Interview!$B$145</f>
        <v>Verification</v>
      </c>
      <c r="B24" s="228" t="str">
        <f>Interview!$B$160</f>
        <v>Requirements Testing</v>
      </c>
      <c r="C24" s="218">
        <f>Interview!$J$161</f>
        <v>0</v>
      </c>
      <c r="D24" s="218">
        <f>Interview!H161</f>
        <v>0</v>
      </c>
      <c r="E24" s="218">
        <f>Interview!H163</f>
        <v>0</v>
      </c>
      <c r="F24" s="218">
        <f>Interview!H165</f>
        <v>0</v>
      </c>
      <c r="G24" s="219">
        <f t="shared" si="4"/>
        <v>0</v>
      </c>
      <c r="H24" s="220"/>
      <c r="I24" s="18"/>
      <c r="J24" s="18"/>
      <c r="K24" s="18"/>
      <c r="L24" s="18"/>
      <c r="M24" s="18"/>
      <c r="N24" s="18"/>
      <c r="T24" s="224" t="str">
        <f t="shared" si="2"/>
        <v>Verification</v>
      </c>
      <c r="U24" s="228" t="str">
        <f t="shared" si="3"/>
        <v>Requirements Testing</v>
      </c>
      <c r="V24" s="218">
        <v>0</v>
      </c>
      <c r="W24" s="218">
        <v>0</v>
      </c>
      <c r="X24" s="218">
        <v>0</v>
      </c>
      <c r="Y24" s="218">
        <f>C24</f>
        <v>0</v>
      </c>
      <c r="Z24" s="218">
        <v>0</v>
      </c>
    </row>
    <row r="25" spans="1:26" ht="25" customHeight="1">
      <c r="A25" s="224" t="str">
        <f>Interview!$B$145</f>
        <v>Verification</v>
      </c>
      <c r="B25" s="228" t="str">
        <f>Interview!$B$174</f>
        <v>Security Testing</v>
      </c>
      <c r="C25" s="218">
        <f>Interview!$J$175</f>
        <v>0</v>
      </c>
      <c r="D25" s="218">
        <f>Interview!H175</f>
        <v>0</v>
      </c>
      <c r="E25" s="218">
        <f>Interview!H177</f>
        <v>0</v>
      </c>
      <c r="F25" s="218">
        <f>Interview!H179</f>
        <v>0</v>
      </c>
      <c r="G25" s="219">
        <f t="shared" si="4"/>
        <v>0</v>
      </c>
      <c r="H25" s="220"/>
      <c r="I25" s="18"/>
      <c r="J25" s="18"/>
      <c r="K25" s="18"/>
      <c r="L25" s="18"/>
      <c r="M25" s="18"/>
      <c r="N25" s="18"/>
      <c r="T25" s="224" t="str">
        <f t="shared" si="2"/>
        <v>Verification</v>
      </c>
      <c r="U25" s="228" t="str">
        <f t="shared" si="3"/>
        <v>Security Testing</v>
      </c>
      <c r="V25" s="218">
        <v>0</v>
      </c>
      <c r="W25" s="218">
        <v>0</v>
      </c>
      <c r="X25" s="218">
        <v>0</v>
      </c>
      <c r="Y25" s="218">
        <f>C25</f>
        <v>0</v>
      </c>
      <c r="Z25" s="218">
        <v>0</v>
      </c>
    </row>
    <row r="26" spans="1:26" ht="25" customHeight="1">
      <c r="A26" s="225" t="str">
        <f>Interview!$B$188</f>
        <v>Operations</v>
      </c>
      <c r="B26" s="229" t="str">
        <f>Interview!$B$189</f>
        <v>Incident Management</v>
      </c>
      <c r="C26" s="218">
        <f>Interview!$J$190</f>
        <v>0</v>
      </c>
      <c r="D26" s="218">
        <f>Interview!H190</f>
        <v>0</v>
      </c>
      <c r="E26" s="218">
        <f>Interview!H192</f>
        <v>0</v>
      </c>
      <c r="F26" s="218">
        <f>Interview!H194</f>
        <v>0</v>
      </c>
      <c r="G26" s="219">
        <f t="shared" si="4"/>
        <v>0</v>
      </c>
      <c r="H26" s="220"/>
      <c r="I26" s="18"/>
      <c r="J26" s="18"/>
      <c r="K26" s="18"/>
      <c r="L26" s="18"/>
      <c r="M26" s="18"/>
      <c r="N26" s="18"/>
      <c r="T26" s="225" t="str">
        <f t="shared" si="2"/>
        <v>Operations</v>
      </c>
      <c r="U26" s="229" t="str">
        <f t="shared" si="3"/>
        <v>Incident Management</v>
      </c>
      <c r="V26" s="218">
        <v>0</v>
      </c>
      <c r="W26" s="218">
        <v>0</v>
      </c>
      <c r="X26" s="218">
        <v>0</v>
      </c>
      <c r="Y26" s="218">
        <v>0</v>
      </c>
      <c r="Z26" s="218">
        <f>C26</f>
        <v>0</v>
      </c>
    </row>
    <row r="27" spans="1:26" ht="25" customHeight="1">
      <c r="A27" s="225" t="str">
        <f>Interview!$B$188</f>
        <v>Operations</v>
      </c>
      <c r="B27" s="229" t="str">
        <f>Interview!$B$203</f>
        <v>Environment Management</v>
      </c>
      <c r="C27" s="218">
        <f>Interview!$J$204</f>
        <v>0</v>
      </c>
      <c r="D27" s="218">
        <f>Interview!H204</f>
        <v>0</v>
      </c>
      <c r="E27" s="218">
        <f>Interview!H206</f>
        <v>0</v>
      </c>
      <c r="F27" s="218">
        <f>Interview!H208</f>
        <v>0</v>
      </c>
      <c r="G27" s="219">
        <f t="shared" si="4"/>
        <v>0</v>
      </c>
      <c r="H27" s="220"/>
      <c r="I27" s="18"/>
      <c r="J27" s="18"/>
      <c r="K27" s="18"/>
      <c r="L27" s="18"/>
      <c r="M27" s="18"/>
      <c r="N27" s="18"/>
      <c r="T27" s="225" t="str">
        <f t="shared" si="2"/>
        <v>Operations</v>
      </c>
      <c r="U27" s="229" t="str">
        <f t="shared" si="3"/>
        <v>Environment Management</v>
      </c>
      <c r="V27" s="218">
        <v>0</v>
      </c>
      <c r="W27" s="218">
        <v>0</v>
      </c>
      <c r="X27" s="218">
        <v>0</v>
      </c>
      <c r="Y27" s="218">
        <v>0</v>
      </c>
      <c r="Z27" s="218">
        <f>C27</f>
        <v>0</v>
      </c>
    </row>
    <row r="28" spans="1:26" ht="25" customHeight="1">
      <c r="A28" s="225" t="str">
        <f>Interview!$B$188</f>
        <v>Operations</v>
      </c>
      <c r="B28" s="229" t="str">
        <f>Interview!$B$217</f>
        <v>Operational Management</v>
      </c>
      <c r="C28" s="218">
        <f>Interview!$J$218</f>
        <v>0</v>
      </c>
      <c r="D28" s="218">
        <f>Interview!H218</f>
        <v>0</v>
      </c>
      <c r="E28" s="218">
        <f>Interview!H220</f>
        <v>0</v>
      </c>
      <c r="F28" s="218">
        <f>Interview!H222</f>
        <v>0</v>
      </c>
      <c r="G28" s="219">
        <f t="shared" si="4"/>
        <v>0</v>
      </c>
      <c r="H28" s="220"/>
      <c r="I28" s="18"/>
      <c r="J28" s="18"/>
      <c r="K28" s="18"/>
      <c r="L28" s="18"/>
      <c r="M28" s="18"/>
      <c r="N28" s="18"/>
      <c r="T28" s="225" t="str">
        <f t="shared" si="2"/>
        <v>Operations</v>
      </c>
      <c r="U28" s="229" t="str">
        <f t="shared" si="3"/>
        <v>Operational Management</v>
      </c>
      <c r="V28" s="218">
        <v>0</v>
      </c>
      <c r="W28" s="218">
        <v>0</v>
      </c>
      <c r="X28" s="218">
        <v>0</v>
      </c>
      <c r="Y28" s="218">
        <v>0</v>
      </c>
      <c r="Z28" s="218">
        <f>C28</f>
        <v>0</v>
      </c>
    </row>
    <row r="29" spans="1:26" ht="12.75" customHeight="1">
      <c r="A29" s="211"/>
      <c r="B29" s="211"/>
      <c r="C29" s="211"/>
      <c r="D29" s="211"/>
      <c r="E29" s="211"/>
      <c r="F29" s="211"/>
      <c r="G29" s="18"/>
      <c r="H29" s="18"/>
      <c r="I29" s="18"/>
      <c r="J29" s="18"/>
      <c r="K29" s="18"/>
      <c r="L29" s="18"/>
      <c r="M29" s="18"/>
      <c r="N29" s="18"/>
    </row>
    <row r="30" spans="1:26" ht="12.75" customHeight="1">
      <c r="K30" s="18"/>
    </row>
    <row r="31" spans="1:26" ht="25" customHeight="1">
      <c r="A31" s="473" t="s">
        <v>185</v>
      </c>
      <c r="B31" s="473"/>
      <c r="C31" s="473"/>
      <c r="D31" s="473"/>
      <c r="E31" s="473"/>
      <c r="F31" s="473"/>
      <c r="G31" s="473"/>
      <c r="H31" s="473"/>
      <c r="I31" s="473"/>
      <c r="J31" s="473"/>
      <c r="K31" s="18"/>
      <c r="L31" s="473" t="s">
        <v>185</v>
      </c>
      <c r="M31" s="473"/>
      <c r="N31" s="473"/>
      <c r="O31" s="473"/>
      <c r="P31" s="473"/>
      <c r="Q31" s="473"/>
      <c r="R31" s="473"/>
      <c r="T31" s="474" t="s">
        <v>185</v>
      </c>
      <c r="U31" s="474"/>
      <c r="V31" s="474"/>
      <c r="W31" s="474"/>
      <c r="X31" s="474"/>
      <c r="Y31" s="474"/>
      <c r="Z31" s="474"/>
    </row>
    <row r="32" spans="1:26" ht="12" customHeight="1">
      <c r="A32" s="210"/>
      <c r="B32" s="210"/>
      <c r="C32" s="210"/>
      <c r="D32" s="472" t="s">
        <v>180</v>
      </c>
      <c r="E32" s="472"/>
      <c r="F32" s="472"/>
      <c r="G32" s="18"/>
      <c r="H32" s="18"/>
      <c r="I32" s="18"/>
      <c r="J32" s="18"/>
      <c r="K32" s="18"/>
      <c r="L32" s="18"/>
      <c r="M32" s="18"/>
      <c r="N32" s="18"/>
    </row>
    <row r="33" spans="1:26" ht="25" customHeight="1">
      <c r="A33" s="213" t="s">
        <v>181</v>
      </c>
      <c r="B33" s="213" t="s">
        <v>182</v>
      </c>
      <c r="C33" s="213" t="s">
        <v>183</v>
      </c>
      <c r="D33" s="214">
        <v>1</v>
      </c>
      <c r="E33" s="214">
        <v>2</v>
      </c>
      <c r="F33" s="214">
        <v>3</v>
      </c>
      <c r="G33" s="215" t="s">
        <v>184</v>
      </c>
      <c r="H33" s="18"/>
      <c r="I33" s="213" t="s">
        <v>181</v>
      </c>
      <c r="J33" s="213" t="s">
        <v>183</v>
      </c>
      <c r="K33" s="18"/>
      <c r="L33" s="18"/>
      <c r="M33" s="18"/>
      <c r="N33" s="18"/>
      <c r="V33" t="str">
        <f>T34</f>
        <v>Governance</v>
      </c>
      <c r="W33" t="str">
        <f>T37</f>
        <v>Design</v>
      </c>
      <c r="X33" t="str">
        <f>T40</f>
        <v>Implementation</v>
      </c>
      <c r="Y33" t="str">
        <f>T43</f>
        <v>Verification</v>
      </c>
      <c r="Z33" t="str">
        <f>T46</f>
        <v>Operations</v>
      </c>
    </row>
    <row r="34" spans="1:26" ht="25" customHeight="1">
      <c r="A34" s="216" t="str">
        <f>Interview!$B$16</f>
        <v>Governance</v>
      </c>
      <c r="B34" s="217" t="str">
        <f>Interview!$D$17</f>
        <v>Strategy &amp; Metrics</v>
      </c>
      <c r="C34" s="218">
        <f>Roadmap!M18</f>
        <v>0.125</v>
      </c>
      <c r="D34" s="218">
        <f>Roadmap!L18</f>
        <v>0</v>
      </c>
      <c r="E34" s="218">
        <f>Roadmap!L19</f>
        <v>0</v>
      </c>
      <c r="F34" s="218">
        <f>Roadmap!L20</f>
        <v>0.125</v>
      </c>
      <c r="G34" s="219">
        <f t="shared" ref="G34:G39" si="5">(((((IF((C34="0+"),0.5,0)+IF((C34=1),1,0))+IF((C34="1+"),1.5,0))+IF((C34=2),2,0))+IF((C34="2+"),2.5,0))+IF((C34=3),3,0))+IF((C34="3+"),3.5,0)</f>
        <v>0</v>
      </c>
      <c r="H34" s="220"/>
      <c r="I34" s="216" t="str">
        <f>A34</f>
        <v>Governance</v>
      </c>
      <c r="J34" s="218">
        <f>AVERAGE(C34:C36)</f>
        <v>0.91666666666666663</v>
      </c>
      <c r="K34" s="18"/>
      <c r="L34" s="18"/>
      <c r="M34" s="18"/>
      <c r="N34" s="18"/>
      <c r="T34" s="216" t="str">
        <f>Interview!$B$16</f>
        <v>Governance</v>
      </c>
      <c r="U34" s="217" t="str">
        <f>Interview!$D$17</f>
        <v>Strategy &amp; Metrics</v>
      </c>
      <c r="V34" s="218">
        <f>C34</f>
        <v>0.125</v>
      </c>
      <c r="W34" s="218">
        <v>0</v>
      </c>
      <c r="X34" s="218">
        <v>0</v>
      </c>
      <c r="Y34" s="218">
        <v>0</v>
      </c>
      <c r="Z34" s="218">
        <v>0</v>
      </c>
    </row>
    <row r="35" spans="1:26" ht="25" customHeight="1">
      <c r="A35" s="216" t="str">
        <f>Interview!$B$16</f>
        <v>Governance</v>
      </c>
      <c r="B35" s="217" t="str">
        <f>Interview!$B$31</f>
        <v>Policy &amp; Compliance</v>
      </c>
      <c r="C35" s="218">
        <f>Roadmap!M27</f>
        <v>0</v>
      </c>
      <c r="D35" s="218">
        <f>Roadmap!L27</f>
        <v>0</v>
      </c>
      <c r="E35" s="218">
        <f>Roadmap!L28</f>
        <v>0</v>
      </c>
      <c r="F35" s="218">
        <f>Roadmap!L29</f>
        <v>0</v>
      </c>
      <c r="G35" s="219">
        <f t="shared" si="5"/>
        <v>0</v>
      </c>
      <c r="H35" s="220"/>
      <c r="I35" s="221" t="str">
        <f>A37</f>
        <v>Design</v>
      </c>
      <c r="J35" s="218">
        <f>AVERAGE(C37:C39)</f>
        <v>1.4166666666666667</v>
      </c>
      <c r="K35" s="18"/>
      <c r="L35" s="18"/>
      <c r="M35" s="18"/>
      <c r="N35" s="18"/>
      <c r="T35" s="216" t="str">
        <f>Interview!$B$16</f>
        <v>Governance</v>
      </c>
      <c r="U35" s="217" t="str">
        <f>Interview!$B$31</f>
        <v>Policy &amp; Compliance</v>
      </c>
      <c r="V35" s="218">
        <f>C35</f>
        <v>0</v>
      </c>
      <c r="W35" s="218">
        <v>0</v>
      </c>
      <c r="X35" s="218">
        <v>0</v>
      </c>
      <c r="Y35" s="218">
        <v>0</v>
      </c>
      <c r="Z35" s="218">
        <v>0</v>
      </c>
    </row>
    <row r="36" spans="1:26" ht="25" customHeight="1">
      <c r="A36" s="216" t="str">
        <f>Interview!$B$16</f>
        <v>Governance</v>
      </c>
      <c r="B36" s="217" t="str">
        <f>Interview!$B$45</f>
        <v>Education &amp; Guidance</v>
      </c>
      <c r="C36" s="218">
        <f>Roadmap!M36</f>
        <v>2.625</v>
      </c>
      <c r="D36" s="218">
        <f>Roadmap!L36</f>
        <v>0.625</v>
      </c>
      <c r="E36" s="218">
        <f>Roadmap!L37</f>
        <v>1</v>
      </c>
      <c r="F36" s="218">
        <f>Roadmap!L38</f>
        <v>1</v>
      </c>
      <c r="G36" s="219">
        <f t="shared" si="5"/>
        <v>0</v>
      </c>
      <c r="H36" s="220"/>
      <c r="I36" s="222" t="str">
        <f>A40</f>
        <v>Implementation</v>
      </c>
      <c r="J36" s="218">
        <f>AVERAGE(C40:C42)</f>
        <v>0</v>
      </c>
      <c r="K36" s="18"/>
      <c r="L36" s="18"/>
      <c r="M36" s="18"/>
      <c r="N36" s="18"/>
      <c r="T36" s="216" t="str">
        <f>Interview!$B$16</f>
        <v>Governance</v>
      </c>
      <c r="U36" s="217" t="str">
        <f>Interview!$B$45</f>
        <v>Education &amp; Guidance</v>
      </c>
      <c r="V36" s="218">
        <f>C36</f>
        <v>2.625</v>
      </c>
      <c r="W36" s="218">
        <v>0</v>
      </c>
      <c r="X36" s="218">
        <v>0</v>
      </c>
      <c r="Y36" s="218">
        <v>0</v>
      </c>
      <c r="Z36" s="218">
        <v>0</v>
      </c>
    </row>
    <row r="37" spans="1:26" ht="25" customHeight="1">
      <c r="A37" s="221" t="str">
        <f>Interview!$B$59</f>
        <v>Design</v>
      </c>
      <c r="B37" s="223" t="str">
        <f>Interview!$B$60</f>
        <v>Threat Assessment</v>
      </c>
      <c r="C37" s="218">
        <f>Roadmap!M46</f>
        <v>2.25</v>
      </c>
      <c r="D37" s="218">
        <f>Roadmap!L46</f>
        <v>1</v>
      </c>
      <c r="E37" s="218">
        <f>Roadmap!L47</f>
        <v>1</v>
      </c>
      <c r="F37" s="218">
        <f>Roadmap!L48</f>
        <v>0.25</v>
      </c>
      <c r="G37" s="219">
        <f t="shared" si="5"/>
        <v>0</v>
      </c>
      <c r="H37" s="220"/>
      <c r="I37" s="224" t="str">
        <f>A43</f>
        <v>Verification</v>
      </c>
      <c r="J37" s="218">
        <f>AVERAGE(C43:C45)</f>
        <v>0</v>
      </c>
      <c r="K37" s="18"/>
      <c r="L37" s="18"/>
      <c r="M37" s="18"/>
      <c r="N37" s="18"/>
      <c r="T37" s="221" t="str">
        <f>Interview!$B$59</f>
        <v>Design</v>
      </c>
      <c r="U37" s="223" t="str">
        <f>Interview!$B$60</f>
        <v>Threat Assessment</v>
      </c>
      <c r="V37" s="218">
        <v>0</v>
      </c>
      <c r="W37" s="218">
        <f>C37</f>
        <v>2.25</v>
      </c>
      <c r="X37" s="218">
        <v>0</v>
      </c>
      <c r="Y37" s="218">
        <v>0</v>
      </c>
      <c r="Z37" s="218">
        <v>0</v>
      </c>
    </row>
    <row r="38" spans="1:26" ht="25" customHeight="1">
      <c r="A38" s="221" t="str">
        <f>Interview!$B$59</f>
        <v>Design</v>
      </c>
      <c r="B38" s="223" t="str">
        <f>Interview!$B$74</f>
        <v>Security Requirements</v>
      </c>
      <c r="C38" s="218">
        <f>Roadmap!M55</f>
        <v>1.5</v>
      </c>
      <c r="D38" s="218">
        <f>Roadmap!L55</f>
        <v>0.5</v>
      </c>
      <c r="E38" s="218">
        <f>Roadmap!L56</f>
        <v>0.5</v>
      </c>
      <c r="F38" s="218">
        <f>Roadmap!L57</f>
        <v>0.5</v>
      </c>
      <c r="G38" s="219">
        <f t="shared" si="5"/>
        <v>0</v>
      </c>
      <c r="H38" s="220"/>
      <c r="I38" s="225" t="str">
        <f>A46</f>
        <v>Operations</v>
      </c>
      <c r="J38" s="218">
        <f>AVERAGE(C46:C48)</f>
        <v>0</v>
      </c>
      <c r="K38" s="18"/>
      <c r="L38" s="18"/>
      <c r="M38" s="18"/>
      <c r="N38" s="18"/>
      <c r="T38" s="221" t="str">
        <f>Interview!$B$59</f>
        <v>Design</v>
      </c>
      <c r="U38" s="223" t="str">
        <f>Interview!$B$74</f>
        <v>Security Requirements</v>
      </c>
      <c r="V38" s="218">
        <v>0</v>
      </c>
      <c r="W38" s="218">
        <f>C38</f>
        <v>1.5</v>
      </c>
      <c r="X38" s="218">
        <v>0</v>
      </c>
      <c r="Y38" s="218">
        <v>0</v>
      </c>
      <c r="Z38" s="218">
        <v>0</v>
      </c>
    </row>
    <row r="39" spans="1:26" ht="25" customHeight="1">
      <c r="A39" s="221" t="str">
        <f>Interview!$B$59</f>
        <v>Design</v>
      </c>
      <c r="B39" s="223" t="str">
        <f>Interview!$B$88</f>
        <v>Secure Architecture</v>
      </c>
      <c r="C39" s="218">
        <f>Roadmap!M64</f>
        <v>0.5</v>
      </c>
      <c r="D39" s="218">
        <f>Roadmap!L64</f>
        <v>0.5</v>
      </c>
      <c r="E39" s="218">
        <f>Roadmap!L65</f>
        <v>0</v>
      </c>
      <c r="F39" s="218">
        <f>Roadmap!L66</f>
        <v>0</v>
      </c>
      <c r="G39" s="219">
        <f t="shared" si="5"/>
        <v>0</v>
      </c>
      <c r="H39" s="220"/>
      <c r="I39" s="18"/>
      <c r="J39" s="18"/>
      <c r="K39" s="18"/>
      <c r="L39" s="18"/>
      <c r="M39" s="18"/>
      <c r="N39" s="18"/>
      <c r="T39" s="221" t="str">
        <f>Interview!$B$59</f>
        <v>Design</v>
      </c>
      <c r="U39" s="223" t="str">
        <f>Interview!$B$88</f>
        <v>Secure Architecture</v>
      </c>
      <c r="V39" s="218">
        <v>0</v>
      </c>
      <c r="W39" s="218">
        <f>C39</f>
        <v>0.5</v>
      </c>
      <c r="X39" s="218">
        <v>0</v>
      </c>
      <c r="Y39" s="218">
        <v>0</v>
      </c>
      <c r="Z39" s="218">
        <v>0</v>
      </c>
    </row>
    <row r="40" spans="1:26" ht="25" customHeight="1">
      <c r="A40" s="222" t="str">
        <f>Interview!$B$102</f>
        <v>Implementation</v>
      </c>
      <c r="B40" s="226" t="str">
        <f>Interview!$B$103</f>
        <v>Secure Build</v>
      </c>
      <c r="C40" s="218">
        <f>Roadmap!M74</f>
        <v>0</v>
      </c>
      <c r="D40" s="218">
        <f>Roadmap!L74</f>
        <v>0</v>
      </c>
      <c r="E40" s="218">
        <f>Roadmap!L75</f>
        <v>0</v>
      </c>
      <c r="F40" s="218">
        <f>Roadmap!L76</f>
        <v>0</v>
      </c>
      <c r="G40" s="219"/>
      <c r="H40" s="220"/>
      <c r="I40" s="18"/>
      <c r="J40" s="18"/>
      <c r="K40" s="18"/>
      <c r="L40" s="18"/>
      <c r="M40" s="18"/>
      <c r="N40" s="18"/>
      <c r="T40" s="222" t="str">
        <f>Interview!$B$102</f>
        <v>Implementation</v>
      </c>
      <c r="U40" s="226" t="str">
        <f>Interview!$B$103</f>
        <v>Secure Build</v>
      </c>
      <c r="V40" s="218">
        <v>0</v>
      </c>
      <c r="W40" s="218">
        <v>0</v>
      </c>
      <c r="X40" s="218">
        <f>C40</f>
        <v>0</v>
      </c>
      <c r="Y40" s="218">
        <v>0</v>
      </c>
      <c r="Z40" s="218">
        <v>0</v>
      </c>
    </row>
    <row r="41" spans="1:26" ht="25" customHeight="1">
      <c r="A41" s="222" t="str">
        <f>Interview!$B$102</f>
        <v>Implementation</v>
      </c>
      <c r="B41" s="226" t="str">
        <f>Interview!$B$117</f>
        <v>Secure Deployment</v>
      </c>
      <c r="C41" s="218">
        <f>Roadmap!M83</f>
        <v>0</v>
      </c>
      <c r="D41" s="218">
        <f>Roadmap!L83</f>
        <v>0</v>
      </c>
      <c r="E41" s="218">
        <f>Roadmap!L84</f>
        <v>0</v>
      </c>
      <c r="F41" s="218">
        <f>Roadmap!L85</f>
        <v>0</v>
      </c>
      <c r="G41" s="219"/>
      <c r="H41" s="220"/>
      <c r="I41" s="18"/>
      <c r="J41" s="18"/>
      <c r="K41" s="18"/>
      <c r="L41" s="18"/>
      <c r="M41" s="18"/>
      <c r="N41" s="18"/>
      <c r="T41" s="222" t="str">
        <f>Interview!$B$102</f>
        <v>Implementation</v>
      </c>
      <c r="U41" s="226" t="str">
        <f>Interview!$B$117</f>
        <v>Secure Deployment</v>
      </c>
      <c r="V41" s="218">
        <v>0</v>
      </c>
      <c r="W41" s="218">
        <v>0</v>
      </c>
      <c r="X41" s="218">
        <f>C41</f>
        <v>0</v>
      </c>
      <c r="Y41" s="218">
        <v>0</v>
      </c>
      <c r="Z41" s="218">
        <v>0</v>
      </c>
    </row>
    <row r="42" spans="1:26" ht="25" customHeight="1">
      <c r="A42" s="222" t="str">
        <f>Interview!$B$102</f>
        <v>Implementation</v>
      </c>
      <c r="B42" s="226" t="str">
        <f>Interview!$B$131</f>
        <v>Defect Management</v>
      </c>
      <c r="C42" s="218">
        <f>Roadmap!M92</f>
        <v>0</v>
      </c>
      <c r="D42" s="218">
        <f>Roadmap!L92</f>
        <v>0</v>
      </c>
      <c r="E42" s="218">
        <f>Roadmap!L93</f>
        <v>0</v>
      </c>
      <c r="F42" s="218">
        <f>Roadmap!L94</f>
        <v>0</v>
      </c>
      <c r="G42" s="219"/>
      <c r="H42" s="220"/>
      <c r="I42" s="18"/>
      <c r="J42" s="18"/>
      <c r="K42" s="18"/>
      <c r="L42" s="18"/>
      <c r="M42" s="18"/>
      <c r="N42" s="18"/>
      <c r="T42" s="222" t="str">
        <f>Interview!$B$102</f>
        <v>Implementation</v>
      </c>
      <c r="U42" s="226" t="str">
        <f>Interview!$B$131</f>
        <v>Defect Management</v>
      </c>
      <c r="V42" s="218">
        <v>0</v>
      </c>
      <c r="W42" s="218">
        <v>0</v>
      </c>
      <c r="X42" s="218">
        <f>C42</f>
        <v>0</v>
      </c>
      <c r="Y42" s="218">
        <v>0</v>
      </c>
      <c r="Z42" s="218">
        <v>0</v>
      </c>
    </row>
    <row r="43" spans="1:26" ht="25" customHeight="1">
      <c r="A43" s="224" t="str">
        <f>Interview!$B$145</f>
        <v>Verification</v>
      </c>
      <c r="B43" s="228" t="str">
        <f>Interview!$B$146</f>
        <v>Architecture Assessment</v>
      </c>
      <c r="C43" s="218">
        <f>Roadmap!M102</f>
        <v>0</v>
      </c>
      <c r="D43" s="218">
        <f>Roadmap!L102</f>
        <v>0</v>
      </c>
      <c r="E43" s="218">
        <f>Roadmap!L103</f>
        <v>0</v>
      </c>
      <c r="F43" s="218">
        <f>Roadmap!L104</f>
        <v>0</v>
      </c>
      <c r="G43" s="219">
        <f t="shared" ref="G43:G48" si="6">(((((IF((C43="0+"),0.5,0)+IF((C43=1),1,0))+IF((C43="1+"),1.5,0))+IF((C43=2),2,0))+IF((C43="2+"),2.5,0))+IF((C43=3),3,0))+IF((C43="3+"),3.5,0)</f>
        <v>0</v>
      </c>
      <c r="H43" s="220"/>
      <c r="I43" s="18"/>
      <c r="J43" s="18"/>
      <c r="K43" s="18"/>
      <c r="L43" s="18"/>
      <c r="M43" s="18"/>
      <c r="N43" s="18"/>
      <c r="T43" s="224" t="str">
        <f>Interview!$B$145</f>
        <v>Verification</v>
      </c>
      <c r="U43" s="228" t="str">
        <f>Interview!$B$146</f>
        <v>Architecture Assessment</v>
      </c>
      <c r="V43" s="218">
        <v>0</v>
      </c>
      <c r="W43" s="218">
        <v>0</v>
      </c>
      <c r="X43" s="218">
        <v>0</v>
      </c>
      <c r="Y43" s="218">
        <f>C43</f>
        <v>0</v>
      </c>
      <c r="Z43" s="218">
        <v>0</v>
      </c>
    </row>
    <row r="44" spans="1:26" ht="25" customHeight="1">
      <c r="A44" s="224" t="str">
        <f>Interview!$B$145</f>
        <v>Verification</v>
      </c>
      <c r="B44" s="228" t="str">
        <f>Interview!$B$160</f>
        <v>Requirements Testing</v>
      </c>
      <c r="C44" s="218">
        <f>Roadmap!M111</f>
        <v>0</v>
      </c>
      <c r="D44" s="218">
        <f>Roadmap!L111</f>
        <v>0</v>
      </c>
      <c r="E44" s="218">
        <f>Roadmap!L112</f>
        <v>0</v>
      </c>
      <c r="F44" s="218">
        <f>Roadmap!L113</f>
        <v>0</v>
      </c>
      <c r="G44" s="219">
        <f t="shared" si="6"/>
        <v>0</v>
      </c>
      <c r="H44" s="220"/>
      <c r="I44" s="18"/>
      <c r="J44" s="18"/>
      <c r="K44" s="18"/>
      <c r="L44" s="18"/>
      <c r="M44" s="18"/>
      <c r="N44" s="18"/>
      <c r="T44" s="224" t="str">
        <f>Interview!$B$145</f>
        <v>Verification</v>
      </c>
      <c r="U44" s="228" t="str">
        <f>Interview!$B$160</f>
        <v>Requirements Testing</v>
      </c>
      <c r="V44" s="218">
        <v>0</v>
      </c>
      <c r="W44" s="218">
        <v>0</v>
      </c>
      <c r="X44" s="218">
        <v>0</v>
      </c>
      <c r="Y44" s="218">
        <f>C44</f>
        <v>0</v>
      </c>
      <c r="Z44" s="218">
        <v>0</v>
      </c>
    </row>
    <row r="45" spans="1:26" ht="25" customHeight="1">
      <c r="A45" s="224" t="str">
        <f>Interview!$B$145</f>
        <v>Verification</v>
      </c>
      <c r="B45" s="228" t="str">
        <f>Interview!$B$174</f>
        <v>Security Testing</v>
      </c>
      <c r="C45" s="218">
        <f>Roadmap!M120</f>
        <v>0</v>
      </c>
      <c r="D45" s="218">
        <f>Roadmap!L120</f>
        <v>0</v>
      </c>
      <c r="E45" s="218">
        <f>Roadmap!L121</f>
        <v>0</v>
      </c>
      <c r="F45" s="218">
        <f>Roadmap!L122</f>
        <v>0</v>
      </c>
      <c r="G45" s="219">
        <f t="shared" si="6"/>
        <v>0</v>
      </c>
      <c r="H45" s="220"/>
      <c r="I45" s="18"/>
      <c r="J45" s="18"/>
      <c r="K45" s="18"/>
      <c r="L45" s="18"/>
      <c r="M45" s="18"/>
      <c r="N45" s="18"/>
      <c r="T45" s="224" t="str">
        <f>Interview!$B$145</f>
        <v>Verification</v>
      </c>
      <c r="U45" s="228" t="str">
        <f>Interview!$B$174</f>
        <v>Security Testing</v>
      </c>
      <c r="V45" s="218">
        <v>0</v>
      </c>
      <c r="W45" s="218">
        <v>0</v>
      </c>
      <c r="X45" s="218">
        <v>0</v>
      </c>
      <c r="Y45" s="218">
        <f>C45</f>
        <v>0</v>
      </c>
      <c r="Z45" s="218">
        <v>0</v>
      </c>
    </row>
    <row r="46" spans="1:26" ht="25" customHeight="1">
      <c r="A46" s="225" t="str">
        <f>Interview!$B$188</f>
        <v>Operations</v>
      </c>
      <c r="B46" s="229" t="str">
        <f>Interview!$B$189</f>
        <v>Incident Management</v>
      </c>
      <c r="C46" s="218">
        <f>Roadmap!M130</f>
        <v>0</v>
      </c>
      <c r="D46" s="218">
        <f>Roadmap!L130</f>
        <v>0</v>
      </c>
      <c r="E46" s="218">
        <f>Roadmap!L131</f>
        <v>0</v>
      </c>
      <c r="F46" s="218">
        <f>Roadmap!L132</f>
        <v>0</v>
      </c>
      <c r="G46" s="219">
        <f t="shared" si="6"/>
        <v>0</v>
      </c>
      <c r="H46" s="220"/>
      <c r="I46" s="18"/>
      <c r="J46" s="18"/>
      <c r="K46" s="18"/>
      <c r="L46" s="18"/>
      <c r="M46" s="18"/>
      <c r="N46" s="18"/>
      <c r="T46" s="225" t="str">
        <f>Interview!$B$188</f>
        <v>Operations</v>
      </c>
      <c r="U46" s="229" t="str">
        <f>Interview!$B$189</f>
        <v>Incident Management</v>
      </c>
      <c r="V46" s="218">
        <v>0</v>
      </c>
      <c r="W46" s="218">
        <v>0</v>
      </c>
      <c r="X46" s="218">
        <v>0</v>
      </c>
      <c r="Y46" s="218">
        <v>0</v>
      </c>
      <c r="Z46" s="218">
        <f>C46</f>
        <v>0</v>
      </c>
    </row>
    <row r="47" spans="1:26" ht="25" customHeight="1">
      <c r="A47" s="225" t="str">
        <f>Interview!$B$188</f>
        <v>Operations</v>
      </c>
      <c r="B47" s="229" t="str">
        <f>Interview!$B$203</f>
        <v>Environment Management</v>
      </c>
      <c r="C47" s="218">
        <f>Roadmap!M139</f>
        <v>0</v>
      </c>
      <c r="D47" s="218">
        <f>Roadmap!L139</f>
        <v>0</v>
      </c>
      <c r="E47" s="218">
        <f>Roadmap!L140</f>
        <v>0</v>
      </c>
      <c r="F47" s="218">
        <f>Roadmap!L141</f>
        <v>0</v>
      </c>
      <c r="G47" s="219">
        <f t="shared" si="6"/>
        <v>0</v>
      </c>
      <c r="H47" s="220"/>
      <c r="I47" s="18"/>
      <c r="J47" s="18"/>
      <c r="K47" s="18"/>
      <c r="L47" s="18"/>
      <c r="M47" s="18"/>
      <c r="N47" s="18"/>
      <c r="T47" s="225" t="str">
        <f>Interview!$B$188</f>
        <v>Operations</v>
      </c>
      <c r="U47" s="229" t="str">
        <f>Interview!$B$203</f>
        <v>Environment Management</v>
      </c>
      <c r="V47" s="218">
        <v>0</v>
      </c>
      <c r="W47" s="218">
        <v>0</v>
      </c>
      <c r="X47" s="218">
        <v>0</v>
      </c>
      <c r="Y47" s="218">
        <v>0</v>
      </c>
      <c r="Z47" s="218">
        <f>C47</f>
        <v>0</v>
      </c>
    </row>
    <row r="48" spans="1:26" ht="25" customHeight="1">
      <c r="A48" s="225" t="str">
        <f>Interview!$B$188</f>
        <v>Operations</v>
      </c>
      <c r="B48" s="229" t="str">
        <f>Interview!$B$217</f>
        <v>Operational Management</v>
      </c>
      <c r="C48" s="218">
        <f>Roadmap!M148</f>
        <v>0</v>
      </c>
      <c r="D48" s="218">
        <f>Roadmap!L148</f>
        <v>0</v>
      </c>
      <c r="E48" s="218">
        <f>Roadmap!L149</f>
        <v>0</v>
      </c>
      <c r="F48" s="218">
        <f>Roadmap!L150</f>
        <v>0</v>
      </c>
      <c r="G48" s="219">
        <f t="shared" si="6"/>
        <v>0</v>
      </c>
      <c r="H48" s="220"/>
      <c r="I48" s="18"/>
      <c r="J48" s="18"/>
      <c r="K48" s="18"/>
      <c r="L48" s="18"/>
      <c r="M48" s="18"/>
      <c r="N48" s="18"/>
      <c r="T48" s="225" t="str">
        <f>Interview!$B$188</f>
        <v>Operations</v>
      </c>
      <c r="U48" s="229" t="str">
        <f>Interview!$B$217</f>
        <v>Operational Management</v>
      </c>
      <c r="V48" s="218">
        <v>0</v>
      </c>
      <c r="W48" s="218">
        <v>0</v>
      </c>
      <c r="X48" s="218">
        <v>0</v>
      </c>
      <c r="Y48" s="218">
        <v>0</v>
      </c>
      <c r="Z48" s="218">
        <f>C48</f>
        <v>0</v>
      </c>
    </row>
    <row r="49" spans="1:26" ht="12.75" customHeight="1">
      <c r="A49" s="18"/>
      <c r="B49" s="18"/>
      <c r="C49" s="18"/>
      <c r="D49" s="18"/>
      <c r="E49" s="18"/>
      <c r="F49" s="18"/>
      <c r="G49" s="18"/>
      <c r="H49" s="18"/>
      <c r="I49" s="18"/>
      <c r="J49" s="18"/>
      <c r="K49" s="18"/>
      <c r="L49" s="18"/>
      <c r="M49" s="18"/>
      <c r="N49" s="18"/>
    </row>
    <row r="50" spans="1:26" ht="12.75" customHeight="1">
      <c r="K50" s="18"/>
    </row>
    <row r="51" spans="1:26" ht="25" customHeight="1">
      <c r="A51" s="473" t="s">
        <v>186</v>
      </c>
      <c r="B51" s="473"/>
      <c r="C51" s="473"/>
      <c r="D51" s="473"/>
      <c r="E51" s="473"/>
      <c r="F51" s="473"/>
      <c r="G51" s="473"/>
      <c r="H51" s="473"/>
      <c r="I51" s="473"/>
      <c r="J51" s="473"/>
      <c r="K51" s="18"/>
      <c r="L51" s="473" t="s">
        <v>186</v>
      </c>
      <c r="M51" s="473"/>
      <c r="N51" s="473"/>
      <c r="O51" s="473"/>
      <c r="P51" s="473"/>
      <c r="Q51" s="473"/>
      <c r="R51" s="473"/>
      <c r="T51" s="474" t="s">
        <v>186</v>
      </c>
      <c r="U51" s="474"/>
      <c r="V51" s="474"/>
      <c r="W51" s="474"/>
      <c r="X51" s="474"/>
      <c r="Y51" s="474"/>
      <c r="Z51" s="474"/>
    </row>
    <row r="52" spans="1:26" ht="12" customHeight="1">
      <c r="A52" s="210"/>
      <c r="B52" s="210"/>
      <c r="C52" s="210"/>
      <c r="D52" s="472" t="s">
        <v>180</v>
      </c>
      <c r="E52" s="472"/>
      <c r="F52" s="472"/>
      <c r="G52" s="18"/>
      <c r="H52" s="18"/>
      <c r="I52" s="18"/>
      <c r="J52" s="18"/>
      <c r="K52" s="18"/>
      <c r="L52" s="18"/>
      <c r="M52" s="18"/>
      <c r="N52" s="18"/>
    </row>
    <row r="53" spans="1:26" ht="25" customHeight="1">
      <c r="A53" s="213" t="s">
        <v>181</v>
      </c>
      <c r="B53" s="213" t="s">
        <v>182</v>
      </c>
      <c r="C53" s="213" t="s">
        <v>183</v>
      </c>
      <c r="D53" s="214">
        <v>1</v>
      </c>
      <c r="E53" s="214">
        <v>2</v>
      </c>
      <c r="F53" s="214">
        <v>3</v>
      </c>
      <c r="G53" s="215" t="s">
        <v>184</v>
      </c>
      <c r="H53" s="18"/>
      <c r="I53" s="213" t="s">
        <v>181</v>
      </c>
      <c r="J53" s="213" t="s">
        <v>183</v>
      </c>
      <c r="K53" s="18"/>
      <c r="L53" s="18"/>
      <c r="M53" s="18"/>
      <c r="N53" s="18"/>
      <c r="V53" t="str">
        <f>T54</f>
        <v>Governance</v>
      </c>
      <c r="W53" t="str">
        <f>T57</f>
        <v>Design</v>
      </c>
      <c r="X53" t="str">
        <f>T60</f>
        <v>Implementation</v>
      </c>
      <c r="Y53" t="str">
        <f>T63</f>
        <v>Verification</v>
      </c>
      <c r="Z53" t="str">
        <f>T66</f>
        <v>Operations</v>
      </c>
    </row>
    <row r="54" spans="1:26" ht="25" customHeight="1">
      <c r="A54" s="216" t="str">
        <f>Interview!$B$16</f>
        <v>Governance</v>
      </c>
      <c r="B54" s="217" t="str">
        <f>Interview!$D$17</f>
        <v>Strategy &amp; Metrics</v>
      </c>
      <c r="C54" s="218">
        <f>Roadmap!Q18</f>
        <v>0.125</v>
      </c>
      <c r="D54" s="218">
        <f>Roadmap!P18</f>
        <v>0</v>
      </c>
      <c r="E54" s="218">
        <f>Roadmap!P19</f>
        <v>0</v>
      </c>
      <c r="F54" s="218">
        <f>Roadmap!P20</f>
        <v>0.125</v>
      </c>
      <c r="G54" s="219">
        <f t="shared" ref="G54:G59" si="7">(((((IF((C54="0+"),0.5,0)+IF((C54=1),1,0))+IF((C54="1+"),1.5,0))+IF((C54=2),2,0))+IF((C54="2+"),2.5,0))+IF((C54=3),3,0))+IF((C54="3+"),3.5,0)</f>
        <v>0</v>
      </c>
      <c r="H54" s="220"/>
      <c r="I54" s="216" t="str">
        <f>A54</f>
        <v>Governance</v>
      </c>
      <c r="J54" s="218">
        <f>AVERAGE(C54:C56)</f>
        <v>0.91666666666666663</v>
      </c>
      <c r="K54" s="18"/>
      <c r="L54" s="18"/>
      <c r="M54" s="18"/>
      <c r="N54" s="18"/>
      <c r="T54" s="216" t="str">
        <f>Interview!$B$16</f>
        <v>Governance</v>
      </c>
      <c r="U54" s="217" t="str">
        <f>Interview!$D$17</f>
        <v>Strategy &amp; Metrics</v>
      </c>
      <c r="V54" s="218">
        <f>C54</f>
        <v>0.125</v>
      </c>
      <c r="W54" s="218">
        <v>0</v>
      </c>
      <c r="X54" s="218">
        <v>0</v>
      </c>
      <c r="Y54" s="218">
        <v>0</v>
      </c>
      <c r="Z54" s="218">
        <v>0</v>
      </c>
    </row>
    <row r="55" spans="1:26" ht="25" customHeight="1">
      <c r="A55" s="216" t="str">
        <f>Interview!$B$16</f>
        <v>Governance</v>
      </c>
      <c r="B55" s="217" t="str">
        <f>Interview!$B$31</f>
        <v>Policy &amp; Compliance</v>
      </c>
      <c r="C55" s="218">
        <f>Roadmap!Q27</f>
        <v>0</v>
      </c>
      <c r="D55" s="218">
        <f>Roadmap!P27</f>
        <v>0</v>
      </c>
      <c r="E55" s="218">
        <f>Roadmap!P28</f>
        <v>0</v>
      </c>
      <c r="F55" s="218">
        <f>Roadmap!P29</f>
        <v>0</v>
      </c>
      <c r="G55" s="219">
        <f t="shared" si="7"/>
        <v>0</v>
      </c>
      <c r="H55" s="220"/>
      <c r="I55" s="221" t="str">
        <f>A57</f>
        <v>Design</v>
      </c>
      <c r="J55" s="218">
        <f>AVERAGE(C57:C59)</f>
        <v>1.4166666666666667</v>
      </c>
      <c r="K55" s="18"/>
      <c r="L55" s="18"/>
      <c r="M55" s="18"/>
      <c r="N55" s="18"/>
      <c r="T55" s="216" t="str">
        <f>Interview!$B$16</f>
        <v>Governance</v>
      </c>
      <c r="U55" s="217" t="str">
        <f>Interview!$B$31</f>
        <v>Policy &amp; Compliance</v>
      </c>
      <c r="V55" s="218">
        <f>C55</f>
        <v>0</v>
      </c>
      <c r="W55" s="218">
        <v>0</v>
      </c>
      <c r="X55" s="218">
        <v>0</v>
      </c>
      <c r="Y55" s="218">
        <v>0</v>
      </c>
      <c r="Z55" s="218">
        <v>0</v>
      </c>
    </row>
    <row r="56" spans="1:26" ht="25" customHeight="1">
      <c r="A56" s="216" t="str">
        <f>Interview!$B$16</f>
        <v>Governance</v>
      </c>
      <c r="B56" s="217" t="str">
        <f>Interview!$B$45</f>
        <v>Education &amp; Guidance</v>
      </c>
      <c r="C56" s="218">
        <f>Roadmap!Q36</f>
        <v>2.625</v>
      </c>
      <c r="D56" s="218">
        <f>Roadmap!P36</f>
        <v>0.625</v>
      </c>
      <c r="E56" s="218">
        <f>Roadmap!P37</f>
        <v>1</v>
      </c>
      <c r="F56" s="218">
        <f>Roadmap!P38</f>
        <v>1</v>
      </c>
      <c r="G56" s="219">
        <f t="shared" si="7"/>
        <v>0</v>
      </c>
      <c r="H56" s="220"/>
      <c r="I56" s="222" t="str">
        <f>A60</f>
        <v>Implementation</v>
      </c>
      <c r="J56" s="218">
        <f>AVERAGE(C60:C62)</f>
        <v>0</v>
      </c>
      <c r="K56" s="18"/>
      <c r="L56" s="18"/>
      <c r="M56" s="18"/>
      <c r="N56" s="18"/>
      <c r="T56" s="216" t="str">
        <f>Interview!$B$16</f>
        <v>Governance</v>
      </c>
      <c r="U56" s="217" t="str">
        <f>Interview!$B$45</f>
        <v>Education &amp; Guidance</v>
      </c>
      <c r="V56" s="218">
        <f>C56</f>
        <v>2.625</v>
      </c>
      <c r="W56" s="218">
        <v>0</v>
      </c>
      <c r="X56" s="218">
        <v>0</v>
      </c>
      <c r="Y56" s="218">
        <v>0</v>
      </c>
      <c r="Z56" s="218">
        <v>0</v>
      </c>
    </row>
    <row r="57" spans="1:26" ht="25" customHeight="1">
      <c r="A57" s="221" t="str">
        <f>Interview!$B$59</f>
        <v>Design</v>
      </c>
      <c r="B57" s="223" t="str">
        <f>Interview!$B$60</f>
        <v>Threat Assessment</v>
      </c>
      <c r="C57" s="218">
        <f>Roadmap!Q46</f>
        <v>2.25</v>
      </c>
      <c r="D57" s="218">
        <f>Roadmap!P46</f>
        <v>1</v>
      </c>
      <c r="E57" s="218">
        <f>Roadmap!P47</f>
        <v>1</v>
      </c>
      <c r="F57" s="218">
        <f>Roadmap!P48</f>
        <v>0.25</v>
      </c>
      <c r="G57" s="219">
        <f t="shared" si="7"/>
        <v>0</v>
      </c>
      <c r="H57" s="220"/>
      <c r="I57" s="224" t="str">
        <f>A63</f>
        <v>Verification</v>
      </c>
      <c r="J57" s="218">
        <f>AVERAGE(C63:C65)</f>
        <v>0</v>
      </c>
      <c r="K57" s="18"/>
      <c r="L57" s="18"/>
      <c r="M57" s="18"/>
      <c r="N57" s="18"/>
      <c r="T57" s="221" t="str">
        <f>Interview!$B$59</f>
        <v>Design</v>
      </c>
      <c r="U57" s="223" t="str">
        <f>Interview!$B$60</f>
        <v>Threat Assessment</v>
      </c>
      <c r="V57" s="218">
        <v>0</v>
      </c>
      <c r="W57" s="218">
        <f>C57</f>
        <v>2.25</v>
      </c>
      <c r="X57" s="218">
        <v>0</v>
      </c>
      <c r="Y57" s="218">
        <v>0</v>
      </c>
      <c r="Z57" s="218">
        <v>0</v>
      </c>
    </row>
    <row r="58" spans="1:26" ht="25" customHeight="1">
      <c r="A58" s="221" t="str">
        <f>Interview!$B$59</f>
        <v>Design</v>
      </c>
      <c r="B58" s="223" t="str">
        <f>Interview!$B$74</f>
        <v>Security Requirements</v>
      </c>
      <c r="C58" s="218">
        <f>Roadmap!Q55</f>
        <v>1.5</v>
      </c>
      <c r="D58" s="218">
        <f>Roadmap!P55</f>
        <v>0.5</v>
      </c>
      <c r="E58" s="218">
        <f>Roadmap!P56</f>
        <v>0.5</v>
      </c>
      <c r="F58" s="218">
        <f>Roadmap!P57</f>
        <v>0.5</v>
      </c>
      <c r="G58" s="219">
        <f t="shared" si="7"/>
        <v>0</v>
      </c>
      <c r="H58" s="220"/>
      <c r="I58" s="225" t="str">
        <f>A66</f>
        <v>Operations</v>
      </c>
      <c r="J58" s="218">
        <f>AVERAGE(C66:C68)</f>
        <v>0</v>
      </c>
      <c r="K58" s="18"/>
      <c r="L58" s="18"/>
      <c r="M58" s="18"/>
      <c r="N58" s="18"/>
      <c r="T58" s="221" t="str">
        <f>Interview!$B$59</f>
        <v>Design</v>
      </c>
      <c r="U58" s="223" t="str">
        <f>Interview!$B$74</f>
        <v>Security Requirements</v>
      </c>
      <c r="V58" s="218">
        <v>0</v>
      </c>
      <c r="W58" s="218">
        <f>C58</f>
        <v>1.5</v>
      </c>
      <c r="X58" s="218">
        <v>0</v>
      </c>
      <c r="Y58" s="218">
        <v>0</v>
      </c>
      <c r="Z58" s="218">
        <v>0</v>
      </c>
    </row>
    <row r="59" spans="1:26" ht="25" customHeight="1">
      <c r="A59" s="221" t="str">
        <f>Interview!$B$59</f>
        <v>Design</v>
      </c>
      <c r="B59" s="223" t="str">
        <f>Interview!$B$88</f>
        <v>Secure Architecture</v>
      </c>
      <c r="C59" s="218">
        <f>Roadmap!Q64</f>
        <v>0.5</v>
      </c>
      <c r="D59" s="218">
        <f>Roadmap!P64</f>
        <v>0.5</v>
      </c>
      <c r="E59" s="218">
        <f>Roadmap!P65</f>
        <v>0</v>
      </c>
      <c r="F59" s="218">
        <f>Roadmap!P66</f>
        <v>0</v>
      </c>
      <c r="G59" s="219">
        <f t="shared" si="7"/>
        <v>0</v>
      </c>
      <c r="H59" s="220"/>
      <c r="I59" s="18"/>
      <c r="J59" s="18"/>
      <c r="K59" s="18"/>
      <c r="L59" s="18"/>
      <c r="M59" s="18"/>
      <c r="N59" s="18"/>
      <c r="T59" s="221" t="str">
        <f>Interview!$B$59</f>
        <v>Design</v>
      </c>
      <c r="U59" s="223" t="str">
        <f>Interview!$B$88</f>
        <v>Secure Architecture</v>
      </c>
      <c r="V59" s="218">
        <v>0</v>
      </c>
      <c r="W59" s="218">
        <f>C59</f>
        <v>0.5</v>
      </c>
      <c r="X59" s="218">
        <v>0</v>
      </c>
      <c r="Y59" s="218">
        <v>0</v>
      </c>
      <c r="Z59" s="218">
        <v>0</v>
      </c>
    </row>
    <row r="60" spans="1:26" ht="25" customHeight="1">
      <c r="A60" s="222" t="str">
        <f>Interview!$B$102</f>
        <v>Implementation</v>
      </c>
      <c r="B60" s="226" t="str">
        <f>Interview!$B$103</f>
        <v>Secure Build</v>
      </c>
      <c r="C60" s="218">
        <f>Roadmap!Q74</f>
        <v>0</v>
      </c>
      <c r="D60" s="218">
        <f>Roadmap!P74</f>
        <v>0</v>
      </c>
      <c r="E60" s="218">
        <f>Roadmap!P75</f>
        <v>0</v>
      </c>
      <c r="F60" s="218">
        <f>Roadmap!P76</f>
        <v>0</v>
      </c>
      <c r="G60" s="219"/>
      <c r="H60" s="220"/>
      <c r="I60" s="18"/>
      <c r="J60" s="18"/>
      <c r="K60" s="18"/>
      <c r="L60" s="18"/>
      <c r="M60" s="18"/>
      <c r="N60" s="18"/>
      <c r="T60" s="222" t="str">
        <f>Interview!$B$102</f>
        <v>Implementation</v>
      </c>
      <c r="U60" s="226" t="str">
        <f>Interview!$B$103</f>
        <v>Secure Build</v>
      </c>
      <c r="V60" s="218">
        <v>0</v>
      </c>
      <c r="W60" s="218">
        <v>0</v>
      </c>
      <c r="X60" s="218">
        <f>C60</f>
        <v>0</v>
      </c>
      <c r="Y60" s="218">
        <v>0</v>
      </c>
      <c r="Z60" s="218">
        <v>0</v>
      </c>
    </row>
    <row r="61" spans="1:26" ht="25" customHeight="1">
      <c r="A61" s="222" t="str">
        <f>Interview!$B$102</f>
        <v>Implementation</v>
      </c>
      <c r="B61" s="226" t="str">
        <f>Interview!$B$117</f>
        <v>Secure Deployment</v>
      </c>
      <c r="C61" s="218">
        <f>Roadmap!Q83</f>
        <v>0</v>
      </c>
      <c r="D61" s="218">
        <f>Roadmap!P83</f>
        <v>0</v>
      </c>
      <c r="E61" s="218">
        <f>Roadmap!P84</f>
        <v>0</v>
      </c>
      <c r="F61" s="218">
        <f>Roadmap!P85</f>
        <v>0</v>
      </c>
      <c r="G61" s="219"/>
      <c r="H61" s="220"/>
      <c r="I61" s="18"/>
      <c r="J61" s="18"/>
      <c r="K61" s="18"/>
      <c r="L61" s="18"/>
      <c r="M61" s="18"/>
      <c r="N61" s="18"/>
      <c r="T61" s="222" t="str">
        <f>Interview!$B$102</f>
        <v>Implementation</v>
      </c>
      <c r="U61" s="226" t="str">
        <f>Interview!$B$117</f>
        <v>Secure Deployment</v>
      </c>
      <c r="V61" s="218">
        <v>0</v>
      </c>
      <c r="W61" s="218">
        <v>0</v>
      </c>
      <c r="X61" s="218">
        <f>C61</f>
        <v>0</v>
      </c>
      <c r="Y61" s="218">
        <v>0</v>
      </c>
      <c r="Z61" s="218">
        <v>0</v>
      </c>
    </row>
    <row r="62" spans="1:26" ht="25" customHeight="1">
      <c r="A62" s="222" t="str">
        <f>Interview!$B$102</f>
        <v>Implementation</v>
      </c>
      <c r="B62" s="226" t="str">
        <f>Interview!$B$131</f>
        <v>Defect Management</v>
      </c>
      <c r="C62" s="218">
        <f>Roadmap!Q92</f>
        <v>0</v>
      </c>
      <c r="D62" s="218">
        <f>Roadmap!P92</f>
        <v>0</v>
      </c>
      <c r="E62" s="218">
        <f>Roadmap!P93</f>
        <v>0</v>
      </c>
      <c r="F62" s="218">
        <f>Roadmap!P94</f>
        <v>0</v>
      </c>
      <c r="G62" s="219"/>
      <c r="H62" s="220"/>
      <c r="I62" s="18"/>
      <c r="J62" s="18"/>
      <c r="K62" s="18"/>
      <c r="L62" s="18"/>
      <c r="M62" s="18"/>
      <c r="N62" s="18"/>
      <c r="T62" s="222" t="str">
        <f>Interview!$B$102</f>
        <v>Implementation</v>
      </c>
      <c r="U62" s="226" t="str">
        <f>Interview!$B$131</f>
        <v>Defect Management</v>
      </c>
      <c r="V62" s="218">
        <v>0</v>
      </c>
      <c r="W62" s="218">
        <v>0</v>
      </c>
      <c r="X62" s="218">
        <f>C62</f>
        <v>0</v>
      </c>
      <c r="Y62" s="218">
        <v>0</v>
      </c>
      <c r="Z62" s="218">
        <v>0</v>
      </c>
    </row>
    <row r="63" spans="1:26" ht="25" customHeight="1">
      <c r="A63" s="224" t="str">
        <f>Interview!$B$145</f>
        <v>Verification</v>
      </c>
      <c r="B63" s="228" t="str">
        <f>Interview!$B$146</f>
        <v>Architecture Assessment</v>
      </c>
      <c r="C63" s="218">
        <f>Roadmap!Q102</f>
        <v>0</v>
      </c>
      <c r="D63" s="218">
        <f>Roadmap!P102</f>
        <v>0</v>
      </c>
      <c r="E63" s="218">
        <f>Roadmap!P103</f>
        <v>0</v>
      </c>
      <c r="F63" s="218">
        <f>Roadmap!P104</f>
        <v>0</v>
      </c>
      <c r="G63" s="219">
        <f t="shared" ref="G63:G68" si="8">(((((IF((C63="0+"),0.5,0)+IF((C63=1),1,0))+IF((C63="1+"),1.5,0))+IF((C63=2),2,0))+IF((C63="2+"),2.5,0))+IF((C63=3),3,0))+IF((C63="3+"),3.5,0)</f>
        <v>0</v>
      </c>
      <c r="H63" s="220"/>
      <c r="I63" s="18"/>
      <c r="J63" s="18"/>
      <c r="K63" s="18"/>
      <c r="L63" s="18"/>
      <c r="M63" s="18"/>
      <c r="N63" s="18"/>
      <c r="T63" s="224" t="str">
        <f>Interview!$B$145</f>
        <v>Verification</v>
      </c>
      <c r="U63" s="228" t="str">
        <f>Interview!$B$146</f>
        <v>Architecture Assessment</v>
      </c>
      <c r="V63" s="218">
        <v>0</v>
      </c>
      <c r="W63" s="218">
        <v>0</v>
      </c>
      <c r="X63" s="218">
        <v>0</v>
      </c>
      <c r="Y63" s="218">
        <f>C63</f>
        <v>0</v>
      </c>
      <c r="Z63" s="218">
        <v>0</v>
      </c>
    </row>
    <row r="64" spans="1:26" ht="25" customHeight="1">
      <c r="A64" s="224" t="str">
        <f>Interview!$B$145</f>
        <v>Verification</v>
      </c>
      <c r="B64" s="228" t="str">
        <f>Interview!$B$160</f>
        <v>Requirements Testing</v>
      </c>
      <c r="C64" s="218">
        <f>Roadmap!Q111</f>
        <v>0</v>
      </c>
      <c r="D64" s="218">
        <f>Roadmap!P111</f>
        <v>0</v>
      </c>
      <c r="E64" s="218">
        <f>Roadmap!P112</f>
        <v>0</v>
      </c>
      <c r="F64" s="218">
        <f>Roadmap!P113</f>
        <v>0</v>
      </c>
      <c r="G64" s="219">
        <f t="shared" si="8"/>
        <v>0</v>
      </c>
      <c r="H64" s="220"/>
      <c r="I64" s="18"/>
      <c r="J64" s="18"/>
      <c r="K64" s="18"/>
      <c r="L64" s="18"/>
      <c r="M64" s="18"/>
      <c r="N64" s="18"/>
      <c r="T64" s="224" t="str">
        <f>Interview!$B$145</f>
        <v>Verification</v>
      </c>
      <c r="U64" s="228" t="str">
        <f>Interview!$B$160</f>
        <v>Requirements Testing</v>
      </c>
      <c r="V64" s="218">
        <v>0</v>
      </c>
      <c r="W64" s="218">
        <v>0</v>
      </c>
      <c r="X64" s="218">
        <v>0</v>
      </c>
      <c r="Y64" s="218">
        <f>C64</f>
        <v>0</v>
      </c>
      <c r="Z64" s="218">
        <v>0</v>
      </c>
    </row>
    <row r="65" spans="1:26" ht="25" customHeight="1">
      <c r="A65" s="224" t="str">
        <f>Interview!$B$145</f>
        <v>Verification</v>
      </c>
      <c r="B65" s="228" t="str">
        <f>Interview!$B$174</f>
        <v>Security Testing</v>
      </c>
      <c r="C65" s="218">
        <f>Roadmap!Q120</f>
        <v>0</v>
      </c>
      <c r="D65" s="218">
        <f>Roadmap!P120</f>
        <v>0</v>
      </c>
      <c r="E65" s="218">
        <f>Roadmap!P121</f>
        <v>0</v>
      </c>
      <c r="F65" s="218">
        <f>Roadmap!P122</f>
        <v>0</v>
      </c>
      <c r="G65" s="219">
        <f t="shared" si="8"/>
        <v>0</v>
      </c>
      <c r="H65" s="220"/>
      <c r="I65" s="18"/>
      <c r="J65" s="18"/>
      <c r="K65" s="18"/>
      <c r="L65" s="18"/>
      <c r="M65" s="18"/>
      <c r="N65" s="18"/>
      <c r="T65" s="224" t="str">
        <f>Interview!$B$145</f>
        <v>Verification</v>
      </c>
      <c r="U65" s="228" t="str">
        <f>Interview!$B$174</f>
        <v>Security Testing</v>
      </c>
      <c r="V65" s="218">
        <v>0</v>
      </c>
      <c r="W65" s="218">
        <v>0</v>
      </c>
      <c r="X65" s="218">
        <v>0</v>
      </c>
      <c r="Y65" s="218">
        <f>C65</f>
        <v>0</v>
      </c>
      <c r="Z65" s="218">
        <v>0</v>
      </c>
    </row>
    <row r="66" spans="1:26" ht="25" customHeight="1">
      <c r="A66" s="225" t="str">
        <f>Interview!$B$188</f>
        <v>Operations</v>
      </c>
      <c r="B66" s="229" t="str">
        <f>Interview!$B$189</f>
        <v>Incident Management</v>
      </c>
      <c r="C66" s="218">
        <f>Roadmap!Q130</f>
        <v>0</v>
      </c>
      <c r="D66" s="218">
        <f>Roadmap!P130</f>
        <v>0</v>
      </c>
      <c r="E66" s="218">
        <f>Roadmap!P131</f>
        <v>0</v>
      </c>
      <c r="F66" s="218">
        <f>Roadmap!P132</f>
        <v>0</v>
      </c>
      <c r="G66" s="219">
        <f t="shared" si="8"/>
        <v>0</v>
      </c>
      <c r="H66" s="220"/>
      <c r="I66" s="18"/>
      <c r="J66" s="18"/>
      <c r="K66" s="18"/>
      <c r="L66" s="18"/>
      <c r="M66" s="18"/>
      <c r="N66" s="18"/>
      <c r="T66" s="225" t="str">
        <f>Interview!$B$188</f>
        <v>Operations</v>
      </c>
      <c r="U66" s="229" t="str">
        <f>Interview!$B$189</f>
        <v>Incident Management</v>
      </c>
      <c r="V66" s="218">
        <v>0</v>
      </c>
      <c r="W66" s="218">
        <v>0</v>
      </c>
      <c r="X66" s="218">
        <v>0</v>
      </c>
      <c r="Y66" s="218">
        <v>0</v>
      </c>
      <c r="Z66" s="218">
        <f>C66</f>
        <v>0</v>
      </c>
    </row>
    <row r="67" spans="1:26" ht="25" customHeight="1">
      <c r="A67" s="225" t="str">
        <f>Interview!$B$188</f>
        <v>Operations</v>
      </c>
      <c r="B67" s="229" t="str">
        <f>Interview!$B$203</f>
        <v>Environment Management</v>
      </c>
      <c r="C67" s="218">
        <f>Roadmap!Q139</f>
        <v>0</v>
      </c>
      <c r="D67" s="218">
        <f>Roadmap!P139</f>
        <v>0</v>
      </c>
      <c r="E67" s="218">
        <f>Roadmap!P140</f>
        <v>0</v>
      </c>
      <c r="F67" s="218">
        <f>Roadmap!P141</f>
        <v>0</v>
      </c>
      <c r="G67" s="219">
        <f t="shared" si="8"/>
        <v>0</v>
      </c>
      <c r="H67" s="220"/>
      <c r="I67" s="18"/>
      <c r="J67" s="18"/>
      <c r="K67" s="18"/>
      <c r="L67" s="18"/>
      <c r="M67" s="18"/>
      <c r="N67" s="18"/>
      <c r="T67" s="225" t="str">
        <f>Interview!$B$188</f>
        <v>Operations</v>
      </c>
      <c r="U67" s="229" t="str">
        <f>Interview!$B$203</f>
        <v>Environment Management</v>
      </c>
      <c r="V67" s="218">
        <v>0</v>
      </c>
      <c r="W67" s="218">
        <v>0</v>
      </c>
      <c r="X67" s="218">
        <v>0</v>
      </c>
      <c r="Y67" s="218">
        <v>0</v>
      </c>
      <c r="Z67" s="218">
        <f>C67</f>
        <v>0</v>
      </c>
    </row>
    <row r="68" spans="1:26" ht="25" customHeight="1">
      <c r="A68" s="225" t="str">
        <f>Interview!$B$188</f>
        <v>Operations</v>
      </c>
      <c r="B68" s="229" t="str">
        <f>Interview!$B$217</f>
        <v>Operational Management</v>
      </c>
      <c r="C68" s="218">
        <f>Roadmap!Q148</f>
        <v>0</v>
      </c>
      <c r="D68" s="218">
        <f>Roadmap!P148</f>
        <v>0</v>
      </c>
      <c r="E68" s="218">
        <f>Roadmap!P149</f>
        <v>0</v>
      </c>
      <c r="F68" s="218">
        <f>Roadmap!P150</f>
        <v>0</v>
      </c>
      <c r="G68" s="219">
        <f t="shared" si="8"/>
        <v>0</v>
      </c>
      <c r="H68" s="220"/>
      <c r="I68" s="18"/>
      <c r="J68" s="18"/>
      <c r="K68" s="18"/>
      <c r="L68" s="18"/>
      <c r="M68" s="18"/>
      <c r="N68" s="18"/>
      <c r="T68" s="225" t="str">
        <f>Interview!$B$188</f>
        <v>Operations</v>
      </c>
      <c r="U68" s="229" t="str">
        <f>Interview!$B$217</f>
        <v>Operational Management</v>
      </c>
      <c r="V68" s="218">
        <v>0</v>
      </c>
      <c r="W68" s="218">
        <v>0</v>
      </c>
      <c r="X68" s="218">
        <v>0</v>
      </c>
      <c r="Y68" s="218">
        <v>0</v>
      </c>
      <c r="Z68" s="218">
        <f>C68</f>
        <v>0</v>
      </c>
    </row>
    <row r="69" spans="1:26" ht="12.75" customHeight="1">
      <c r="K69" s="18"/>
    </row>
    <row r="70" spans="1:26" ht="25" customHeight="1">
      <c r="A70" s="473" t="s">
        <v>187</v>
      </c>
      <c r="B70" s="473"/>
      <c r="C70" s="473"/>
      <c r="D70" s="473"/>
      <c r="E70" s="473"/>
      <c r="F70" s="473"/>
      <c r="G70" s="473"/>
      <c r="H70" s="473"/>
      <c r="I70" s="473"/>
      <c r="J70" s="473"/>
      <c r="K70" s="18"/>
      <c r="L70" s="473" t="s">
        <v>187</v>
      </c>
      <c r="M70" s="473"/>
      <c r="N70" s="473"/>
      <c r="O70" s="473"/>
      <c r="P70" s="473"/>
      <c r="Q70" s="473"/>
      <c r="R70" s="473"/>
      <c r="T70" s="474" t="s">
        <v>187</v>
      </c>
      <c r="U70" s="474"/>
      <c r="V70" s="474"/>
      <c r="W70" s="474"/>
      <c r="X70" s="474"/>
      <c r="Y70" s="474"/>
      <c r="Z70" s="474"/>
    </row>
    <row r="71" spans="1:26" ht="12" customHeight="1">
      <c r="A71" s="210"/>
      <c r="B71" s="210"/>
      <c r="C71" s="210"/>
      <c r="D71" s="472" t="s">
        <v>180</v>
      </c>
      <c r="E71" s="472"/>
      <c r="F71" s="472"/>
      <c r="G71" s="18"/>
      <c r="H71" s="18"/>
      <c r="I71" s="18"/>
      <c r="J71" s="18"/>
      <c r="K71" s="18"/>
      <c r="L71" s="18"/>
      <c r="M71" s="18"/>
      <c r="N71" s="18"/>
    </row>
    <row r="72" spans="1:26" ht="25" customHeight="1">
      <c r="A72" s="213" t="s">
        <v>181</v>
      </c>
      <c r="B72" s="213" t="s">
        <v>182</v>
      </c>
      <c r="C72" s="213" t="s">
        <v>183</v>
      </c>
      <c r="D72" s="214">
        <v>1</v>
      </c>
      <c r="E72" s="214">
        <v>2</v>
      </c>
      <c r="F72" s="214">
        <v>3</v>
      </c>
      <c r="G72" s="215" t="s">
        <v>184</v>
      </c>
      <c r="H72" s="18"/>
      <c r="I72" s="213" t="s">
        <v>181</v>
      </c>
      <c r="J72" s="213" t="s">
        <v>183</v>
      </c>
      <c r="K72" s="18"/>
      <c r="L72" s="18"/>
      <c r="M72" s="18"/>
      <c r="N72" s="18"/>
      <c r="V72" t="str">
        <f>T73</f>
        <v>Governance</v>
      </c>
      <c r="W72" t="str">
        <f>T76</f>
        <v>Design</v>
      </c>
      <c r="X72" t="str">
        <f>T79</f>
        <v>Implementation</v>
      </c>
      <c r="Y72" t="str">
        <f>T82</f>
        <v>Verification</v>
      </c>
      <c r="Z72" t="str">
        <f>T85</f>
        <v>Operations</v>
      </c>
    </row>
    <row r="73" spans="1:26" ht="25" customHeight="1">
      <c r="A73" s="216" t="str">
        <f>Interview!$B$16</f>
        <v>Governance</v>
      </c>
      <c r="B73" s="217" t="str">
        <f>Interview!$D$17</f>
        <v>Strategy &amp; Metrics</v>
      </c>
      <c r="C73" s="218">
        <f>Roadmap!U18</f>
        <v>0.125</v>
      </c>
      <c r="D73" s="218">
        <f>Roadmap!T18</f>
        <v>0</v>
      </c>
      <c r="E73" s="218">
        <f>Roadmap!T19</f>
        <v>0</v>
      </c>
      <c r="F73" s="218">
        <f>Roadmap!T20</f>
        <v>0.125</v>
      </c>
      <c r="G73" s="219">
        <f t="shared" ref="G73:G78" si="9">(((((IF((C73="0+"),0.5,0)+IF((C73=1),1,0))+IF((C73="1+"),1.5,0))+IF((C73=2),2,0))+IF((C73="2+"),2.5,0))+IF((C73=3),3,0))+IF((C73="3+"),3.5,0)</f>
        <v>0</v>
      </c>
      <c r="H73" s="220"/>
      <c r="I73" s="216" t="str">
        <f>A73</f>
        <v>Governance</v>
      </c>
      <c r="J73" s="218">
        <f>AVERAGE(C73:C75)</f>
        <v>0.91666666666666663</v>
      </c>
      <c r="K73" s="18"/>
      <c r="L73" s="18"/>
      <c r="M73" s="18"/>
      <c r="N73" s="18"/>
      <c r="T73" s="216" t="str">
        <f>Interview!$B$16</f>
        <v>Governance</v>
      </c>
      <c r="U73" s="217" t="str">
        <f>Interview!$D$17</f>
        <v>Strategy &amp; Metrics</v>
      </c>
      <c r="V73" s="218">
        <f>C73</f>
        <v>0.125</v>
      </c>
      <c r="W73" s="218">
        <v>0</v>
      </c>
      <c r="X73" s="218">
        <v>0</v>
      </c>
      <c r="Y73" s="218">
        <v>0</v>
      </c>
      <c r="Z73" s="218">
        <v>0</v>
      </c>
    </row>
    <row r="74" spans="1:26" ht="25" customHeight="1">
      <c r="A74" s="216" t="str">
        <f>Interview!$B$16</f>
        <v>Governance</v>
      </c>
      <c r="B74" s="217" t="str">
        <f>Interview!$B$31</f>
        <v>Policy &amp; Compliance</v>
      </c>
      <c r="C74" s="218">
        <f>Roadmap!U27</f>
        <v>0</v>
      </c>
      <c r="D74" s="218">
        <f>Roadmap!T27</f>
        <v>0</v>
      </c>
      <c r="E74" s="218">
        <f>Roadmap!T28</f>
        <v>0</v>
      </c>
      <c r="F74" s="218">
        <f>Roadmap!T29</f>
        <v>0</v>
      </c>
      <c r="G74" s="219">
        <f t="shared" si="9"/>
        <v>0</v>
      </c>
      <c r="H74" s="220"/>
      <c r="I74" s="221" t="str">
        <f>A76</f>
        <v>Design</v>
      </c>
      <c r="J74" s="218">
        <f>AVERAGE(C76:C78)</f>
        <v>1.4166666666666667</v>
      </c>
      <c r="K74" s="18"/>
      <c r="L74" s="18"/>
      <c r="M74" s="18"/>
      <c r="N74" s="18"/>
      <c r="T74" s="216" t="str">
        <f>Interview!$B$16</f>
        <v>Governance</v>
      </c>
      <c r="U74" s="217" t="str">
        <f>Interview!$B$31</f>
        <v>Policy &amp; Compliance</v>
      </c>
      <c r="V74" s="218">
        <f>C74</f>
        <v>0</v>
      </c>
      <c r="W74" s="218">
        <v>0</v>
      </c>
      <c r="X74" s="218">
        <v>0</v>
      </c>
      <c r="Y74" s="218">
        <v>0</v>
      </c>
      <c r="Z74" s="218">
        <v>0</v>
      </c>
    </row>
    <row r="75" spans="1:26" ht="25" customHeight="1">
      <c r="A75" s="216" t="str">
        <f>Interview!$B$16</f>
        <v>Governance</v>
      </c>
      <c r="B75" s="217" t="str">
        <f>Interview!$B$45</f>
        <v>Education &amp; Guidance</v>
      </c>
      <c r="C75" s="218">
        <f>Roadmap!U36</f>
        <v>2.625</v>
      </c>
      <c r="D75" s="218">
        <f>Roadmap!T36</f>
        <v>0.625</v>
      </c>
      <c r="E75" s="218">
        <f>Roadmap!T37</f>
        <v>1</v>
      </c>
      <c r="F75" s="218">
        <f>Roadmap!T38</f>
        <v>1</v>
      </c>
      <c r="G75" s="219">
        <f t="shared" si="9"/>
        <v>0</v>
      </c>
      <c r="H75" s="220"/>
      <c r="I75" s="222" t="str">
        <f>A79</f>
        <v>Implementation</v>
      </c>
      <c r="J75" s="218">
        <f>AVERAGE(C79:C81)</f>
        <v>0</v>
      </c>
      <c r="K75" s="18"/>
      <c r="L75" s="18"/>
      <c r="M75" s="18"/>
      <c r="N75" s="18"/>
      <c r="T75" s="216" t="str">
        <f>Interview!$B$16</f>
        <v>Governance</v>
      </c>
      <c r="U75" s="217" t="str">
        <f>Interview!$B$45</f>
        <v>Education &amp; Guidance</v>
      </c>
      <c r="V75" s="218">
        <f>C75</f>
        <v>2.625</v>
      </c>
      <c r="W75" s="218">
        <v>0</v>
      </c>
      <c r="X75" s="218">
        <v>0</v>
      </c>
      <c r="Y75" s="218">
        <v>0</v>
      </c>
      <c r="Z75" s="218">
        <v>0</v>
      </c>
    </row>
    <row r="76" spans="1:26" ht="25" customHeight="1">
      <c r="A76" s="221" t="str">
        <f>Interview!$B$59</f>
        <v>Design</v>
      </c>
      <c r="B76" s="223" t="str">
        <f>Interview!$B$60</f>
        <v>Threat Assessment</v>
      </c>
      <c r="C76" s="218">
        <f>Roadmap!U46</f>
        <v>2.25</v>
      </c>
      <c r="D76" s="218">
        <f>Roadmap!T46</f>
        <v>1</v>
      </c>
      <c r="E76" s="218">
        <f>Roadmap!T47</f>
        <v>1</v>
      </c>
      <c r="F76" s="218">
        <f>Roadmap!T48</f>
        <v>0.25</v>
      </c>
      <c r="G76" s="219">
        <f t="shared" si="9"/>
        <v>0</v>
      </c>
      <c r="H76" s="220"/>
      <c r="I76" s="224" t="str">
        <f>A82</f>
        <v>Verification</v>
      </c>
      <c r="J76" s="218">
        <f>AVERAGE(C82:C84)</f>
        <v>0</v>
      </c>
      <c r="K76" s="18"/>
      <c r="L76" s="18"/>
      <c r="M76" s="18"/>
      <c r="N76" s="18"/>
      <c r="T76" s="221" t="str">
        <f>Interview!$B$59</f>
        <v>Design</v>
      </c>
      <c r="U76" s="223" t="str">
        <f>Interview!$B$60</f>
        <v>Threat Assessment</v>
      </c>
      <c r="V76" s="218">
        <v>0</v>
      </c>
      <c r="W76" s="218">
        <f>C76</f>
        <v>2.25</v>
      </c>
      <c r="X76" s="218">
        <v>0</v>
      </c>
      <c r="Y76" s="218">
        <v>0</v>
      </c>
      <c r="Z76" s="218">
        <v>0</v>
      </c>
    </row>
    <row r="77" spans="1:26" ht="25" customHeight="1">
      <c r="A77" s="221" t="str">
        <f>Interview!$B$59</f>
        <v>Design</v>
      </c>
      <c r="B77" s="223" t="str">
        <f>Interview!$B$74</f>
        <v>Security Requirements</v>
      </c>
      <c r="C77" s="218">
        <f>Roadmap!U55</f>
        <v>1.5</v>
      </c>
      <c r="D77" s="218">
        <f>Roadmap!T55</f>
        <v>0.5</v>
      </c>
      <c r="E77" s="218">
        <f>Roadmap!T56</f>
        <v>0.5</v>
      </c>
      <c r="F77" s="218">
        <f>Roadmap!T57</f>
        <v>0.5</v>
      </c>
      <c r="G77" s="219">
        <f t="shared" si="9"/>
        <v>0</v>
      </c>
      <c r="H77" s="220"/>
      <c r="I77" s="225" t="str">
        <f>A85</f>
        <v>Operations</v>
      </c>
      <c r="J77" s="218">
        <f>AVERAGE(C85:C87)</f>
        <v>0</v>
      </c>
      <c r="K77" s="18"/>
      <c r="L77" s="18"/>
      <c r="M77" s="18"/>
      <c r="N77" s="18"/>
      <c r="T77" s="221" t="str">
        <f>Interview!$B$59</f>
        <v>Design</v>
      </c>
      <c r="U77" s="223" t="str">
        <f>Interview!$B$74</f>
        <v>Security Requirements</v>
      </c>
      <c r="V77" s="218">
        <v>0</v>
      </c>
      <c r="W77" s="218">
        <f>C77</f>
        <v>1.5</v>
      </c>
      <c r="X77" s="218">
        <v>0</v>
      </c>
      <c r="Y77" s="218">
        <v>0</v>
      </c>
      <c r="Z77" s="218">
        <v>0</v>
      </c>
    </row>
    <row r="78" spans="1:26" ht="25" customHeight="1">
      <c r="A78" s="221" t="str">
        <f>Interview!$B$59</f>
        <v>Design</v>
      </c>
      <c r="B78" s="223" t="str">
        <f>Interview!$B$88</f>
        <v>Secure Architecture</v>
      </c>
      <c r="C78" s="218">
        <f>Roadmap!U64</f>
        <v>0.5</v>
      </c>
      <c r="D78" s="218">
        <f>Roadmap!T64</f>
        <v>0.5</v>
      </c>
      <c r="E78" s="218">
        <f>Roadmap!T65</f>
        <v>0</v>
      </c>
      <c r="F78" s="218">
        <f>Roadmap!T66</f>
        <v>0</v>
      </c>
      <c r="G78" s="219">
        <f t="shared" si="9"/>
        <v>0</v>
      </c>
      <c r="H78" s="220"/>
      <c r="I78" s="18"/>
      <c r="J78" s="18"/>
      <c r="K78" s="18"/>
      <c r="L78" s="18"/>
      <c r="M78" s="18"/>
      <c r="N78" s="18"/>
      <c r="T78" s="221" t="str">
        <f>Interview!$B$59</f>
        <v>Design</v>
      </c>
      <c r="U78" s="223" t="str">
        <f>Interview!$B$88</f>
        <v>Secure Architecture</v>
      </c>
      <c r="V78" s="218">
        <v>0</v>
      </c>
      <c r="W78" s="218">
        <f>C78</f>
        <v>0.5</v>
      </c>
      <c r="X78" s="218">
        <v>0</v>
      </c>
      <c r="Y78" s="218">
        <v>0</v>
      </c>
      <c r="Z78" s="218">
        <v>0</v>
      </c>
    </row>
    <row r="79" spans="1:26" ht="25" customHeight="1">
      <c r="A79" s="222" t="str">
        <f>Interview!$B$102</f>
        <v>Implementation</v>
      </c>
      <c r="B79" s="226" t="str">
        <f>Interview!$B$103</f>
        <v>Secure Build</v>
      </c>
      <c r="C79" s="218">
        <f>Roadmap!U74</f>
        <v>0</v>
      </c>
      <c r="D79" s="218">
        <f>Roadmap!T74</f>
        <v>0</v>
      </c>
      <c r="E79" s="218">
        <f>Roadmap!T75</f>
        <v>0</v>
      </c>
      <c r="F79" s="218">
        <f>Roadmap!T76</f>
        <v>0</v>
      </c>
      <c r="G79" s="219"/>
      <c r="H79" s="220"/>
      <c r="I79" s="18"/>
      <c r="J79" s="18"/>
      <c r="K79" s="18"/>
      <c r="L79" s="18"/>
      <c r="M79" s="18"/>
      <c r="N79" s="18"/>
      <c r="T79" s="222" t="str">
        <f>Interview!$B$102</f>
        <v>Implementation</v>
      </c>
      <c r="U79" s="226" t="str">
        <f>Interview!$B$103</f>
        <v>Secure Build</v>
      </c>
      <c r="V79" s="218">
        <v>0</v>
      </c>
      <c r="W79" s="218">
        <v>0</v>
      </c>
      <c r="X79" s="218">
        <f>C79</f>
        <v>0</v>
      </c>
      <c r="Y79" s="218">
        <v>0</v>
      </c>
      <c r="Z79" s="218">
        <v>0</v>
      </c>
    </row>
    <row r="80" spans="1:26" ht="25" customHeight="1">
      <c r="A80" s="222" t="str">
        <f>Interview!$B$102</f>
        <v>Implementation</v>
      </c>
      <c r="B80" s="226" t="str">
        <f>Interview!$B$117</f>
        <v>Secure Deployment</v>
      </c>
      <c r="C80" s="218">
        <f>Roadmap!U83</f>
        <v>0</v>
      </c>
      <c r="D80" s="218">
        <f>Roadmap!T83</f>
        <v>0</v>
      </c>
      <c r="E80" s="218">
        <f>Roadmap!T84</f>
        <v>0</v>
      </c>
      <c r="F80" s="218">
        <f>Roadmap!T85</f>
        <v>0</v>
      </c>
      <c r="G80" s="219"/>
      <c r="H80" s="220"/>
      <c r="I80" s="18"/>
      <c r="J80" s="18"/>
      <c r="K80" s="18"/>
      <c r="L80" s="18"/>
      <c r="M80" s="18"/>
      <c r="N80" s="18"/>
      <c r="T80" s="222" t="str">
        <f>Interview!$B$102</f>
        <v>Implementation</v>
      </c>
      <c r="U80" s="226" t="str">
        <f>Interview!$B$117</f>
        <v>Secure Deployment</v>
      </c>
      <c r="V80" s="218">
        <v>0</v>
      </c>
      <c r="W80" s="218">
        <v>0</v>
      </c>
      <c r="X80" s="218">
        <f>C80</f>
        <v>0</v>
      </c>
      <c r="Y80" s="218">
        <v>0</v>
      </c>
      <c r="Z80" s="218">
        <v>0</v>
      </c>
    </row>
    <row r="81" spans="1:26" ht="25" customHeight="1">
      <c r="A81" s="222" t="str">
        <f>Interview!$B$102</f>
        <v>Implementation</v>
      </c>
      <c r="B81" s="226" t="str">
        <f>Interview!$B$131</f>
        <v>Defect Management</v>
      </c>
      <c r="C81" s="218">
        <f>Roadmap!U92</f>
        <v>0</v>
      </c>
      <c r="D81" s="218">
        <f>Roadmap!T92</f>
        <v>0</v>
      </c>
      <c r="E81" s="218">
        <f>Roadmap!T93</f>
        <v>0</v>
      </c>
      <c r="F81" s="218">
        <f>Roadmap!T94</f>
        <v>0</v>
      </c>
      <c r="G81" s="219"/>
      <c r="H81" s="220"/>
      <c r="I81" s="18"/>
      <c r="J81" s="18"/>
      <c r="K81" s="18"/>
      <c r="L81" s="18"/>
      <c r="M81" s="18"/>
      <c r="N81" s="18"/>
      <c r="T81" s="222" t="str">
        <f>Interview!$B$102</f>
        <v>Implementation</v>
      </c>
      <c r="U81" s="226" t="str">
        <f>Interview!$B$131</f>
        <v>Defect Management</v>
      </c>
      <c r="V81" s="218">
        <v>0</v>
      </c>
      <c r="W81" s="218">
        <v>0</v>
      </c>
      <c r="X81" s="218">
        <f>C81</f>
        <v>0</v>
      </c>
      <c r="Y81" s="218">
        <v>0</v>
      </c>
      <c r="Z81" s="218">
        <v>0</v>
      </c>
    </row>
    <row r="82" spans="1:26" ht="25" customHeight="1">
      <c r="A82" s="224" t="str">
        <f>Interview!$B$145</f>
        <v>Verification</v>
      </c>
      <c r="B82" s="228" t="str">
        <f>Interview!$B$146</f>
        <v>Architecture Assessment</v>
      </c>
      <c r="C82" s="218">
        <f>Roadmap!U102</f>
        <v>0</v>
      </c>
      <c r="D82" s="218">
        <f>Roadmap!T102</f>
        <v>0</v>
      </c>
      <c r="E82" s="218">
        <f>Roadmap!T103</f>
        <v>0</v>
      </c>
      <c r="F82" s="218">
        <f>Roadmap!T104</f>
        <v>0</v>
      </c>
      <c r="G82" s="219">
        <f t="shared" ref="G82:G87" si="10">(((((IF((C82="0+"),0.5,0)+IF((C82=1),1,0))+IF((C82="1+"),1.5,0))+IF((C82=2),2,0))+IF((C82="2+"),2.5,0))+IF((C82=3),3,0))+IF((C82="3+"),3.5,0)</f>
        <v>0</v>
      </c>
      <c r="H82" s="220"/>
      <c r="I82" s="18"/>
      <c r="J82" s="18"/>
      <c r="K82" s="18"/>
      <c r="L82" s="18"/>
      <c r="M82" s="18"/>
      <c r="N82" s="18"/>
      <c r="T82" s="224" t="str">
        <f>Interview!$B$145</f>
        <v>Verification</v>
      </c>
      <c r="U82" s="228" t="str">
        <f>Interview!$B$146</f>
        <v>Architecture Assessment</v>
      </c>
      <c r="V82" s="218">
        <v>0</v>
      </c>
      <c r="W82" s="218">
        <v>0</v>
      </c>
      <c r="X82" s="218">
        <v>0</v>
      </c>
      <c r="Y82" s="218">
        <f>C82</f>
        <v>0</v>
      </c>
      <c r="Z82" s="218">
        <v>0</v>
      </c>
    </row>
    <row r="83" spans="1:26" ht="25" customHeight="1">
      <c r="A83" s="224" t="str">
        <f>Interview!$B$145</f>
        <v>Verification</v>
      </c>
      <c r="B83" s="228" t="str">
        <f>Interview!$B$160</f>
        <v>Requirements Testing</v>
      </c>
      <c r="C83" s="218">
        <f>Roadmap!U111</f>
        <v>0</v>
      </c>
      <c r="D83" s="218">
        <f>Roadmap!T111</f>
        <v>0</v>
      </c>
      <c r="E83" s="218">
        <f>Roadmap!T112</f>
        <v>0</v>
      </c>
      <c r="F83" s="218">
        <f>Roadmap!T113</f>
        <v>0</v>
      </c>
      <c r="G83" s="219">
        <f t="shared" si="10"/>
        <v>0</v>
      </c>
      <c r="H83" s="220"/>
      <c r="I83" s="18"/>
      <c r="J83" s="18"/>
      <c r="K83" s="18"/>
      <c r="L83" s="18"/>
      <c r="M83" s="18"/>
      <c r="N83" s="18"/>
      <c r="T83" s="224" t="str">
        <f>Interview!$B$145</f>
        <v>Verification</v>
      </c>
      <c r="U83" s="228" t="str">
        <f>Interview!$B$160</f>
        <v>Requirements Testing</v>
      </c>
      <c r="V83" s="218">
        <v>0</v>
      </c>
      <c r="W83" s="218">
        <v>0</v>
      </c>
      <c r="X83" s="218">
        <v>0</v>
      </c>
      <c r="Y83" s="218">
        <f>C83</f>
        <v>0</v>
      </c>
      <c r="Z83" s="218">
        <v>0</v>
      </c>
    </row>
    <row r="84" spans="1:26" ht="25" customHeight="1">
      <c r="A84" s="224" t="str">
        <f>Interview!$B$145</f>
        <v>Verification</v>
      </c>
      <c r="B84" s="228" t="str">
        <f>Interview!$B$174</f>
        <v>Security Testing</v>
      </c>
      <c r="C84" s="218">
        <f>Roadmap!U120</f>
        <v>0</v>
      </c>
      <c r="D84" s="218">
        <f>Roadmap!T120</f>
        <v>0</v>
      </c>
      <c r="E84" s="218">
        <f>Roadmap!T121</f>
        <v>0</v>
      </c>
      <c r="F84" s="218">
        <f>Roadmap!T122</f>
        <v>0</v>
      </c>
      <c r="G84" s="219">
        <f t="shared" si="10"/>
        <v>0</v>
      </c>
      <c r="H84" s="220"/>
      <c r="I84" s="18"/>
      <c r="J84" s="18"/>
      <c r="K84" s="18"/>
      <c r="L84" s="18"/>
      <c r="M84" s="18"/>
      <c r="N84" s="18"/>
      <c r="T84" s="224" t="str">
        <f>Interview!$B$145</f>
        <v>Verification</v>
      </c>
      <c r="U84" s="228" t="str">
        <f>Interview!$B$174</f>
        <v>Security Testing</v>
      </c>
      <c r="V84" s="218">
        <v>0</v>
      </c>
      <c r="W84" s="218">
        <v>0</v>
      </c>
      <c r="X84" s="218">
        <v>0</v>
      </c>
      <c r="Y84" s="218">
        <f>C84</f>
        <v>0</v>
      </c>
      <c r="Z84" s="218">
        <v>0</v>
      </c>
    </row>
    <row r="85" spans="1:26" ht="25" customHeight="1">
      <c r="A85" s="225" t="str">
        <f>Interview!$B$188</f>
        <v>Operations</v>
      </c>
      <c r="B85" s="229" t="str">
        <f>Interview!$B$189</f>
        <v>Incident Management</v>
      </c>
      <c r="C85" s="218">
        <f>Roadmap!U130</f>
        <v>0</v>
      </c>
      <c r="D85" s="218">
        <f>Roadmap!T130</f>
        <v>0</v>
      </c>
      <c r="E85" s="218">
        <f>Roadmap!T131</f>
        <v>0</v>
      </c>
      <c r="F85" s="218">
        <f>Roadmap!T132</f>
        <v>0</v>
      </c>
      <c r="G85" s="219">
        <f t="shared" si="10"/>
        <v>0</v>
      </c>
      <c r="H85" s="220"/>
      <c r="I85" s="18"/>
      <c r="J85" s="18"/>
      <c r="K85" s="18"/>
      <c r="L85" s="18"/>
      <c r="M85" s="18"/>
      <c r="N85" s="18"/>
      <c r="T85" s="225" t="str">
        <f>Interview!$B$188</f>
        <v>Operations</v>
      </c>
      <c r="U85" s="229" t="str">
        <f>Interview!$B$189</f>
        <v>Incident Management</v>
      </c>
      <c r="V85" s="218">
        <v>0</v>
      </c>
      <c r="W85" s="218">
        <v>0</v>
      </c>
      <c r="X85" s="218">
        <v>0</v>
      </c>
      <c r="Y85" s="218">
        <v>0</v>
      </c>
      <c r="Z85" s="218">
        <f>C85</f>
        <v>0</v>
      </c>
    </row>
    <row r="86" spans="1:26" ht="25" customHeight="1">
      <c r="A86" s="225" t="str">
        <f>Interview!$B$188</f>
        <v>Operations</v>
      </c>
      <c r="B86" s="229" t="str">
        <f>Interview!$B$203</f>
        <v>Environment Management</v>
      </c>
      <c r="C86" s="218">
        <f>Roadmap!U139</f>
        <v>0</v>
      </c>
      <c r="D86" s="218">
        <f>Roadmap!T139</f>
        <v>0</v>
      </c>
      <c r="E86" s="218">
        <f>Roadmap!T140</f>
        <v>0</v>
      </c>
      <c r="F86" s="218">
        <f>Roadmap!T141</f>
        <v>0</v>
      </c>
      <c r="G86" s="219">
        <f t="shared" si="10"/>
        <v>0</v>
      </c>
      <c r="H86" s="220"/>
      <c r="I86" s="18"/>
      <c r="J86" s="18"/>
      <c r="K86" s="18"/>
      <c r="L86" s="18"/>
      <c r="M86" s="18"/>
      <c r="N86" s="18"/>
      <c r="T86" s="225" t="str">
        <f>Interview!$B$188</f>
        <v>Operations</v>
      </c>
      <c r="U86" s="229" t="str">
        <f>Interview!$B$203</f>
        <v>Environment Management</v>
      </c>
      <c r="V86" s="218">
        <v>0</v>
      </c>
      <c r="W86" s="218">
        <v>0</v>
      </c>
      <c r="X86" s="218">
        <v>0</v>
      </c>
      <c r="Y86" s="218">
        <v>0</v>
      </c>
      <c r="Z86" s="218">
        <f>C86</f>
        <v>0</v>
      </c>
    </row>
    <row r="87" spans="1:26" ht="25" customHeight="1">
      <c r="A87" s="225" t="str">
        <f>Interview!$B$188</f>
        <v>Operations</v>
      </c>
      <c r="B87" s="229" t="str">
        <f>Interview!$B$217</f>
        <v>Operational Management</v>
      </c>
      <c r="C87" s="218">
        <f>Roadmap!U148</f>
        <v>0</v>
      </c>
      <c r="D87" s="218">
        <f>Roadmap!T148</f>
        <v>0</v>
      </c>
      <c r="E87" s="218">
        <f>Roadmap!T149</f>
        <v>0</v>
      </c>
      <c r="F87" s="218">
        <f>Roadmap!T150</f>
        <v>0</v>
      </c>
      <c r="G87" s="219">
        <f t="shared" si="10"/>
        <v>0</v>
      </c>
      <c r="H87" s="220"/>
      <c r="I87" s="18"/>
      <c r="J87" s="18"/>
      <c r="K87" s="18"/>
      <c r="L87" s="18"/>
      <c r="M87" s="18"/>
      <c r="N87" s="18"/>
      <c r="T87" s="225" t="str">
        <f>Interview!$B$188</f>
        <v>Operations</v>
      </c>
      <c r="U87" s="229" t="str">
        <f>Interview!$B$217</f>
        <v>Operational Management</v>
      </c>
      <c r="V87" s="218">
        <v>0</v>
      </c>
      <c r="W87" s="218">
        <v>0</v>
      </c>
      <c r="X87" s="218">
        <v>0</v>
      </c>
      <c r="Y87" s="218">
        <v>0</v>
      </c>
      <c r="Z87" s="218">
        <f>C87</f>
        <v>0</v>
      </c>
    </row>
    <row r="88" spans="1:26" ht="12.75" customHeight="1">
      <c r="A88" s="18"/>
      <c r="B88" s="18"/>
      <c r="C88" s="18"/>
      <c r="D88" s="18"/>
      <c r="E88" s="18"/>
      <c r="F88" s="18"/>
      <c r="G88" s="18"/>
      <c r="H88" s="18"/>
      <c r="I88" s="18"/>
      <c r="J88" s="18"/>
      <c r="K88" s="18"/>
      <c r="L88" s="18"/>
      <c r="M88" s="18"/>
      <c r="N88" s="18"/>
    </row>
    <row r="89" spans="1:26" ht="12.75" customHeight="1">
      <c r="A89" s="18"/>
      <c r="B89" s="18"/>
      <c r="C89" s="18"/>
      <c r="D89" s="18"/>
      <c r="E89" s="18"/>
      <c r="F89" s="18"/>
      <c r="G89" s="18"/>
      <c r="H89" s="18"/>
      <c r="I89" s="18"/>
      <c r="J89" s="18"/>
      <c r="K89" s="18"/>
      <c r="L89" s="18"/>
      <c r="M89" s="18"/>
      <c r="N89" s="18"/>
    </row>
    <row r="90" spans="1:26" ht="12.75" customHeight="1">
      <c r="K90" s="18"/>
    </row>
    <row r="91" spans="1:26" ht="25" customHeight="1">
      <c r="A91" s="473" t="s">
        <v>188</v>
      </c>
      <c r="B91" s="473"/>
      <c r="C91" s="473"/>
      <c r="D91" s="473"/>
      <c r="E91" s="473"/>
      <c r="F91" s="473"/>
      <c r="G91" s="473"/>
      <c r="H91" s="473"/>
      <c r="I91" s="473"/>
      <c r="J91" s="473"/>
      <c r="K91" s="18"/>
      <c r="L91" s="473" t="s">
        <v>188</v>
      </c>
      <c r="M91" s="473"/>
      <c r="N91" s="473"/>
      <c r="O91" s="473"/>
      <c r="P91" s="473"/>
      <c r="Q91" s="473"/>
      <c r="R91" s="473"/>
      <c r="T91" s="474" t="s">
        <v>188</v>
      </c>
      <c r="U91" s="474"/>
      <c r="V91" s="474"/>
      <c r="W91" s="474"/>
      <c r="X91" s="474"/>
      <c r="Y91" s="474"/>
      <c r="Z91" s="474"/>
    </row>
    <row r="92" spans="1:26" ht="12" customHeight="1">
      <c r="A92" s="210"/>
      <c r="B92" s="210"/>
      <c r="C92" s="210"/>
      <c r="D92" s="472" t="s">
        <v>180</v>
      </c>
      <c r="E92" s="472"/>
      <c r="F92" s="472"/>
      <c r="G92" s="18"/>
      <c r="H92" s="18"/>
      <c r="I92" s="18"/>
      <c r="J92" s="18"/>
      <c r="K92" s="18"/>
      <c r="L92" s="18"/>
      <c r="M92" s="18"/>
      <c r="N92" s="18"/>
    </row>
    <row r="93" spans="1:26" ht="25" customHeight="1">
      <c r="A93" s="213" t="s">
        <v>181</v>
      </c>
      <c r="B93" s="213" t="s">
        <v>182</v>
      </c>
      <c r="C93" s="213" t="s">
        <v>183</v>
      </c>
      <c r="D93" s="214">
        <v>1</v>
      </c>
      <c r="E93" s="214">
        <v>2</v>
      </c>
      <c r="F93" s="214">
        <v>3</v>
      </c>
      <c r="G93" s="215" t="s">
        <v>184</v>
      </c>
      <c r="H93" s="18"/>
      <c r="I93" s="213" t="s">
        <v>181</v>
      </c>
      <c r="J93" s="213" t="s">
        <v>183</v>
      </c>
      <c r="K93" s="18"/>
      <c r="L93" s="18"/>
      <c r="M93" s="18"/>
      <c r="N93" s="18"/>
      <c r="V93" t="str">
        <f>T94</f>
        <v>Governance</v>
      </c>
      <c r="W93" t="str">
        <f>T97</f>
        <v>Design</v>
      </c>
      <c r="X93" t="str">
        <f>T100</f>
        <v>Implementation</v>
      </c>
      <c r="Y93" t="str">
        <f>T103</f>
        <v>Verification</v>
      </c>
      <c r="Z93" t="str">
        <f>T106</f>
        <v>Operations</v>
      </c>
    </row>
    <row r="94" spans="1:26" ht="25" customHeight="1">
      <c r="A94" s="216" t="str">
        <f>Interview!$B$16</f>
        <v>Governance</v>
      </c>
      <c r="B94" s="217" t="str">
        <f>Interview!$D$17</f>
        <v>Strategy &amp; Metrics</v>
      </c>
      <c r="C94" s="218">
        <f>Roadmap!Y18</f>
        <v>0.125</v>
      </c>
      <c r="D94" s="218">
        <f>Roadmap!X18</f>
        <v>0</v>
      </c>
      <c r="E94" s="218">
        <f>Roadmap!X19</f>
        <v>0</v>
      </c>
      <c r="F94" s="218">
        <f>Roadmap!X20</f>
        <v>0.125</v>
      </c>
      <c r="G94" s="219">
        <f t="shared" ref="G94:G99" si="11">(((((IF((C94="0+"),0.5,0)+IF((C94=1),1,0))+IF((C94="1+"),1.5,0))+IF((C94=2),2,0))+IF((C94="2+"),2.5,0))+IF((C94=3),3,0))+IF((C94="3+"),3.5,0)</f>
        <v>0</v>
      </c>
      <c r="H94" s="220"/>
      <c r="I94" s="216" t="str">
        <f>A94</f>
        <v>Governance</v>
      </c>
      <c r="J94" s="218">
        <f>AVERAGE(C94:C96)</f>
        <v>0.91666666666666663</v>
      </c>
      <c r="K94" s="18"/>
      <c r="L94" s="18"/>
      <c r="M94" s="18"/>
      <c r="N94" s="18"/>
      <c r="T94" s="216" t="str">
        <f>Interview!$B$16</f>
        <v>Governance</v>
      </c>
      <c r="U94" s="217" t="str">
        <f>Interview!$D$17</f>
        <v>Strategy &amp; Metrics</v>
      </c>
      <c r="V94" s="218">
        <f>C94</f>
        <v>0.125</v>
      </c>
      <c r="W94" s="218">
        <v>0</v>
      </c>
      <c r="X94" s="218">
        <v>0</v>
      </c>
      <c r="Y94" s="218">
        <v>0</v>
      </c>
      <c r="Z94" s="218">
        <v>0</v>
      </c>
    </row>
    <row r="95" spans="1:26" ht="25" customHeight="1">
      <c r="A95" s="216" t="str">
        <f>Interview!$B$16</f>
        <v>Governance</v>
      </c>
      <c r="B95" s="217" t="str">
        <f>Interview!$B$31</f>
        <v>Policy &amp; Compliance</v>
      </c>
      <c r="C95" s="218">
        <f>Roadmap!Y27</f>
        <v>0</v>
      </c>
      <c r="D95" s="218">
        <f>Roadmap!X27</f>
        <v>0</v>
      </c>
      <c r="E95" s="218">
        <f>Roadmap!X28</f>
        <v>0</v>
      </c>
      <c r="F95" s="218">
        <f>Roadmap!X29</f>
        <v>0</v>
      </c>
      <c r="G95" s="219">
        <f t="shared" si="11"/>
        <v>0</v>
      </c>
      <c r="H95" s="220"/>
      <c r="I95" s="221" t="str">
        <f>A97</f>
        <v>Design</v>
      </c>
      <c r="J95" s="218">
        <f>AVERAGE(C97:C99)</f>
        <v>1.4166666666666667</v>
      </c>
      <c r="K95" s="18"/>
      <c r="L95" s="18"/>
      <c r="M95" s="18"/>
      <c r="N95" s="18"/>
      <c r="T95" s="216" t="str">
        <f>Interview!$B$16</f>
        <v>Governance</v>
      </c>
      <c r="U95" s="217" t="str">
        <f>Interview!$B$31</f>
        <v>Policy &amp; Compliance</v>
      </c>
      <c r="V95" s="218">
        <f>C95</f>
        <v>0</v>
      </c>
      <c r="W95" s="218">
        <v>0</v>
      </c>
      <c r="X95" s="218">
        <v>0</v>
      </c>
      <c r="Y95" s="218">
        <v>0</v>
      </c>
      <c r="Z95" s="218">
        <v>0</v>
      </c>
    </row>
    <row r="96" spans="1:26" ht="25" customHeight="1">
      <c r="A96" s="216" t="str">
        <f>Interview!$B$16</f>
        <v>Governance</v>
      </c>
      <c r="B96" s="217" t="str">
        <f>Interview!$B$45</f>
        <v>Education &amp; Guidance</v>
      </c>
      <c r="C96" s="218">
        <f>Roadmap!Y36</f>
        <v>2.625</v>
      </c>
      <c r="D96" s="218">
        <f>Roadmap!X36</f>
        <v>0.625</v>
      </c>
      <c r="E96" s="218">
        <f>Roadmap!X37</f>
        <v>1</v>
      </c>
      <c r="F96" s="218">
        <f>Roadmap!X38</f>
        <v>1</v>
      </c>
      <c r="G96" s="219">
        <f t="shared" si="11"/>
        <v>0</v>
      </c>
      <c r="H96" s="220"/>
      <c r="I96" s="222" t="str">
        <f>A100</f>
        <v>Implementation</v>
      </c>
      <c r="J96" s="218">
        <f>AVERAGE(C100:C102)</f>
        <v>0</v>
      </c>
      <c r="K96" s="18"/>
      <c r="L96" s="18"/>
      <c r="M96" s="18"/>
      <c r="N96" s="18"/>
      <c r="T96" s="216" t="str">
        <f>Interview!$B$16</f>
        <v>Governance</v>
      </c>
      <c r="U96" s="217" t="str">
        <f>Interview!$B$45</f>
        <v>Education &amp; Guidance</v>
      </c>
      <c r="V96" s="218">
        <f>C96</f>
        <v>2.625</v>
      </c>
      <c r="W96" s="218">
        <v>0</v>
      </c>
      <c r="X96" s="218">
        <v>0</v>
      </c>
      <c r="Y96" s="218">
        <v>0</v>
      </c>
      <c r="Z96" s="218">
        <v>0</v>
      </c>
    </row>
    <row r="97" spans="1:26" ht="25" customHeight="1">
      <c r="A97" s="221" t="str">
        <f>Interview!$B$59</f>
        <v>Design</v>
      </c>
      <c r="B97" s="223" t="str">
        <f>Interview!$B$60</f>
        <v>Threat Assessment</v>
      </c>
      <c r="C97" s="218">
        <f>Roadmap!Y46</f>
        <v>2.25</v>
      </c>
      <c r="D97" s="218">
        <f>Roadmap!X46</f>
        <v>1</v>
      </c>
      <c r="E97" s="218">
        <f>Roadmap!X47</f>
        <v>1</v>
      </c>
      <c r="F97" s="218">
        <f>Roadmap!X48</f>
        <v>0.25</v>
      </c>
      <c r="G97" s="219">
        <f t="shared" si="11"/>
        <v>0</v>
      </c>
      <c r="H97" s="220"/>
      <c r="I97" s="224" t="str">
        <f>A103</f>
        <v>Verification</v>
      </c>
      <c r="J97" s="218">
        <f>AVERAGE(C103:C105)</f>
        <v>0</v>
      </c>
      <c r="K97" s="18"/>
      <c r="L97" s="18"/>
      <c r="M97" s="18"/>
      <c r="N97" s="18"/>
      <c r="T97" s="221" t="str">
        <f>Interview!$B$59</f>
        <v>Design</v>
      </c>
      <c r="U97" s="223" t="str">
        <f>Interview!$B$60</f>
        <v>Threat Assessment</v>
      </c>
      <c r="V97" s="218">
        <v>0</v>
      </c>
      <c r="W97" s="218">
        <f>C97</f>
        <v>2.25</v>
      </c>
      <c r="X97" s="218">
        <v>0</v>
      </c>
      <c r="Y97" s="218">
        <v>0</v>
      </c>
      <c r="Z97" s="218">
        <v>0</v>
      </c>
    </row>
    <row r="98" spans="1:26" ht="25" customHeight="1">
      <c r="A98" s="221" t="str">
        <f>Interview!$B$59</f>
        <v>Design</v>
      </c>
      <c r="B98" s="223" t="str">
        <f>Interview!$B$74</f>
        <v>Security Requirements</v>
      </c>
      <c r="C98" s="218">
        <f>Roadmap!Y55</f>
        <v>1.5</v>
      </c>
      <c r="D98" s="218">
        <f>Roadmap!X55</f>
        <v>0.5</v>
      </c>
      <c r="E98" s="218">
        <f>Roadmap!X56</f>
        <v>0.5</v>
      </c>
      <c r="F98" s="218">
        <f>Roadmap!X57</f>
        <v>0.5</v>
      </c>
      <c r="G98" s="219">
        <f t="shared" si="11"/>
        <v>0</v>
      </c>
      <c r="H98" s="220"/>
      <c r="I98" s="225" t="str">
        <f>A106</f>
        <v>Operations</v>
      </c>
      <c r="J98" s="218">
        <f>AVERAGE(C106:C108)</f>
        <v>0</v>
      </c>
      <c r="K98" s="18"/>
      <c r="L98" s="18"/>
      <c r="M98" s="18"/>
      <c r="N98" s="18"/>
      <c r="T98" s="221" t="str">
        <f>Interview!$B$59</f>
        <v>Design</v>
      </c>
      <c r="U98" s="223" t="str">
        <f>Interview!$B$74</f>
        <v>Security Requirements</v>
      </c>
      <c r="V98" s="218">
        <v>0</v>
      </c>
      <c r="W98" s="218">
        <f>C98</f>
        <v>1.5</v>
      </c>
      <c r="X98" s="218">
        <v>0</v>
      </c>
      <c r="Y98" s="218">
        <v>0</v>
      </c>
      <c r="Z98" s="218">
        <v>0</v>
      </c>
    </row>
    <row r="99" spans="1:26" ht="25" customHeight="1">
      <c r="A99" s="221" t="str">
        <f>Interview!$B$59</f>
        <v>Design</v>
      </c>
      <c r="B99" s="223" t="str">
        <f>Interview!$B$88</f>
        <v>Secure Architecture</v>
      </c>
      <c r="C99" s="218">
        <f>Roadmap!Y64</f>
        <v>0.5</v>
      </c>
      <c r="D99" s="218">
        <f>Roadmap!X64</f>
        <v>0.5</v>
      </c>
      <c r="E99" s="218">
        <f>Roadmap!X65</f>
        <v>0</v>
      </c>
      <c r="F99" s="218">
        <f>Roadmap!X66</f>
        <v>0</v>
      </c>
      <c r="G99" s="219">
        <f t="shared" si="11"/>
        <v>0</v>
      </c>
      <c r="H99" s="220"/>
      <c r="I99" s="18"/>
      <c r="J99" s="18"/>
      <c r="K99" s="18"/>
      <c r="L99" s="18"/>
      <c r="M99" s="18"/>
      <c r="N99" s="18"/>
      <c r="T99" s="221" t="str">
        <f>Interview!$B$59</f>
        <v>Design</v>
      </c>
      <c r="U99" s="223" t="str">
        <f>Interview!$B$88</f>
        <v>Secure Architecture</v>
      </c>
      <c r="V99" s="218">
        <v>0</v>
      </c>
      <c r="W99" s="218">
        <f>C99</f>
        <v>0.5</v>
      </c>
      <c r="X99" s="218">
        <v>0</v>
      </c>
      <c r="Y99" s="218">
        <v>0</v>
      </c>
      <c r="Z99" s="218">
        <v>0</v>
      </c>
    </row>
    <row r="100" spans="1:26" ht="25" customHeight="1">
      <c r="A100" s="222" t="str">
        <f>Interview!$B$102</f>
        <v>Implementation</v>
      </c>
      <c r="B100" s="226" t="str">
        <f>Interview!$B$103</f>
        <v>Secure Build</v>
      </c>
      <c r="C100" s="218">
        <f>Roadmap!Y74</f>
        <v>0</v>
      </c>
      <c r="D100" s="218">
        <f>Roadmap!X74</f>
        <v>0</v>
      </c>
      <c r="E100" s="218">
        <f>Roadmap!X75</f>
        <v>0</v>
      </c>
      <c r="F100" s="218">
        <f>Roadmap!X76</f>
        <v>0</v>
      </c>
      <c r="G100" s="219"/>
      <c r="H100" s="220"/>
      <c r="I100" s="18"/>
      <c r="J100" s="18"/>
      <c r="K100" s="18"/>
      <c r="L100" s="18"/>
      <c r="M100" s="18"/>
      <c r="N100" s="18"/>
      <c r="T100" s="222" t="str">
        <f>Interview!$B$102</f>
        <v>Implementation</v>
      </c>
      <c r="U100" s="226" t="str">
        <f>Interview!$B$103</f>
        <v>Secure Build</v>
      </c>
      <c r="V100" s="218">
        <v>0</v>
      </c>
      <c r="W100" s="218">
        <v>0</v>
      </c>
      <c r="X100" s="218">
        <f>C100</f>
        <v>0</v>
      </c>
      <c r="Y100" s="218">
        <v>0</v>
      </c>
      <c r="Z100" s="218">
        <v>0</v>
      </c>
    </row>
    <row r="101" spans="1:26" ht="25" customHeight="1">
      <c r="A101" s="222" t="str">
        <f>Interview!$B$102</f>
        <v>Implementation</v>
      </c>
      <c r="B101" s="226" t="str">
        <f>Interview!$B$117</f>
        <v>Secure Deployment</v>
      </c>
      <c r="C101" s="218">
        <f>Roadmap!Y83</f>
        <v>0</v>
      </c>
      <c r="D101" s="218">
        <f>Roadmap!X83</f>
        <v>0</v>
      </c>
      <c r="E101" s="218">
        <f>Roadmap!X84</f>
        <v>0</v>
      </c>
      <c r="F101" s="218">
        <f>Roadmap!X85</f>
        <v>0</v>
      </c>
      <c r="G101" s="219"/>
      <c r="H101" s="220"/>
      <c r="I101" s="18"/>
      <c r="J101" s="18"/>
      <c r="K101" s="18"/>
      <c r="L101" s="18"/>
      <c r="M101" s="18"/>
      <c r="N101" s="18"/>
      <c r="T101" s="222" t="str">
        <f>Interview!$B$102</f>
        <v>Implementation</v>
      </c>
      <c r="U101" s="226" t="str">
        <f>Interview!$B$117</f>
        <v>Secure Deployment</v>
      </c>
      <c r="V101" s="218">
        <v>0</v>
      </c>
      <c r="W101" s="218">
        <v>0</v>
      </c>
      <c r="X101" s="218">
        <f>C101</f>
        <v>0</v>
      </c>
      <c r="Y101" s="218">
        <v>0</v>
      </c>
      <c r="Z101" s="218">
        <v>0</v>
      </c>
    </row>
    <row r="102" spans="1:26" ht="25" customHeight="1">
      <c r="A102" s="222" t="str">
        <f>Interview!$B$102</f>
        <v>Implementation</v>
      </c>
      <c r="B102" s="226" t="str">
        <f>Interview!$B$131</f>
        <v>Defect Management</v>
      </c>
      <c r="C102" s="218">
        <f>Roadmap!Y92</f>
        <v>0</v>
      </c>
      <c r="D102" s="218">
        <f>Roadmap!X92</f>
        <v>0</v>
      </c>
      <c r="E102" s="218">
        <f>Roadmap!X93</f>
        <v>0</v>
      </c>
      <c r="F102" s="218">
        <f>Roadmap!X94</f>
        <v>0</v>
      </c>
      <c r="G102" s="219"/>
      <c r="H102" s="220"/>
      <c r="I102" s="18"/>
      <c r="J102" s="18"/>
      <c r="K102" s="18"/>
      <c r="L102" s="18"/>
      <c r="M102" s="18"/>
      <c r="N102" s="18"/>
      <c r="T102" s="222" t="str">
        <f>Interview!$B$102</f>
        <v>Implementation</v>
      </c>
      <c r="U102" s="226" t="str">
        <f>Interview!$B$131</f>
        <v>Defect Management</v>
      </c>
      <c r="V102" s="218">
        <v>0</v>
      </c>
      <c r="W102" s="218">
        <v>0</v>
      </c>
      <c r="X102" s="218">
        <f>C102</f>
        <v>0</v>
      </c>
      <c r="Y102" s="218">
        <v>0</v>
      </c>
      <c r="Z102" s="218">
        <v>0</v>
      </c>
    </row>
    <row r="103" spans="1:26" ht="25" customHeight="1">
      <c r="A103" s="224" t="str">
        <f>Interview!$B$145</f>
        <v>Verification</v>
      </c>
      <c r="B103" s="228" t="str">
        <f>Interview!$B$146</f>
        <v>Architecture Assessment</v>
      </c>
      <c r="C103" s="218">
        <f>Roadmap!Y102</f>
        <v>0</v>
      </c>
      <c r="D103" s="218">
        <f>Roadmap!X102</f>
        <v>0</v>
      </c>
      <c r="E103" s="218">
        <f>Roadmap!X103</f>
        <v>0</v>
      </c>
      <c r="F103" s="218">
        <f>Roadmap!X104</f>
        <v>0</v>
      </c>
      <c r="G103" s="219">
        <f t="shared" ref="G103:G108" si="12">(((((IF((C103="0+"),0.5,0)+IF((C103=1),1,0))+IF((C103="1+"),1.5,0))+IF((C103=2),2,0))+IF((C103="2+"),2.5,0))+IF((C103=3),3,0))+IF((C103="3+"),3.5,0)</f>
        <v>0</v>
      </c>
      <c r="H103" s="220"/>
      <c r="I103" s="18"/>
      <c r="J103" s="18"/>
      <c r="K103" s="18"/>
      <c r="L103" s="18"/>
      <c r="M103" s="18"/>
      <c r="N103" s="18"/>
      <c r="T103" s="224" t="str">
        <f>Interview!$B$145</f>
        <v>Verification</v>
      </c>
      <c r="U103" s="228" t="str">
        <f>Interview!$B$146</f>
        <v>Architecture Assessment</v>
      </c>
      <c r="V103" s="218">
        <v>0</v>
      </c>
      <c r="W103" s="218">
        <v>0</v>
      </c>
      <c r="X103" s="218">
        <v>0</v>
      </c>
      <c r="Y103" s="218">
        <f>C103</f>
        <v>0</v>
      </c>
      <c r="Z103" s="218">
        <v>0</v>
      </c>
    </row>
    <row r="104" spans="1:26" ht="25" customHeight="1">
      <c r="A104" s="224" t="str">
        <f>Interview!$B$145</f>
        <v>Verification</v>
      </c>
      <c r="B104" s="228" t="str">
        <f>Interview!$B$160</f>
        <v>Requirements Testing</v>
      </c>
      <c r="C104" s="218">
        <f>Roadmap!Y111</f>
        <v>0</v>
      </c>
      <c r="D104" s="218">
        <f>Roadmap!X111</f>
        <v>0</v>
      </c>
      <c r="E104" s="218">
        <f>Roadmap!X112</f>
        <v>0</v>
      </c>
      <c r="F104" s="218">
        <f>Roadmap!X113</f>
        <v>0</v>
      </c>
      <c r="G104" s="219">
        <f t="shared" si="12"/>
        <v>0</v>
      </c>
      <c r="H104" s="220"/>
      <c r="I104" s="18"/>
      <c r="J104" s="18"/>
      <c r="K104" s="18"/>
      <c r="L104" s="18"/>
      <c r="M104" s="18"/>
      <c r="N104" s="18"/>
      <c r="T104" s="224" t="str">
        <f>Interview!$B$145</f>
        <v>Verification</v>
      </c>
      <c r="U104" s="228" t="str">
        <f>Interview!$B$160</f>
        <v>Requirements Testing</v>
      </c>
      <c r="V104" s="218">
        <v>0</v>
      </c>
      <c r="W104" s="218">
        <v>0</v>
      </c>
      <c r="X104" s="218">
        <v>0</v>
      </c>
      <c r="Y104" s="218">
        <f>C104</f>
        <v>0</v>
      </c>
      <c r="Z104" s="218">
        <v>0</v>
      </c>
    </row>
    <row r="105" spans="1:26" ht="25" customHeight="1">
      <c r="A105" s="224" t="str">
        <f>Interview!$B$145</f>
        <v>Verification</v>
      </c>
      <c r="B105" s="228" t="str">
        <f>Interview!$B$174</f>
        <v>Security Testing</v>
      </c>
      <c r="C105" s="218">
        <f>Roadmap!Y120</f>
        <v>0</v>
      </c>
      <c r="D105" s="218">
        <f>Roadmap!X120</f>
        <v>0</v>
      </c>
      <c r="E105" s="218">
        <f>Roadmap!X121</f>
        <v>0</v>
      </c>
      <c r="F105" s="218">
        <f>Roadmap!X122</f>
        <v>0</v>
      </c>
      <c r="G105" s="219">
        <f t="shared" si="12"/>
        <v>0</v>
      </c>
      <c r="H105" s="220"/>
      <c r="I105" s="18"/>
      <c r="J105" s="18"/>
      <c r="K105" s="18"/>
      <c r="L105" s="18"/>
      <c r="M105" s="18"/>
      <c r="N105" s="18"/>
      <c r="T105" s="224" t="str">
        <f>Interview!$B$145</f>
        <v>Verification</v>
      </c>
      <c r="U105" s="228" t="str">
        <f>Interview!$B$174</f>
        <v>Security Testing</v>
      </c>
      <c r="V105" s="218">
        <v>0</v>
      </c>
      <c r="W105" s="218">
        <v>0</v>
      </c>
      <c r="X105" s="218">
        <v>0</v>
      </c>
      <c r="Y105" s="218">
        <f>C105</f>
        <v>0</v>
      </c>
      <c r="Z105" s="218">
        <v>0</v>
      </c>
    </row>
    <row r="106" spans="1:26" ht="25" customHeight="1">
      <c r="A106" s="225" t="str">
        <f>Interview!$B$188</f>
        <v>Operations</v>
      </c>
      <c r="B106" s="229" t="str">
        <f>Interview!$B$189</f>
        <v>Incident Management</v>
      </c>
      <c r="C106" s="218">
        <f>Roadmap!Y130</f>
        <v>0</v>
      </c>
      <c r="D106" s="218">
        <f>Roadmap!X130</f>
        <v>0</v>
      </c>
      <c r="E106" s="218">
        <f>Roadmap!X131</f>
        <v>0</v>
      </c>
      <c r="F106" s="218">
        <f>Roadmap!X132</f>
        <v>0</v>
      </c>
      <c r="G106" s="219">
        <f t="shared" si="12"/>
        <v>0</v>
      </c>
      <c r="H106" s="220"/>
      <c r="I106" s="18"/>
      <c r="J106" s="18"/>
      <c r="K106" s="18"/>
      <c r="L106" s="18"/>
      <c r="M106" s="18"/>
      <c r="N106" s="18"/>
      <c r="T106" s="225" t="str">
        <f>Interview!$B$188</f>
        <v>Operations</v>
      </c>
      <c r="U106" s="229" t="str">
        <f>Interview!$B$189</f>
        <v>Incident Management</v>
      </c>
      <c r="V106" s="218">
        <v>0</v>
      </c>
      <c r="W106" s="218">
        <v>0</v>
      </c>
      <c r="X106" s="218">
        <v>0</v>
      </c>
      <c r="Y106" s="218">
        <v>0</v>
      </c>
      <c r="Z106" s="218">
        <f>C106</f>
        <v>0</v>
      </c>
    </row>
    <row r="107" spans="1:26" ht="25" customHeight="1">
      <c r="A107" s="225" t="str">
        <f>Interview!$B$188</f>
        <v>Operations</v>
      </c>
      <c r="B107" s="229" t="str">
        <f>Interview!$B$203</f>
        <v>Environment Management</v>
      </c>
      <c r="C107" s="218">
        <f>Roadmap!Y139</f>
        <v>0</v>
      </c>
      <c r="D107" s="218">
        <f>Roadmap!X139</f>
        <v>0</v>
      </c>
      <c r="E107" s="218">
        <f>Roadmap!X140</f>
        <v>0</v>
      </c>
      <c r="F107" s="218">
        <f>Roadmap!X141</f>
        <v>0</v>
      </c>
      <c r="G107" s="219">
        <f t="shared" si="12"/>
        <v>0</v>
      </c>
      <c r="H107" s="220"/>
      <c r="I107" s="18"/>
      <c r="J107" s="18"/>
      <c r="K107" s="18"/>
      <c r="L107" s="18"/>
      <c r="M107" s="18"/>
      <c r="N107" s="18"/>
      <c r="T107" s="225" t="str">
        <f>Interview!$B$188</f>
        <v>Operations</v>
      </c>
      <c r="U107" s="229" t="str">
        <f>Interview!$B$203</f>
        <v>Environment Management</v>
      </c>
      <c r="V107" s="218">
        <v>0</v>
      </c>
      <c r="W107" s="218">
        <v>0</v>
      </c>
      <c r="X107" s="218">
        <v>0</v>
      </c>
      <c r="Y107" s="218">
        <v>0</v>
      </c>
      <c r="Z107" s="218">
        <f>C107</f>
        <v>0</v>
      </c>
    </row>
    <row r="108" spans="1:26" ht="25" customHeight="1">
      <c r="A108" s="225" t="str">
        <f>Interview!$B$188</f>
        <v>Operations</v>
      </c>
      <c r="B108" s="229" t="str">
        <f>Interview!$B$217</f>
        <v>Operational Management</v>
      </c>
      <c r="C108" s="218">
        <f>Roadmap!Y148</f>
        <v>0</v>
      </c>
      <c r="D108" s="218">
        <f>Roadmap!X148</f>
        <v>0</v>
      </c>
      <c r="E108" s="218">
        <f>Roadmap!X149</f>
        <v>0</v>
      </c>
      <c r="F108" s="218">
        <f>Roadmap!X150</f>
        <v>0</v>
      </c>
      <c r="G108" s="219">
        <f t="shared" si="12"/>
        <v>0</v>
      </c>
      <c r="H108" s="220"/>
      <c r="I108" s="18"/>
      <c r="J108" s="18"/>
      <c r="K108" s="18"/>
      <c r="L108" s="18"/>
      <c r="M108" s="18"/>
      <c r="N108" s="18"/>
      <c r="T108" s="225" t="str">
        <f>Interview!$B$188</f>
        <v>Operations</v>
      </c>
      <c r="U108" s="229" t="str">
        <f>Interview!$B$217</f>
        <v>Operational Management</v>
      </c>
      <c r="V108" s="218">
        <v>0</v>
      </c>
      <c r="W108" s="218">
        <v>0</v>
      </c>
      <c r="X108" s="218">
        <v>0</v>
      </c>
      <c r="Y108" s="218">
        <v>0</v>
      </c>
      <c r="Z108" s="218">
        <f>C108</f>
        <v>0</v>
      </c>
    </row>
  </sheetData>
  <mergeCells count="32">
    <mergeCell ref="A1:J1"/>
    <mergeCell ref="A3:K3"/>
    <mergeCell ref="A5:B5"/>
    <mergeCell ref="C5:F5"/>
    <mergeCell ref="A6:B6"/>
    <mergeCell ref="C6:F6"/>
    <mergeCell ref="A7:B7"/>
    <mergeCell ref="C7:F7"/>
    <mergeCell ref="A8:B8"/>
    <mergeCell ref="C8:F8"/>
    <mergeCell ref="A9:B9"/>
    <mergeCell ref="C9:I9"/>
    <mergeCell ref="A11:J11"/>
    <mergeCell ref="L11:R11"/>
    <mergeCell ref="T11:Z11"/>
    <mergeCell ref="D12:F12"/>
    <mergeCell ref="A31:J31"/>
    <mergeCell ref="L31:R31"/>
    <mergeCell ref="T31:Z31"/>
    <mergeCell ref="D32:F32"/>
    <mergeCell ref="A51:J51"/>
    <mergeCell ref="L51:R51"/>
    <mergeCell ref="T51:Z51"/>
    <mergeCell ref="D52:F52"/>
    <mergeCell ref="D92:F92"/>
    <mergeCell ref="A70:J70"/>
    <mergeCell ref="L70:R70"/>
    <mergeCell ref="T70:Z70"/>
    <mergeCell ref="D71:F71"/>
    <mergeCell ref="A91:J91"/>
    <mergeCell ref="L91:R91"/>
    <mergeCell ref="T91:Z91"/>
  </mergeCells>
  <conditionalFormatting sqref="D14:F16">
    <cfRule type="dataBar" priority="2">
      <dataBar>
        <cfvo type="num" val="0"/>
        <cfvo type="num" val="1"/>
        <color rgb="FF3290C4"/>
      </dataBar>
      <extLst>
        <ext xmlns:x14="http://schemas.microsoft.com/office/spreadsheetml/2009/9/main" uri="{B025F937-C7B1-47D3-B67F-A62EFF666E3E}">
          <x14:id>{7BB1CFE3-6198-4A2E-9157-C8EFE9505E9E}</x14:id>
        </ext>
      </extLst>
    </cfRule>
  </conditionalFormatting>
  <conditionalFormatting sqref="J14">
    <cfRule type="dataBar" priority="3">
      <dataBar>
        <cfvo type="num" val="0"/>
        <cfvo type="num" val="3"/>
        <color rgb="FF3290C4"/>
      </dataBar>
      <extLst>
        <ext xmlns:x14="http://schemas.microsoft.com/office/spreadsheetml/2009/9/main" uri="{B025F937-C7B1-47D3-B67F-A62EFF666E3E}">
          <x14:id>{DDE55C5E-5A94-4AE7-A78E-EC55E1B96370}</x14:id>
        </ext>
      </extLst>
    </cfRule>
  </conditionalFormatting>
  <conditionalFormatting sqref="J15">
    <cfRule type="dataBar" priority="4">
      <dataBar>
        <cfvo type="num" val="0"/>
        <cfvo type="num" val="3"/>
        <color rgb="FFB75727"/>
      </dataBar>
      <extLst>
        <ext xmlns:x14="http://schemas.microsoft.com/office/spreadsheetml/2009/9/main" uri="{B025F937-C7B1-47D3-B67F-A62EFF666E3E}">
          <x14:id>{8B57A348-C0BB-4891-9180-ED7BC850159E}</x14:id>
        </ext>
      </extLst>
    </cfRule>
  </conditionalFormatting>
  <conditionalFormatting sqref="J17">
    <cfRule type="dataBar" priority="5">
      <dataBar>
        <cfvo type="num" val="0"/>
        <cfvo type="num" val="3"/>
        <color rgb="FF37793E"/>
      </dataBar>
      <extLst>
        <ext xmlns:x14="http://schemas.microsoft.com/office/spreadsheetml/2009/9/main" uri="{B025F937-C7B1-47D3-B67F-A62EFF666E3E}">
          <x14:id>{5FC023E9-7090-4874-8363-BBACAB90CC14}</x14:id>
        </ext>
      </extLst>
    </cfRule>
  </conditionalFormatting>
  <conditionalFormatting sqref="J18">
    <cfRule type="dataBar" priority="6">
      <dataBar>
        <cfvo type="num" val="0"/>
        <cfvo type="num" val="3"/>
        <color rgb="FF791F17"/>
      </dataBar>
      <extLst>
        <ext xmlns:x14="http://schemas.microsoft.com/office/spreadsheetml/2009/9/main" uri="{B025F937-C7B1-47D3-B67F-A62EFF666E3E}">
          <x14:id>{E894FA4A-BB84-4FFB-A737-1DC490835F93}</x14:id>
        </ext>
      </extLst>
    </cfRule>
  </conditionalFormatting>
  <conditionalFormatting sqref="J16">
    <cfRule type="dataBar" priority="7">
      <dataBar>
        <cfvo type="num" val="0"/>
        <cfvo type="num" val="3"/>
        <color rgb="FFFFC221"/>
      </dataBar>
      <extLst>
        <ext xmlns:x14="http://schemas.microsoft.com/office/spreadsheetml/2009/9/main" uri="{B025F937-C7B1-47D3-B67F-A62EFF666E3E}">
          <x14:id>{B0302184-B9E2-4423-9251-E0DD37B5399F}</x14:id>
        </ext>
      </extLst>
    </cfRule>
  </conditionalFormatting>
  <conditionalFormatting sqref="D17:F19">
    <cfRule type="dataBar" priority="8">
      <dataBar>
        <cfvo type="num" val="0"/>
        <cfvo type="num" val="1"/>
        <color rgb="FFB75727"/>
      </dataBar>
      <extLst>
        <ext xmlns:x14="http://schemas.microsoft.com/office/spreadsheetml/2009/9/main" uri="{B025F937-C7B1-47D3-B67F-A62EFF666E3E}">
          <x14:id>{21F04CAE-8A30-4FFB-8EA3-E2ADE39C6160}</x14:id>
        </ext>
      </extLst>
    </cfRule>
  </conditionalFormatting>
  <conditionalFormatting sqref="D20:F22">
    <cfRule type="dataBar" priority="9">
      <dataBar>
        <cfvo type="num" val="0"/>
        <cfvo type="num" val="1"/>
        <color rgb="FFFFC221"/>
      </dataBar>
      <extLst>
        <ext xmlns:x14="http://schemas.microsoft.com/office/spreadsheetml/2009/9/main" uri="{B025F937-C7B1-47D3-B67F-A62EFF666E3E}">
          <x14:id>{56C06999-3251-4064-B9A5-E0E69B2C2B67}</x14:id>
        </ext>
      </extLst>
    </cfRule>
  </conditionalFormatting>
  <conditionalFormatting sqref="D23:F25">
    <cfRule type="dataBar" priority="10">
      <dataBar>
        <cfvo type="num" val="0"/>
        <cfvo type="num" val="1"/>
        <color rgb="FF37793E"/>
      </dataBar>
      <extLst>
        <ext xmlns:x14="http://schemas.microsoft.com/office/spreadsheetml/2009/9/main" uri="{B025F937-C7B1-47D3-B67F-A62EFF666E3E}">
          <x14:id>{2BA936D9-5080-43B0-99D9-FB8BF8B8379E}</x14:id>
        </ext>
      </extLst>
    </cfRule>
  </conditionalFormatting>
  <conditionalFormatting sqref="D26:F28">
    <cfRule type="dataBar" priority="11">
      <dataBar>
        <cfvo type="num" val="0"/>
        <cfvo type="num" val="1"/>
        <color rgb="FF791F17"/>
      </dataBar>
      <extLst>
        <ext xmlns:x14="http://schemas.microsoft.com/office/spreadsheetml/2009/9/main" uri="{B025F937-C7B1-47D3-B67F-A62EFF666E3E}">
          <x14:id>{B43046FB-C4CD-428F-A100-E0E967F3DC58}</x14:id>
        </ext>
      </extLst>
    </cfRule>
  </conditionalFormatting>
  <conditionalFormatting sqref="D34:F35">
    <cfRule type="dataBar" priority="12">
      <dataBar>
        <cfvo type="num" val="0"/>
        <cfvo type="num" val="1"/>
        <color rgb="FF3290C4"/>
      </dataBar>
      <extLst>
        <ext xmlns:x14="http://schemas.microsoft.com/office/spreadsheetml/2009/9/main" uri="{B025F937-C7B1-47D3-B67F-A62EFF666E3E}">
          <x14:id>{27936849-7817-4C2E-AF63-A16F1F897D8A}</x14:id>
        </ext>
      </extLst>
    </cfRule>
  </conditionalFormatting>
  <conditionalFormatting sqref="D36:F36">
    <cfRule type="dataBar" priority="13">
      <dataBar>
        <cfvo type="num" val="0"/>
        <cfvo type="num" val="1"/>
        <color rgb="FF3290C4"/>
      </dataBar>
      <extLst>
        <ext xmlns:x14="http://schemas.microsoft.com/office/spreadsheetml/2009/9/main" uri="{B025F937-C7B1-47D3-B67F-A62EFF666E3E}">
          <x14:id>{E07D80AD-7642-40C1-9950-90CFEFA8FC21}</x14:id>
        </ext>
      </extLst>
    </cfRule>
  </conditionalFormatting>
  <conditionalFormatting sqref="J34">
    <cfRule type="dataBar" priority="14">
      <dataBar>
        <cfvo type="num" val="0"/>
        <cfvo type="num" val="3"/>
        <color rgb="FF3290C4"/>
      </dataBar>
      <extLst>
        <ext xmlns:x14="http://schemas.microsoft.com/office/spreadsheetml/2009/9/main" uri="{B025F937-C7B1-47D3-B67F-A62EFF666E3E}">
          <x14:id>{C529B240-C8D0-466D-9ED6-74125695B5AF}</x14:id>
        </ext>
      </extLst>
    </cfRule>
  </conditionalFormatting>
  <conditionalFormatting sqref="J35">
    <cfRule type="dataBar" priority="15">
      <dataBar>
        <cfvo type="num" val="0"/>
        <cfvo type="num" val="3"/>
        <color rgb="FFB75727"/>
      </dataBar>
      <extLst>
        <ext xmlns:x14="http://schemas.microsoft.com/office/spreadsheetml/2009/9/main" uri="{B025F937-C7B1-47D3-B67F-A62EFF666E3E}">
          <x14:id>{D14AB162-1A25-4736-901F-6076C0247360}</x14:id>
        </ext>
      </extLst>
    </cfRule>
  </conditionalFormatting>
  <conditionalFormatting sqref="J37">
    <cfRule type="dataBar" priority="16">
      <dataBar>
        <cfvo type="num" val="0"/>
        <cfvo type="num" val="3"/>
        <color rgb="FF37793E"/>
      </dataBar>
      <extLst>
        <ext xmlns:x14="http://schemas.microsoft.com/office/spreadsheetml/2009/9/main" uri="{B025F937-C7B1-47D3-B67F-A62EFF666E3E}">
          <x14:id>{A431A98D-6E97-4990-A1E5-40DBB960F864}</x14:id>
        </ext>
      </extLst>
    </cfRule>
  </conditionalFormatting>
  <conditionalFormatting sqref="J38">
    <cfRule type="dataBar" priority="17">
      <dataBar>
        <cfvo type="num" val="0"/>
        <cfvo type="num" val="3"/>
        <color rgb="FF791F17"/>
      </dataBar>
      <extLst>
        <ext xmlns:x14="http://schemas.microsoft.com/office/spreadsheetml/2009/9/main" uri="{B025F937-C7B1-47D3-B67F-A62EFF666E3E}">
          <x14:id>{E4ACFC2A-F3FC-4314-87B0-14798CEFB8DA}</x14:id>
        </ext>
      </extLst>
    </cfRule>
  </conditionalFormatting>
  <conditionalFormatting sqref="J36">
    <cfRule type="dataBar" priority="18">
      <dataBar>
        <cfvo type="num" val="0"/>
        <cfvo type="num" val="3"/>
        <color rgb="FFBDBF17"/>
      </dataBar>
      <extLst>
        <ext xmlns:x14="http://schemas.microsoft.com/office/spreadsheetml/2009/9/main" uri="{B025F937-C7B1-47D3-B67F-A62EFF666E3E}">
          <x14:id>{C8EED3B1-B4CE-48DA-9B29-3D30AA9CB0A1}</x14:id>
        </ext>
      </extLst>
    </cfRule>
  </conditionalFormatting>
  <conditionalFormatting sqref="D37:F39">
    <cfRule type="dataBar" priority="19">
      <dataBar>
        <cfvo type="num" val="0"/>
        <cfvo type="num" val="1"/>
        <color rgb="FFB75727"/>
      </dataBar>
      <extLst>
        <ext xmlns:x14="http://schemas.microsoft.com/office/spreadsheetml/2009/9/main" uri="{B025F937-C7B1-47D3-B67F-A62EFF666E3E}">
          <x14:id>{58E1CA18-A8F8-4ACB-A744-6B2C51E6AAC3}</x14:id>
        </ext>
      </extLst>
    </cfRule>
  </conditionalFormatting>
  <conditionalFormatting sqref="D46:F48">
    <cfRule type="dataBar" priority="20">
      <dataBar>
        <cfvo type="num" val="0"/>
        <cfvo type="num" val="1"/>
        <color rgb="FF791F17"/>
      </dataBar>
      <extLst>
        <ext xmlns:x14="http://schemas.microsoft.com/office/spreadsheetml/2009/9/main" uri="{B025F937-C7B1-47D3-B67F-A62EFF666E3E}">
          <x14:id>{4390FD71-74D0-45EF-B41F-10BD83E0F072}</x14:id>
        </ext>
      </extLst>
    </cfRule>
  </conditionalFormatting>
  <conditionalFormatting sqref="D43:F45">
    <cfRule type="dataBar" priority="21">
      <dataBar>
        <cfvo type="num" val="0"/>
        <cfvo type="num" val="1"/>
        <color rgb="FF37793E"/>
      </dataBar>
      <extLst>
        <ext xmlns:x14="http://schemas.microsoft.com/office/spreadsheetml/2009/9/main" uri="{B025F937-C7B1-47D3-B67F-A62EFF666E3E}">
          <x14:id>{DD8B4F54-E662-48A3-AF93-63DBA8B276F3}</x14:id>
        </ext>
      </extLst>
    </cfRule>
  </conditionalFormatting>
  <conditionalFormatting sqref="D40:F42">
    <cfRule type="dataBar" priority="22">
      <dataBar>
        <cfvo type="num" val="0"/>
        <cfvo type="num" val="1"/>
        <color rgb="FFBDBF17"/>
      </dataBar>
      <extLst>
        <ext xmlns:x14="http://schemas.microsoft.com/office/spreadsheetml/2009/9/main" uri="{B025F937-C7B1-47D3-B67F-A62EFF666E3E}">
          <x14:id>{506CA5DD-3797-4473-9770-32B92D94138F}</x14:id>
        </ext>
      </extLst>
    </cfRule>
  </conditionalFormatting>
  <conditionalFormatting sqref="D73:F74">
    <cfRule type="dataBar" priority="23">
      <dataBar>
        <cfvo type="num" val="0"/>
        <cfvo type="num" val="1"/>
        <color rgb="FF3290C4"/>
      </dataBar>
      <extLst>
        <ext xmlns:x14="http://schemas.microsoft.com/office/spreadsheetml/2009/9/main" uri="{B025F937-C7B1-47D3-B67F-A62EFF666E3E}">
          <x14:id>{FBBF677A-FE7C-4393-8D30-D8A54868BA9E}</x14:id>
        </ext>
      </extLst>
    </cfRule>
  </conditionalFormatting>
  <conditionalFormatting sqref="D94:F95">
    <cfRule type="dataBar" priority="24">
      <dataBar>
        <cfvo type="num" val="0"/>
        <cfvo type="num" val="1"/>
        <color rgb="FF3290C4"/>
      </dataBar>
      <extLst>
        <ext xmlns:x14="http://schemas.microsoft.com/office/spreadsheetml/2009/9/main" uri="{B025F937-C7B1-47D3-B67F-A62EFF666E3E}">
          <x14:id>{5D50F66F-E064-487B-A182-955B3F47D9AD}</x14:id>
        </ext>
      </extLst>
    </cfRule>
  </conditionalFormatting>
  <conditionalFormatting sqref="J54">
    <cfRule type="dataBar" priority="25">
      <dataBar>
        <cfvo type="num" val="0"/>
        <cfvo type="num" val="3"/>
        <color rgb="FF3290C4"/>
      </dataBar>
      <extLst>
        <ext xmlns:x14="http://schemas.microsoft.com/office/spreadsheetml/2009/9/main" uri="{B025F937-C7B1-47D3-B67F-A62EFF666E3E}">
          <x14:id>{00183AF7-F6C8-47B9-9D1B-9767234F968C}</x14:id>
        </ext>
      </extLst>
    </cfRule>
  </conditionalFormatting>
  <conditionalFormatting sqref="J55">
    <cfRule type="dataBar" priority="26">
      <dataBar>
        <cfvo type="num" val="0"/>
        <cfvo type="num" val="3"/>
        <color rgb="FFB75727"/>
      </dataBar>
      <extLst>
        <ext xmlns:x14="http://schemas.microsoft.com/office/spreadsheetml/2009/9/main" uri="{B025F937-C7B1-47D3-B67F-A62EFF666E3E}">
          <x14:id>{5C9DB62D-485B-487E-98AD-EFDB7099B1D3}</x14:id>
        </ext>
      </extLst>
    </cfRule>
  </conditionalFormatting>
  <conditionalFormatting sqref="J57">
    <cfRule type="dataBar" priority="27">
      <dataBar>
        <cfvo type="num" val="0"/>
        <cfvo type="num" val="3"/>
        <color rgb="FF37793E"/>
      </dataBar>
      <extLst>
        <ext xmlns:x14="http://schemas.microsoft.com/office/spreadsheetml/2009/9/main" uri="{B025F937-C7B1-47D3-B67F-A62EFF666E3E}">
          <x14:id>{287EE318-697A-4EDB-875F-4A1BB4122DC5}</x14:id>
        </ext>
      </extLst>
    </cfRule>
  </conditionalFormatting>
  <conditionalFormatting sqref="J58">
    <cfRule type="dataBar" priority="28">
      <dataBar>
        <cfvo type="num" val="0"/>
        <cfvo type="num" val="3"/>
        <color rgb="FF791F17"/>
      </dataBar>
      <extLst>
        <ext xmlns:x14="http://schemas.microsoft.com/office/spreadsheetml/2009/9/main" uri="{B025F937-C7B1-47D3-B67F-A62EFF666E3E}">
          <x14:id>{D51F14F3-B792-4026-89E1-737F73C82357}</x14:id>
        </ext>
      </extLst>
    </cfRule>
  </conditionalFormatting>
  <conditionalFormatting sqref="J56">
    <cfRule type="dataBar" priority="29">
      <dataBar>
        <cfvo type="num" val="0"/>
        <cfvo type="num" val="3"/>
        <color rgb="FFBDBF17"/>
      </dataBar>
      <extLst>
        <ext xmlns:x14="http://schemas.microsoft.com/office/spreadsheetml/2009/9/main" uri="{B025F937-C7B1-47D3-B67F-A62EFF666E3E}">
          <x14:id>{7ED7D5EB-8974-4BD8-A390-DF8A74554CA7}</x14:id>
        </ext>
      </extLst>
    </cfRule>
  </conditionalFormatting>
  <conditionalFormatting sqref="J73">
    <cfRule type="dataBar" priority="30">
      <dataBar>
        <cfvo type="num" val="0"/>
        <cfvo type="num" val="3"/>
        <color rgb="FF3290C4"/>
      </dataBar>
      <extLst>
        <ext xmlns:x14="http://schemas.microsoft.com/office/spreadsheetml/2009/9/main" uri="{B025F937-C7B1-47D3-B67F-A62EFF666E3E}">
          <x14:id>{1738C9C0-DFD3-4C85-95B1-EF418BAFD7E5}</x14:id>
        </ext>
      </extLst>
    </cfRule>
  </conditionalFormatting>
  <conditionalFormatting sqref="J74">
    <cfRule type="dataBar" priority="31">
      <dataBar>
        <cfvo type="num" val="0"/>
        <cfvo type="num" val="3"/>
        <color rgb="FFB75727"/>
      </dataBar>
      <extLst>
        <ext xmlns:x14="http://schemas.microsoft.com/office/spreadsheetml/2009/9/main" uri="{B025F937-C7B1-47D3-B67F-A62EFF666E3E}">
          <x14:id>{EA807D79-13CF-4CBE-AD42-486B8089C31D}</x14:id>
        </ext>
      </extLst>
    </cfRule>
  </conditionalFormatting>
  <conditionalFormatting sqref="J76">
    <cfRule type="dataBar" priority="32">
      <dataBar>
        <cfvo type="num" val="0"/>
        <cfvo type="num" val="3"/>
        <color rgb="FF37793E"/>
      </dataBar>
      <extLst>
        <ext xmlns:x14="http://schemas.microsoft.com/office/spreadsheetml/2009/9/main" uri="{B025F937-C7B1-47D3-B67F-A62EFF666E3E}">
          <x14:id>{C953F085-7944-4190-9FEB-C010DEBD8835}</x14:id>
        </ext>
      </extLst>
    </cfRule>
  </conditionalFormatting>
  <conditionalFormatting sqref="J77">
    <cfRule type="dataBar" priority="33">
      <dataBar>
        <cfvo type="num" val="0"/>
        <cfvo type="num" val="3"/>
        <color rgb="FF791F17"/>
      </dataBar>
      <extLst>
        <ext xmlns:x14="http://schemas.microsoft.com/office/spreadsheetml/2009/9/main" uri="{B025F937-C7B1-47D3-B67F-A62EFF666E3E}">
          <x14:id>{28CDB074-11DE-49AF-838E-4E81645FC1A9}</x14:id>
        </ext>
      </extLst>
    </cfRule>
  </conditionalFormatting>
  <conditionalFormatting sqref="J75">
    <cfRule type="dataBar" priority="34">
      <dataBar>
        <cfvo type="num" val="0"/>
        <cfvo type="num" val="3"/>
        <color rgb="FFBDBF17"/>
      </dataBar>
      <extLst>
        <ext xmlns:x14="http://schemas.microsoft.com/office/spreadsheetml/2009/9/main" uri="{B025F937-C7B1-47D3-B67F-A62EFF666E3E}">
          <x14:id>{4026AD72-2E2F-42D0-91CF-C0ADEE4FAC22}</x14:id>
        </ext>
      </extLst>
    </cfRule>
  </conditionalFormatting>
  <conditionalFormatting sqref="J94">
    <cfRule type="dataBar" priority="35">
      <dataBar>
        <cfvo type="num" val="0"/>
        <cfvo type="num" val="3"/>
        <color rgb="FF3290C4"/>
      </dataBar>
      <extLst>
        <ext xmlns:x14="http://schemas.microsoft.com/office/spreadsheetml/2009/9/main" uri="{B025F937-C7B1-47D3-B67F-A62EFF666E3E}">
          <x14:id>{1546C013-6BEF-467F-BCE5-E4DBEEA3D511}</x14:id>
        </ext>
      </extLst>
    </cfRule>
  </conditionalFormatting>
  <conditionalFormatting sqref="J95">
    <cfRule type="dataBar" priority="36">
      <dataBar>
        <cfvo type="num" val="0"/>
        <cfvo type="num" val="3"/>
        <color rgb="FFB75727"/>
      </dataBar>
      <extLst>
        <ext xmlns:x14="http://schemas.microsoft.com/office/spreadsheetml/2009/9/main" uri="{B025F937-C7B1-47D3-B67F-A62EFF666E3E}">
          <x14:id>{2FADA929-E48E-48A9-A5C8-44C71B64F0A3}</x14:id>
        </ext>
      </extLst>
    </cfRule>
  </conditionalFormatting>
  <conditionalFormatting sqref="J97">
    <cfRule type="dataBar" priority="37">
      <dataBar>
        <cfvo type="num" val="0"/>
        <cfvo type="num" val="3"/>
        <color rgb="FF37793E"/>
      </dataBar>
      <extLst>
        <ext xmlns:x14="http://schemas.microsoft.com/office/spreadsheetml/2009/9/main" uri="{B025F937-C7B1-47D3-B67F-A62EFF666E3E}">
          <x14:id>{C5835182-9BC8-417E-A556-3CECED7A65BB}</x14:id>
        </ext>
      </extLst>
    </cfRule>
  </conditionalFormatting>
  <conditionalFormatting sqref="J98">
    <cfRule type="dataBar" priority="38">
      <dataBar>
        <cfvo type="num" val="0"/>
        <cfvo type="num" val="3"/>
        <color rgb="FF791F17"/>
      </dataBar>
      <extLst>
        <ext xmlns:x14="http://schemas.microsoft.com/office/spreadsheetml/2009/9/main" uri="{B025F937-C7B1-47D3-B67F-A62EFF666E3E}">
          <x14:id>{697F58C7-5150-4D8C-96BB-5C50D9AE62EC}</x14:id>
        </ext>
      </extLst>
    </cfRule>
  </conditionalFormatting>
  <conditionalFormatting sqref="J96">
    <cfRule type="dataBar" priority="39">
      <dataBar>
        <cfvo type="num" val="0"/>
        <cfvo type="num" val="3"/>
        <color rgb="FFBDBF17"/>
      </dataBar>
      <extLst>
        <ext xmlns:x14="http://schemas.microsoft.com/office/spreadsheetml/2009/9/main" uri="{B025F937-C7B1-47D3-B67F-A62EFF666E3E}">
          <x14:id>{D150BB48-C14E-4790-8116-7AAFADEF2E10}</x14:id>
        </ext>
      </extLst>
    </cfRule>
  </conditionalFormatting>
  <conditionalFormatting sqref="D54:F55">
    <cfRule type="dataBar" priority="40">
      <dataBar>
        <cfvo type="num" val="0"/>
        <cfvo type="num" val="1"/>
        <color rgb="FF3290C4"/>
      </dataBar>
      <extLst>
        <ext xmlns:x14="http://schemas.microsoft.com/office/spreadsheetml/2009/9/main" uri="{B025F937-C7B1-47D3-B67F-A62EFF666E3E}">
          <x14:id>{DA2CFEF8-EA8A-4180-A91F-C2A55B6CD34E}</x14:id>
        </ext>
      </extLst>
    </cfRule>
  </conditionalFormatting>
  <conditionalFormatting sqref="D57:F59">
    <cfRule type="dataBar" priority="41">
      <dataBar>
        <cfvo type="num" val="0"/>
        <cfvo type="num" val="1"/>
        <color rgb="FFB75727"/>
      </dataBar>
      <extLst>
        <ext xmlns:x14="http://schemas.microsoft.com/office/spreadsheetml/2009/9/main" uri="{B025F937-C7B1-47D3-B67F-A62EFF666E3E}">
          <x14:id>{D1BD84AB-C910-4E58-B3E8-30F3135657E1}</x14:id>
        </ext>
      </extLst>
    </cfRule>
  </conditionalFormatting>
  <conditionalFormatting sqref="D60:F62">
    <cfRule type="dataBar" priority="42">
      <dataBar>
        <cfvo type="num" val="0"/>
        <cfvo type="num" val="1"/>
        <color rgb="FFBDBF17"/>
      </dataBar>
      <extLst>
        <ext xmlns:x14="http://schemas.microsoft.com/office/spreadsheetml/2009/9/main" uri="{B025F937-C7B1-47D3-B67F-A62EFF666E3E}">
          <x14:id>{BF9C76E8-BE61-4619-ACF6-ECC08B8D95DC}</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{8111ACA1-C06C-4A2C-8512-E6FF97E76368}</x14:id>
        </ext>
      </extLst>
    </cfRule>
  </conditionalFormatting>
  <conditionalFormatting sqref="D75:F75">
    <cfRule type="dataBar" priority="44">
      <dataBar>
        <cfvo type="num" val="0"/>
        <cfvo type="num" val="1"/>
        <color rgb="FF3290C4"/>
      </dataBar>
      <extLst>
        <ext xmlns:x14="http://schemas.microsoft.com/office/spreadsheetml/2009/9/main" uri="{B025F937-C7B1-47D3-B67F-A62EFF666E3E}">
          <x14:id>{1FD8927E-8048-48CF-A367-7EA0F1EF93F4}</x14:id>
        </ext>
      </extLst>
    </cfRule>
  </conditionalFormatting>
  <conditionalFormatting sqref="D76:F76">
    <cfRule type="dataBar" priority="45">
      <dataBar>
        <cfvo type="num" val="0"/>
        <cfvo type="num" val="1"/>
        <color rgb="FFB75727"/>
      </dataBar>
      <extLst>
        <ext xmlns:x14="http://schemas.microsoft.com/office/spreadsheetml/2009/9/main" uri="{B025F937-C7B1-47D3-B67F-A62EFF666E3E}">
          <x14:id>{2F40A767-37D4-49AD-835A-D9FB359A3B75}</x14:id>
        </ext>
      </extLst>
    </cfRule>
  </conditionalFormatting>
  <conditionalFormatting sqref="D77:F77">
    <cfRule type="dataBar" priority="46">
      <dataBar>
        <cfvo type="num" val="0"/>
        <cfvo type="num" val="1"/>
        <color rgb="FFB75727"/>
      </dataBar>
      <extLst>
        <ext xmlns:x14="http://schemas.microsoft.com/office/spreadsheetml/2009/9/main" uri="{B025F937-C7B1-47D3-B67F-A62EFF666E3E}">
          <x14:id>{E9514DEB-B255-4327-AF80-D8E77F65D3C5}</x14:id>
        </ext>
      </extLst>
    </cfRule>
  </conditionalFormatting>
  <conditionalFormatting sqref="D78:F78">
    <cfRule type="dataBar" priority="47">
      <dataBar>
        <cfvo type="num" val="0"/>
        <cfvo type="num" val="1"/>
        <color rgb="FFB75727"/>
      </dataBar>
      <extLst>
        <ext xmlns:x14="http://schemas.microsoft.com/office/spreadsheetml/2009/9/main" uri="{B025F937-C7B1-47D3-B67F-A62EFF666E3E}">
          <x14:id>{FC18F82F-9C5D-4D29-9799-10EC392C1C6E}</x14:id>
        </ext>
      </extLst>
    </cfRule>
  </conditionalFormatting>
  <conditionalFormatting sqref="D79:F79">
    <cfRule type="dataBar" priority="48">
      <dataBar>
        <cfvo type="num" val="0"/>
        <cfvo type="num" val="1"/>
        <color rgb="FFBDBF17"/>
      </dataBar>
      <extLst>
        <ext xmlns:x14="http://schemas.microsoft.com/office/spreadsheetml/2009/9/main" uri="{B025F937-C7B1-47D3-B67F-A62EFF666E3E}">
          <x14:id>{E09BF04B-5981-4213-8ED2-9C63EF5948CC}</x14:id>
        </ext>
      </extLst>
    </cfRule>
  </conditionalFormatting>
  <conditionalFormatting sqref="D80:F80">
    <cfRule type="dataBar" priority="49">
      <dataBar>
        <cfvo type="num" val="0"/>
        <cfvo type="num" val="1"/>
        <color rgb="FFBDBF17"/>
      </dataBar>
      <extLst>
        <ext xmlns:x14="http://schemas.microsoft.com/office/spreadsheetml/2009/9/main" uri="{B025F937-C7B1-47D3-B67F-A62EFF666E3E}">
          <x14:id>{B13BF263-AD17-4A69-8C85-531036E7F35E}</x14:id>
        </ext>
      </extLst>
    </cfRule>
  </conditionalFormatting>
  <conditionalFormatting sqref="D81:F81">
    <cfRule type="dataBar" priority="50">
      <dataBar>
        <cfvo type="num" val="0"/>
        <cfvo type="num" val="1"/>
        <color rgb="FFBDBF17"/>
      </dataBar>
      <extLst>
        <ext xmlns:x14="http://schemas.microsoft.com/office/spreadsheetml/2009/9/main" uri="{B025F937-C7B1-47D3-B67F-A62EFF666E3E}">
          <x14:id>{A5F61D43-802D-48CA-B171-F640B8ABE34F}</x14:id>
        </ext>
      </extLst>
    </cfRule>
  </conditionalFormatting>
  <conditionalFormatting sqref="D82:F82">
    <cfRule type="dataBar" priority="51">
      <dataBar>
        <cfvo type="num" val="0"/>
        <cfvo type="num" val="1"/>
        <color rgb="FF37793E"/>
      </dataBar>
      <extLst>
        <ext xmlns:x14="http://schemas.microsoft.com/office/spreadsheetml/2009/9/main" uri="{B025F937-C7B1-47D3-B67F-A62EFF666E3E}">
          <x14:id>{4AAAAB94-BDD0-46BA-9973-E1CC11EF87D5}</x14:id>
        </ext>
      </extLst>
    </cfRule>
  </conditionalFormatting>
  <conditionalFormatting sqref="D83:F83">
    <cfRule type="dataBar" priority="52">
      <dataBar>
        <cfvo type="num" val="0"/>
        <cfvo type="num" val="1"/>
        <color rgb="FF37793E"/>
      </dataBar>
      <extLst>
        <ext xmlns:x14="http://schemas.microsoft.com/office/spreadsheetml/2009/9/main" uri="{B025F937-C7B1-47D3-B67F-A62EFF666E3E}">
          <x14:id>{E16DF18E-6B60-41EA-9AC5-17FE3FFC5ED8}</x14:id>
        </ext>
      </extLst>
    </cfRule>
  </conditionalFormatting>
  <conditionalFormatting sqref="D84:F84">
    <cfRule type="dataBar" priority="53">
      <dataBar>
        <cfvo type="num" val="0"/>
        <cfvo type="num" val="1"/>
        <color rgb="FF37793E"/>
      </dataBar>
      <extLst>
        <ext xmlns:x14="http://schemas.microsoft.com/office/spreadsheetml/2009/9/main" uri="{B025F937-C7B1-47D3-B67F-A62EFF666E3E}">
          <x14:id>{B7CFB9BD-DC53-4A6C-9AA8-59C55EBF6B8A}</x14:id>
        </ext>
      </extLst>
    </cfRule>
  </conditionalFormatting>
  <conditionalFormatting sqref="D85:F85">
    <cfRule type="dataBar" priority="54">
      <dataBar>
        <cfvo type="num" val="0"/>
        <cfvo type="num" val="1"/>
        <color rgb="FF791F17"/>
      </dataBar>
      <extLst>
        <ext xmlns:x14="http://schemas.microsoft.com/office/spreadsheetml/2009/9/main" uri="{B025F937-C7B1-47D3-B67F-A62EFF666E3E}">
          <x14:id>{82B2842B-741A-453A-9584-458CE8191877}</x14:id>
        </ext>
      </extLst>
    </cfRule>
  </conditionalFormatting>
  <conditionalFormatting sqref="D86:F86">
    <cfRule type="dataBar" priority="55">
      <dataBar>
        <cfvo type="num" val="0"/>
        <cfvo type="num" val="1"/>
        <color rgb="FF791F17"/>
      </dataBar>
      <extLst>
        <ext xmlns:x14="http://schemas.microsoft.com/office/spreadsheetml/2009/9/main" uri="{B025F937-C7B1-47D3-B67F-A62EFF666E3E}">
          <x14:id>{7FC838F0-2E31-46CC-8A64-427339DEE5B1}</x14:id>
        </ext>
      </extLst>
    </cfRule>
  </conditionalFormatting>
  <conditionalFormatting sqref="D87:F87">
    <cfRule type="dataBar" priority="56">
      <dataBar>
        <cfvo type="num" val="0"/>
        <cfvo type="num" val="1"/>
        <color rgb="FF791F17"/>
      </dataBar>
      <extLst>
        <ext xmlns:x14="http://schemas.microsoft.com/office/spreadsheetml/2009/9/main" uri="{B025F937-C7B1-47D3-B67F-A62EFF666E3E}">
          <x14:id>{3F8212C9-67A7-4A80-8A32-4F8128F8B438}</x14:id>
        </ext>
      </extLst>
    </cfRule>
  </conditionalFormatting>
  <conditionalFormatting sqref="D63:F63">
    <cfRule type="dataBar" priority="57">
      <dataBar>
        <cfvo type="num" val="0"/>
        <cfvo type="num" val="1"/>
        <color rgb="FF37793E"/>
      </dataBar>
      <extLst>
        <ext xmlns:x14="http://schemas.microsoft.com/office/spreadsheetml/2009/9/main" uri="{B025F937-C7B1-47D3-B67F-A62EFF666E3E}">
          <x14:id>{F4BB5FFF-B981-4CC5-9215-561133A9DDA0}</x14:id>
        </ext>
      </extLst>
    </cfRule>
  </conditionalFormatting>
  <conditionalFormatting sqref="D64:F64">
    <cfRule type="dataBar" priority="58">
      <dataBar>
        <cfvo type="num" val="0"/>
        <cfvo type="num" val="1"/>
        <color rgb="FF37793E"/>
      </dataBar>
      <extLst>
        <ext xmlns:x14="http://schemas.microsoft.com/office/spreadsheetml/2009/9/main" uri="{B025F937-C7B1-47D3-B67F-A62EFF666E3E}">
          <x14:id>{F2E2253B-187E-4B40-91AF-5789EEDD3C86}</x14:id>
        </ext>
      </extLst>
    </cfRule>
  </conditionalFormatting>
  <conditionalFormatting sqref="D65:F65">
    <cfRule type="dataBar" priority="59">
      <dataBar>
        <cfvo type="num" val="0"/>
        <cfvo type="num" val="1"/>
        <color rgb="FF37793E"/>
      </dataBar>
      <extLst>
        <ext xmlns:x14="http://schemas.microsoft.com/office/spreadsheetml/2009/9/main" uri="{B025F937-C7B1-47D3-B67F-A62EFF666E3E}">
          <x14:id>{2C3AC81E-2520-4CEA-9B48-55642FA73E29}</x14:id>
        </ext>
      </extLst>
    </cfRule>
  </conditionalFormatting>
  <conditionalFormatting sqref="D66:F66">
    <cfRule type="dataBar" priority="60">
      <dataBar>
        <cfvo type="num" val="0"/>
        <cfvo type="num" val="1"/>
        <color rgb="FF791F17"/>
      </dataBar>
      <extLst>
        <ext xmlns:x14="http://schemas.microsoft.com/office/spreadsheetml/2009/9/main" uri="{B025F937-C7B1-47D3-B67F-A62EFF666E3E}">
          <x14:id>{B49B4361-F7BC-42A4-AC29-3FCA81D4D05E}</x14:id>
        </ext>
      </extLst>
    </cfRule>
  </conditionalFormatting>
  <conditionalFormatting sqref="D67:F67">
    <cfRule type="dataBar" priority="61">
      <dataBar>
        <cfvo type="num" val="0"/>
        <cfvo type="num" val="1"/>
        <color rgb="FF791F17"/>
      </dataBar>
      <extLst>
        <ext xmlns:x14="http://schemas.microsoft.com/office/spreadsheetml/2009/9/main" uri="{B025F937-C7B1-47D3-B67F-A62EFF666E3E}">
          <x14:id>{E1405EEE-C6C3-4973-932E-CC8DEC5D25D1}</x14:id>
        </ext>
      </extLst>
    </cfRule>
  </conditionalFormatting>
  <conditionalFormatting sqref="D68:F68">
    <cfRule type="dataBar" priority="62">
      <dataBar>
        <cfvo type="num" val="0"/>
        <cfvo type="num" val="1"/>
        <color rgb="FF791F17"/>
      </dataBar>
      <extLst>
        <ext xmlns:x14="http://schemas.microsoft.com/office/spreadsheetml/2009/9/main" uri="{B025F937-C7B1-47D3-B67F-A62EFF666E3E}">
          <x14:id>{7CC88C22-1150-46D6-9EA7-48DE74435A56}</x14:id>
        </ext>
      </extLst>
    </cfRule>
  </conditionalFormatting>
  <conditionalFormatting sqref="D96:F96">
    <cfRule type="dataBar" priority="63">
      <dataBar>
        <cfvo type="num" val="0"/>
        <cfvo type="num" val="1"/>
        <color rgb="FF3290C4"/>
      </dataBar>
      <extLst>
        <ext xmlns:x14="http://schemas.microsoft.com/office/spreadsheetml/2009/9/main" uri="{B025F937-C7B1-47D3-B67F-A62EFF666E3E}">
          <x14:id>{D3D71600-FE6E-4A2E-9710-E4D08F2A1DF0}</x14:id>
        </ext>
      </extLst>
    </cfRule>
  </conditionalFormatting>
  <conditionalFormatting sqref="D97:F97">
    <cfRule type="dataBar" priority="64">
      <dataBar>
        <cfvo type="num" val="0"/>
        <cfvo type="num" val="1"/>
        <color rgb="FFB75727"/>
      </dataBar>
      <extLst>
        <ext xmlns:x14="http://schemas.microsoft.com/office/spreadsheetml/2009/9/main" uri="{B025F937-C7B1-47D3-B67F-A62EFF666E3E}">
          <x14:id>{9733B117-9898-48BE-B4F0-E990E3151F72}</x14:id>
        </ext>
      </extLst>
    </cfRule>
  </conditionalFormatting>
  <conditionalFormatting sqref="D98:F98">
    <cfRule type="dataBar" priority="65">
      <dataBar>
        <cfvo type="num" val="0"/>
        <cfvo type="num" val="1"/>
        <color rgb="FFB75727"/>
      </dataBar>
      <extLst>
        <ext xmlns:x14="http://schemas.microsoft.com/office/spreadsheetml/2009/9/main" uri="{B025F937-C7B1-47D3-B67F-A62EFF666E3E}">
          <x14:id>{2015CC79-989D-4860-8A5C-14FD9C1B4E88}</x14:id>
        </ext>
      </extLst>
    </cfRule>
  </conditionalFormatting>
  <conditionalFormatting sqref="D99:F99">
    <cfRule type="dataBar" priority="66">
      <dataBar>
        <cfvo type="num" val="0"/>
        <cfvo type="num" val="1"/>
        <color rgb="FFB75727"/>
      </dataBar>
      <extLst>
        <ext xmlns:x14="http://schemas.microsoft.com/office/spreadsheetml/2009/9/main" uri="{B025F937-C7B1-47D3-B67F-A62EFF666E3E}">
          <x14:id>{DCDA6377-D584-47B5-AE94-C06AC4637DA6}</x14:id>
        </ext>
      </extLst>
    </cfRule>
  </conditionalFormatting>
  <conditionalFormatting sqref="D100:F100">
    <cfRule type="dataBar" priority="67">
      <dataBar>
        <cfvo type="num" val="0"/>
        <cfvo type="num" val="1"/>
        <color rgb="FFBDBF17"/>
      </dataBar>
      <extLst>
        <ext xmlns:x14="http://schemas.microsoft.com/office/spreadsheetml/2009/9/main" uri="{B025F937-C7B1-47D3-B67F-A62EFF666E3E}">
          <x14:id>{E1D0DA82-4770-4A00-90F4-C0A020987A89}</x14:id>
        </ext>
      </extLst>
    </cfRule>
  </conditionalFormatting>
  <conditionalFormatting sqref="D101:F101">
    <cfRule type="dataBar" priority="68">
      <dataBar>
        <cfvo type="num" val="0"/>
        <cfvo type="num" val="1"/>
        <color rgb="FFBDBF17"/>
      </dataBar>
      <extLst>
        <ext xmlns:x14="http://schemas.microsoft.com/office/spreadsheetml/2009/9/main" uri="{B025F937-C7B1-47D3-B67F-A62EFF666E3E}">
          <x14:id>{425952B6-28C6-4A9E-B9E5-95B9DEE33600}</x14:id>
        </ext>
      </extLst>
    </cfRule>
  </conditionalFormatting>
  <conditionalFormatting sqref="D102:F102">
    <cfRule type="dataBar" priority="69">
      <dataBar>
        <cfvo type="num" val="0"/>
        <cfvo type="num" val="1"/>
        <color rgb="FFBDBF17"/>
      </dataBar>
      <extLst>
        <ext xmlns:x14="http://schemas.microsoft.com/office/spreadsheetml/2009/9/main" uri="{B025F937-C7B1-47D3-B67F-A62EFF666E3E}">
          <x14:id>{23DCD5ED-B961-4119-8534-CC10C1C0BA70}</x14:id>
        </ext>
      </extLst>
    </cfRule>
  </conditionalFormatting>
  <conditionalFormatting sqref="D103:F103">
    <cfRule type="dataBar" priority="70">
      <dataBar>
        <cfvo type="num" val="0"/>
        <cfvo type="num" val="1"/>
        <color rgb="FF37793E"/>
      </dataBar>
      <extLst>
        <ext xmlns:x14="http://schemas.microsoft.com/office/spreadsheetml/2009/9/main" uri="{B025F937-C7B1-47D3-B67F-A62EFF666E3E}">
          <x14:id>{5AC74CB0-402B-4230-869D-DCBF604F10E2}</x14:id>
        </ext>
      </extLst>
    </cfRule>
  </conditionalFormatting>
  <conditionalFormatting sqref="D104:F104">
    <cfRule type="dataBar" priority="71">
      <dataBar>
        <cfvo type="num" val="0"/>
        <cfvo type="num" val="1"/>
        <color rgb="FF37793E"/>
      </dataBar>
      <extLst>
        <ext xmlns:x14="http://schemas.microsoft.com/office/spreadsheetml/2009/9/main" uri="{B025F937-C7B1-47D3-B67F-A62EFF666E3E}">
          <x14:id>{55BAC096-4CD6-483A-89D0-AF89CFA053FA}</x14:id>
        </ext>
      </extLst>
    </cfRule>
  </conditionalFormatting>
  <conditionalFormatting sqref="D105:F105">
    <cfRule type="dataBar" priority="72">
      <dataBar>
        <cfvo type="num" val="0"/>
        <cfvo type="num" val="1"/>
        <color rgb="FF37793E"/>
      </dataBar>
      <extLst>
        <ext xmlns:x14="http://schemas.microsoft.com/office/spreadsheetml/2009/9/main" uri="{B025F937-C7B1-47D3-B67F-A62EFF666E3E}">
          <x14:id>{BC705738-E756-45AA-BE9B-B0AB267D7828}</x14:id>
        </ext>
      </extLst>
    </cfRule>
  </conditionalFormatting>
  <conditionalFormatting sqref="D106:F106">
    <cfRule type="dataBar" priority="73">
      <dataBar>
        <cfvo type="num" val="0"/>
        <cfvo type="num" val="1"/>
        <color rgb="FF791F17"/>
      </dataBar>
      <extLst>
        <ext xmlns:x14="http://schemas.microsoft.com/office/spreadsheetml/2009/9/main" uri="{B025F937-C7B1-47D3-B67F-A62EFF666E3E}">
          <x14:id>{F140D5AB-47D2-4550-A22C-8B38D0475B69}</x14:id>
        </ext>
      </extLst>
    </cfRule>
  </conditionalFormatting>
  <conditionalFormatting sqref="D107:F107">
    <cfRule type="dataBar" priority="74">
      <dataBar>
        <cfvo type="num" val="0"/>
        <cfvo type="num" val="1"/>
        <color rgb="FF791F17"/>
      </dataBar>
      <extLst>
        <ext xmlns:x14="http://schemas.microsoft.com/office/spreadsheetml/2009/9/main" uri="{B025F937-C7B1-47D3-B67F-A62EFF666E3E}">
          <x14:id>{95409AF3-2021-4F6C-B782-3353AECC4016}</x14:id>
        </ext>
      </extLst>
    </cfRule>
  </conditionalFormatting>
  <conditionalFormatting sqref="D108:F108">
    <cfRule type="dataBar" priority="75">
      <dataBar>
        <cfvo type="num" val="0"/>
        <cfvo type="num" val="1"/>
        <color rgb="FF791F17"/>
      </dataBar>
      <extLst>
        <ext xmlns:x14="http://schemas.microsoft.com/office/spreadsheetml/2009/9/main" uri="{B025F937-C7B1-47D3-B67F-A62EFF666E3E}">
          <x14:id>{F24AB240-2DCA-43D7-B487-D16A29D5BB1F}</x14:id>
        </ext>
      </extLst>
    </cfRule>
  </conditionalFormatting>
  <pageMargins left="0.75" right="0.75" top="1" bottom="1" header="0.51180555555555496" footer="0.51180555555555496"/>
  <pageSetup paperSize="9" scale="10" firstPageNumber="0"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7BB1CFE3-6198-4A2E-9157-C8EFE9505E9E}">
            <x14:dataBar axisPosition="none">
              <x14:cfvo type="num">
                <xm:f>0</xm:f>
              </x14:cfvo>
              <x14:cfvo type="num">
                <xm:f>1</xm:f>
              </x14:cfvo>
              <x14:negativeFillColor rgb="FFFFFFFF"/>
            </x14:dataBar>
          </x14:cfRule>
          <xm:sqref>D14:F16</xm:sqref>
        </x14:conditionalFormatting>
        <x14:conditionalFormatting xmlns:xm="http://schemas.microsoft.com/office/excel/2006/main">
          <x14:cfRule type="dataBar" id="{DDE55C5E-5A94-4AE7-A78E-EC55E1B96370}">
            <x14:dataBar axisPosition="none">
              <x14:cfvo type="num">
                <xm:f>0</xm:f>
              </x14:cfvo>
              <x14:cfvo type="num">
                <xm:f>3</xm:f>
              </x14:cfvo>
              <x14:negativeFillColor rgb="FFFFFFFF"/>
            </x14:dataBar>
          </x14:cfRule>
          <xm:sqref>J14</xm:sqref>
        </x14:conditionalFormatting>
        <x14:conditionalFormatting xmlns:xm="http://schemas.microsoft.com/office/excel/2006/main">
          <x14:cfRule type="dataBar" id="{8B57A348-C0BB-4891-9180-ED7BC850159E}">
            <x14:dataBar axisPosition="none">
              <x14:cfvo type="num">
                <xm:f>0</xm:f>
              </x14:cfvo>
              <x14:cfvo type="num">
                <xm:f>3</xm:f>
              </x14:cfvo>
              <x14:negativeFillColor rgb="FFFFFFFF"/>
            </x14:dataBar>
          </x14:cfRule>
          <xm:sqref>J15</xm:sqref>
        </x14:conditionalFormatting>
        <x14:conditionalFormatting xmlns:xm="http://schemas.microsoft.com/office/excel/2006/main">
          <x14:cfRule type="dataBar" id="{5FC023E9-7090-4874-8363-BBACAB90CC14}">
            <x14:dataBar axisPosition="none">
              <x14:cfvo type="num">
                <xm:f>0</xm:f>
              </x14:cfvo>
              <x14:cfvo type="num">
                <xm:f>3</xm:f>
              </x14:cfvo>
              <x14:negativeFillColor rgb="FFFFFFFF"/>
            </x14:dataBar>
          </x14:cfRule>
          <xm:sqref>J17</xm:sqref>
        </x14:conditionalFormatting>
        <x14:conditionalFormatting xmlns:xm="http://schemas.microsoft.com/office/excel/2006/main">
          <x14:cfRule type="dataBar" id="{E894FA4A-BB84-4FFB-A737-1DC490835F93}">
            <x14:dataBar axisPosition="none">
              <x14:cfvo type="num">
                <xm:f>0</xm:f>
              </x14:cfvo>
              <x14:cfvo type="num">
                <xm:f>3</xm:f>
              </x14:cfvo>
              <x14:negativeFillColor rgb="FFFFFFFF"/>
            </x14:dataBar>
          </x14:cfRule>
          <xm:sqref>J18</xm:sqref>
        </x14:conditionalFormatting>
        <x14:conditionalFormatting xmlns:xm="http://schemas.microsoft.com/office/excel/2006/main">
          <x14:cfRule type="dataBar" id="{B0302184-B9E2-4423-9251-E0DD37B5399F}">
            <x14:dataBar axisPosition="none">
              <x14:cfvo type="num">
                <xm:f>0</xm:f>
              </x14:cfvo>
              <x14:cfvo type="num">
                <xm:f>3</xm:f>
              </x14:cfvo>
              <x14:negativeFillColor rgb="FFFFFFFF"/>
            </x14:dataBar>
          </x14:cfRule>
          <xm:sqref>J16</xm:sqref>
        </x14:conditionalFormatting>
        <x14:conditionalFormatting xmlns:xm="http://schemas.microsoft.com/office/excel/2006/main">
          <x14:cfRule type="dataBar" id="{21F04CAE-8A30-4FFB-8EA3-E2ADE39C6160}">
            <x14:dataBar axisPosition="none">
              <x14:cfvo type="num">
                <xm:f>0</xm:f>
              </x14:cfvo>
              <x14:cfvo type="num">
                <xm:f>1</xm:f>
              </x14:cfvo>
              <x14:negativeFillColor rgb="FFFFFFFF"/>
            </x14:dataBar>
          </x14:cfRule>
          <xm:sqref>D17:F19</xm:sqref>
        </x14:conditionalFormatting>
        <x14:conditionalFormatting xmlns:xm="http://schemas.microsoft.com/office/excel/2006/main">
          <x14:cfRule type="dataBar" id="{56C06999-3251-4064-B9A5-E0E69B2C2B67}">
            <x14:dataBar axisPosition="none">
              <x14:cfvo type="num">
                <xm:f>0</xm:f>
              </x14:cfvo>
              <x14:cfvo type="num">
                <xm:f>1</xm:f>
              </x14:cfvo>
              <x14:negativeFillColor rgb="FFFFFFFF"/>
            </x14:dataBar>
          </x14:cfRule>
          <xm:sqref>D20:F22</xm:sqref>
        </x14:conditionalFormatting>
        <x14:conditionalFormatting xmlns:xm="http://schemas.microsoft.com/office/excel/2006/main">
          <x14:cfRule type="dataBar" id="{2BA936D9-5080-43B0-99D9-FB8BF8B8379E}">
            <x14:dataBar axisPosition="none">
              <x14:cfvo type="num">
                <xm:f>0</xm:f>
              </x14:cfvo>
              <x14:cfvo type="num">
                <xm:f>1</xm:f>
              </x14:cfvo>
              <x14:negativeFillColor rgb="FFFFFFFF"/>
            </x14:dataBar>
          </x14:cfRule>
          <xm:sqref>D23:F25</xm:sqref>
        </x14:conditionalFormatting>
        <x14:conditionalFormatting xmlns:xm="http://schemas.microsoft.com/office/excel/2006/main">
          <x14:cfRule type="dataBar" id="{B43046FB-C4CD-428F-A100-E0E967F3DC58}">
            <x14:dataBar axisPosition="none">
              <x14:cfvo type="num">
                <xm:f>0</xm:f>
              </x14:cfvo>
              <x14:cfvo type="num">
                <xm:f>1</xm:f>
              </x14:cfvo>
              <x14:negativeFillColor rgb="FFFFFFFF"/>
            </x14:dataBar>
          </x14:cfRule>
          <xm:sqref>D26:F28</xm:sqref>
        </x14:conditionalFormatting>
        <x14:conditionalFormatting xmlns:xm="http://schemas.microsoft.com/office/excel/2006/main">
          <x14:cfRule type="dataBar" id="{27936849-7817-4C2E-AF63-A16F1F897D8A}">
            <x14:dataBar axisPosition="none">
              <x14:cfvo type="num">
                <xm:f>0</xm:f>
              </x14:cfvo>
              <x14:cfvo type="num">
                <xm:f>1</xm:f>
              </x14:cfvo>
              <x14:negativeFillColor rgb="FFFFFFFF"/>
            </x14:dataBar>
          </x14:cfRule>
          <xm:sqref>D34:F35</xm:sqref>
        </x14:conditionalFormatting>
        <x14:conditionalFormatting xmlns:xm="http://schemas.microsoft.com/office/excel/2006/main">
          <x14:cfRule type="dataBar" id="{E07D80AD-7642-40C1-9950-90CFEFA8FC21}">
            <x14:dataBar axisPosition="none">
              <x14:cfvo type="num">
                <xm:f>0</xm:f>
              </x14:cfvo>
              <x14:cfvo type="num">
                <xm:f>1</xm:f>
              </x14:cfvo>
              <x14:negativeFillColor rgb="FFFFFFFF"/>
            </x14:dataBar>
          </x14:cfRule>
          <xm:sqref>D36:F36</xm:sqref>
        </x14:conditionalFormatting>
        <x14:conditionalFormatting xmlns:xm="http://schemas.microsoft.com/office/excel/2006/main">
          <x14:cfRule type="dataBar" id="{C529B240-C8D0-466D-9ED6-74125695B5AF}">
            <x14:dataBar axisPosition="none">
              <x14:cfvo type="num">
                <xm:f>0</xm:f>
              </x14:cfvo>
              <x14:cfvo type="num">
                <xm:f>3</xm:f>
              </x14:cfvo>
              <x14:negativeFillColor rgb="FFFFFFFF"/>
            </x14:dataBar>
          </x14:cfRule>
          <xm:sqref>J34</xm:sqref>
        </x14:conditionalFormatting>
        <x14:conditionalFormatting xmlns:xm="http://schemas.microsoft.com/office/excel/2006/main">
          <x14:cfRule type="dataBar" id="{D14AB162-1A25-4736-901F-6076C0247360}">
            <x14:dataBar axisPosition="none">
              <x14:cfvo type="num">
                <xm:f>0</xm:f>
              </x14:cfvo>
              <x14:cfvo type="num">
                <xm:f>3</xm:f>
              </x14:cfvo>
              <x14:negativeFillColor rgb="FFFFFFFF"/>
            </x14:dataBar>
          </x14:cfRule>
          <xm:sqref>J35</xm:sqref>
        </x14:conditionalFormatting>
        <x14:conditionalFormatting xmlns:xm="http://schemas.microsoft.com/office/excel/2006/main">
          <x14:cfRule type="dataBar" id="{A431A98D-6E97-4990-A1E5-40DBB960F864}">
            <x14:dataBar axisPosition="none">
              <x14:cfvo type="num">
                <xm:f>0</xm:f>
              </x14:cfvo>
              <x14:cfvo type="num">
                <xm:f>3</xm:f>
              </x14:cfvo>
              <x14:negativeFillColor rgb="FFFFFFFF"/>
            </x14:dataBar>
          </x14:cfRule>
          <xm:sqref>J37</xm:sqref>
        </x14:conditionalFormatting>
        <x14:conditionalFormatting xmlns:xm="http://schemas.microsoft.com/office/excel/2006/main">
          <x14:cfRule type="dataBar" id="{E4ACFC2A-F3FC-4314-87B0-14798CEFB8DA}">
            <x14:dataBar axisPosition="none">
              <x14:cfvo type="num">
                <xm:f>0</xm:f>
              </x14:cfvo>
              <x14:cfvo type="num">
                <xm:f>3</xm:f>
              </x14:cfvo>
              <x14:negativeFillColor rgb="FFFFFFFF"/>
            </x14:dataBar>
          </x14:cfRule>
          <xm:sqref>J38</xm:sqref>
        </x14:conditionalFormatting>
        <x14:conditionalFormatting xmlns:xm="http://schemas.microsoft.com/office/excel/2006/main">
          <x14:cfRule type="dataBar" id="{C8EED3B1-B4CE-48DA-9B29-3D30AA9CB0A1}">
            <x14:dataBar axisPosition="none">
              <x14:cfvo type="num">
                <xm:f>0</xm:f>
              </x14:cfvo>
              <x14:cfvo type="num">
                <xm:f>3</xm:f>
              </x14:cfvo>
              <x14:negativeFillColor rgb="FFFFFFFF"/>
            </x14:dataBar>
          </x14:cfRule>
          <xm:sqref>J36</xm:sqref>
        </x14:conditionalFormatting>
        <x14:conditionalFormatting xmlns:xm="http://schemas.microsoft.com/office/excel/2006/main">
          <x14:cfRule type="dataBar" id="{58E1CA18-A8F8-4ACB-A744-6B2C51E6AAC3}">
            <x14:dataBar axisPosition="none">
              <x14:cfvo type="num">
                <xm:f>0</xm:f>
              </x14:cfvo>
              <x14:cfvo type="num">
                <xm:f>1</xm:f>
              </x14:cfvo>
              <x14:negativeFillColor rgb="FFFFFFFF"/>
            </x14:dataBar>
          </x14:cfRule>
          <xm:sqref>D37:F39</xm:sqref>
        </x14:conditionalFormatting>
        <x14:conditionalFormatting xmlns:xm="http://schemas.microsoft.com/office/excel/2006/main">
          <x14:cfRule type="dataBar" id="{4390FD71-74D0-45EF-B41F-10BD83E0F072}">
            <x14:dataBar axisPosition="none">
              <x14:cfvo type="num">
                <xm:f>0</xm:f>
              </x14:cfvo>
              <x14:cfvo type="num">
                <xm:f>1</xm:f>
              </x14:cfvo>
              <x14:negativeFillColor rgb="FFFFFFFF"/>
            </x14:dataBar>
          </x14:cfRule>
          <xm:sqref>D46:F48</xm:sqref>
        </x14:conditionalFormatting>
        <x14:conditionalFormatting xmlns:xm="http://schemas.microsoft.com/office/excel/2006/main">
          <x14:cfRule type="dataBar" id="{DD8B4F54-E662-48A3-AF93-63DBA8B276F3}">
            <x14:dataBar axisPosition="none">
              <x14:cfvo type="num">
                <xm:f>0</xm:f>
              </x14:cfvo>
              <x14:cfvo type="num">
                <xm:f>1</xm:f>
              </x14:cfvo>
              <x14:negativeFillColor rgb="FFFFFFFF"/>
            </x14:dataBar>
          </x14:cfRule>
          <xm:sqref>D43:F45</xm:sqref>
        </x14:conditionalFormatting>
        <x14:conditionalFormatting xmlns:xm="http://schemas.microsoft.com/office/excel/2006/main">
          <x14:cfRule type="dataBar" id="{506CA5DD-3797-4473-9770-32B92D94138F}">
            <x14:dataBar axisPosition="none">
              <x14:cfvo type="num">
                <xm:f>0</xm:f>
              </x14:cfvo>
              <x14:cfvo type="num">
                <xm:f>1</xm:f>
              </x14:cfvo>
              <x14:negativeFillColor rgb="FFFFFFFF"/>
            </x14:dataBar>
          </x14:cfRule>
          <xm:sqref>D40:F42</xm:sqref>
        </x14:conditionalFormatting>
        <x14:conditionalFormatting xmlns:xm="http://schemas.microsoft.com/office/excel/2006/main">
          <x14:cfRule type="dataBar" id="{FBBF677A-FE7C-4393-8D30-D8A54868BA9E}">
            <x14:dataBar axisPosition="none">
              <x14:cfvo type="num">
                <xm:f>0</xm:f>
              </x14:cfvo>
              <x14:cfvo type="num">
                <xm:f>1</xm:f>
              </x14:cfvo>
              <x14:negativeFillColor rgb="FFFFFFFF"/>
            </x14:dataBar>
          </x14:cfRule>
          <xm:sqref>D73:F74</xm:sqref>
        </x14:conditionalFormatting>
        <x14:conditionalFormatting xmlns:xm="http://schemas.microsoft.com/office/excel/2006/main">
          <x14:cfRule type="dataBar" id="{5D50F66F-E064-487B-A182-955B3F47D9AD}">
            <x14:dataBar axisPosition="none">
              <x14:cfvo type="num">
                <xm:f>0</xm:f>
              </x14:cfvo>
              <x14:cfvo type="num">
                <xm:f>1</xm:f>
              </x14:cfvo>
              <x14:negativeFillColor rgb="FFFFFFFF"/>
            </x14:dataBar>
          </x14:cfRule>
          <xm:sqref>D94:F95</xm:sqref>
        </x14:conditionalFormatting>
        <x14:conditionalFormatting xmlns:xm="http://schemas.microsoft.com/office/excel/2006/main">
          <x14:cfRule type="dataBar" id="{00183AF7-F6C8-47B9-9D1B-9767234F968C}">
            <x14:dataBar axisPosition="none">
              <x14:cfvo type="num">
                <xm:f>0</xm:f>
              </x14:cfvo>
              <x14:cfvo type="num">
                <xm:f>3</xm:f>
              </x14:cfvo>
              <x14:negativeFillColor rgb="FFFFFFFF"/>
            </x14:dataBar>
          </x14:cfRule>
          <xm:sqref>J54</xm:sqref>
        </x14:conditionalFormatting>
        <x14:conditionalFormatting xmlns:xm="http://schemas.microsoft.com/office/excel/2006/main">
          <x14:cfRule type="dataBar" id="{5C9DB62D-485B-487E-98AD-EFDB7099B1D3}">
            <x14:dataBar axisPosition="none">
              <x14:cfvo type="num">
                <xm:f>0</xm:f>
              </x14:cfvo>
              <x14:cfvo type="num">
                <xm:f>3</xm:f>
              </x14:cfvo>
              <x14:negativeFillColor rgb="FFFFFFFF"/>
            </x14:dataBar>
          </x14:cfRule>
          <xm:sqref>J55</xm:sqref>
        </x14:conditionalFormatting>
        <x14:conditionalFormatting xmlns:xm="http://schemas.microsoft.com/office/excel/2006/main">
          <x14:cfRule type="dataBar" id="{287EE318-697A-4EDB-875F-4A1BB4122DC5}">
            <x14:dataBar axisPosition="none">
              <x14:cfvo type="num">
                <xm:f>0</xm:f>
              </x14:cfvo>
              <x14:cfvo type="num">
                <xm:f>3</xm:f>
              </x14:cfvo>
              <x14:negativeFillColor rgb="FFFFFFFF"/>
            </x14:dataBar>
          </x14:cfRule>
          <xm:sqref>J57</xm:sqref>
        </x14:conditionalFormatting>
        <x14:conditionalFormatting xmlns:xm="http://schemas.microsoft.com/office/excel/2006/main">
          <x14:cfRule type="dataBar" id="{D51F14F3-B792-4026-89E1-737F73C82357}">
            <x14:dataBar axisPosition="none">
              <x14:cfvo type="num">
                <xm:f>0</xm:f>
              </x14:cfvo>
              <x14:cfvo type="num">
                <xm:f>3</xm:f>
              </x14:cfvo>
              <x14:negativeFillColor rgb="FFFFFFFF"/>
            </x14:dataBar>
          </x14:cfRule>
          <xm:sqref>J58</xm:sqref>
        </x14:conditionalFormatting>
        <x14:conditionalFormatting xmlns:xm="http://schemas.microsoft.com/office/excel/2006/main">
          <x14:cfRule type="dataBar" id="{7ED7D5EB-8974-4BD8-A390-DF8A74554CA7}">
            <x14:dataBar axisPosition="none">
              <x14:cfvo type="num">
                <xm:f>0</xm:f>
              </x14:cfvo>
              <x14:cfvo type="num">
                <xm:f>3</xm:f>
              </x14:cfvo>
              <x14:negativeFillColor rgb="FFFFFFFF"/>
            </x14:dataBar>
          </x14:cfRule>
          <xm:sqref>J56</xm:sqref>
        </x14:conditionalFormatting>
        <x14:conditionalFormatting xmlns:xm="http://schemas.microsoft.com/office/excel/2006/main">
          <x14:cfRule type="dataBar" id="{1738C9C0-DFD3-4C85-95B1-EF418BAFD7E5}">
            <x14:dataBar axisPosition="none">
              <x14:cfvo type="num">
                <xm:f>0</xm:f>
              </x14:cfvo>
              <x14:cfvo type="num">
                <xm:f>3</xm:f>
              </x14:cfvo>
              <x14:negativeFillColor rgb="FFFFFFFF"/>
            </x14:dataBar>
          </x14:cfRule>
          <xm:sqref>J73</xm:sqref>
        </x14:conditionalFormatting>
        <x14:conditionalFormatting xmlns:xm="http://schemas.microsoft.com/office/excel/2006/main">
          <x14:cfRule type="dataBar" id="{EA807D79-13CF-4CBE-AD42-486B8089C31D}">
            <x14:dataBar axisPosition="none">
              <x14:cfvo type="num">
                <xm:f>0</xm:f>
              </x14:cfvo>
              <x14:cfvo type="num">
                <xm:f>3</xm:f>
              </x14:cfvo>
              <x14:negativeFillColor rgb="FFFFFFFF"/>
            </x14:dataBar>
          </x14:cfRule>
          <xm:sqref>J74</xm:sqref>
        </x14:conditionalFormatting>
        <x14:conditionalFormatting xmlns:xm="http://schemas.microsoft.com/office/excel/2006/main">
          <x14:cfRule type="dataBar" id="{C953F085-7944-4190-9FEB-C010DEBD8835}">
            <x14:dataBar axisPosition="none">
              <x14:cfvo type="num">
                <xm:f>0</xm:f>
              </x14:cfvo>
              <x14:cfvo type="num">
                <xm:f>3</xm:f>
              </x14:cfvo>
              <x14:negativeFillColor rgb="FFFFFFFF"/>
            </x14:dataBar>
          </x14:cfRule>
          <xm:sqref>J76</xm:sqref>
        </x14:conditionalFormatting>
        <x14:conditionalFormatting xmlns:xm="http://schemas.microsoft.com/office/excel/2006/main">
          <x14:cfRule type="dataBar" id="{28CDB074-11DE-49AF-838E-4E81645FC1A9}">
            <x14:dataBar axisPosition="none">
              <x14:cfvo type="num">
                <xm:f>0</xm:f>
              </x14:cfvo>
              <x14:cfvo type="num">
                <xm:f>3</xm:f>
              </x14:cfvo>
              <x14:negativeFillColor rgb="FFFFFFFF"/>
            </x14:dataBar>
          </x14:cfRule>
          <xm:sqref>J77</xm:sqref>
        </x14:conditionalFormatting>
        <x14:conditionalFormatting xmlns:xm="http://schemas.microsoft.com/office/excel/2006/main">
          <x14:cfRule type="dataBar" id="{4026AD72-2E2F-42D0-91CF-C0ADEE4FAC22}">
            <x14:dataBar axisPosition="none">
              <x14:cfvo type="num">
                <xm:f>0</xm:f>
              </x14:cfvo>
              <x14:cfvo type="num">
                <xm:f>3</xm:f>
              </x14:cfvo>
              <x14:negativeFillColor rgb="FFFFFFFF"/>
            </x14:dataBar>
          </x14:cfRule>
          <xm:sqref>J75</xm:sqref>
        </x14:conditionalFormatting>
        <x14:conditionalFormatting xmlns:xm="http://schemas.microsoft.com/office/excel/2006/main">
          <x14:cfRule type="dataBar" id="{1546C013-6BEF-467F-BCE5-E4DBEEA3D511}">
            <x14:dataBar axisPosition="none">
              <x14:cfvo type="num">
                <xm:f>0</xm:f>
              </x14:cfvo>
              <x14:cfvo type="num">
                <xm:f>3</xm:f>
              </x14:cfvo>
              <x14:negativeFillColor rgb="FFFFFFFF"/>
            </x14:dataBar>
          </x14:cfRule>
          <xm:sqref>J94</xm:sqref>
        </x14:conditionalFormatting>
        <x14:conditionalFormatting xmlns:xm="http://schemas.microsoft.com/office/excel/2006/main">
          <x14:cfRule type="dataBar" id="{2FADA929-E48E-48A9-A5C8-44C71B64F0A3}">
            <x14:dataBar axisPosition="none">
              <x14:cfvo type="num">
                <xm:f>0</xm:f>
              </x14:cfvo>
              <x14:cfvo type="num">
                <xm:f>3</xm:f>
              </x14:cfvo>
              <x14:negativeFillColor rgb="FFFFFFFF"/>
            </x14:dataBar>
          </x14:cfRule>
          <xm:sqref>J95</xm:sqref>
        </x14:conditionalFormatting>
        <x14:conditionalFormatting xmlns:xm="http://schemas.microsoft.com/office/excel/2006/main">
          <x14:cfRule type="dataBar" id="{C5835182-9BC8-417E-A556-3CECED7A65BB}">
            <x14:dataBar axisPosition="none">
              <x14:cfvo type="num">
                <xm:f>0</xm:f>
              </x14:cfvo>
              <x14:cfvo type="num">
                <xm:f>3</xm:f>
              </x14:cfvo>
              <x14:negativeFillColor rgb="FFFFFFFF"/>
            </x14:dataBar>
          </x14:cfRule>
          <xm:sqref>J97</xm:sqref>
        </x14:conditionalFormatting>
        <x14:conditionalFormatting xmlns:xm="http://schemas.microsoft.com/office/excel/2006/main">
          <x14:cfRule type="dataBar" id="{697F58C7-5150-4D8C-96BB-5C50D9AE62EC}">
            <x14:dataBar axisPosition="none">
              <x14:cfvo type="num">
                <xm:f>0</xm:f>
              </x14:cfvo>
              <x14:cfvo type="num">
                <xm:f>3</xm:f>
              </x14:cfvo>
              <x14:negativeFillColor rgb="FFFFFFFF"/>
            </x14:dataBar>
          </x14:cfRule>
          <xm:sqref>J98</xm:sqref>
        </x14:conditionalFormatting>
        <x14:conditionalFormatting xmlns:xm="http://schemas.microsoft.com/office/excel/2006/main">
          <x14:cfRule type="dataBar" id="{D150BB48-C14E-4790-8116-7AAFADEF2E10}">
            <x14:dataBar axisPosition="none">
              <x14:cfvo type="num">
                <xm:f>0</xm:f>
              </x14:cfvo>
              <x14:cfvo type="num">
                <xm:f>3</xm:f>
              </x14:cfvo>
              <x14:negativeFillColor rgb="FFFFFFFF"/>
            </x14:dataBar>
          </x14:cfRule>
          <xm:sqref>J96</xm:sqref>
        </x14:conditionalFormatting>
        <x14:conditionalFormatting xmlns:xm="http://schemas.microsoft.com/office/excel/2006/main">
          <x14:cfRule type="dataBar" id="{DA2CFEF8-EA8A-4180-A91F-C2A55B6CD34E}">
            <x14:dataBar axisPosition="none">
              <x14:cfvo type="num">
                <xm:f>0</xm:f>
              </x14:cfvo>
              <x14:cfvo type="num">
                <xm:f>1</xm:f>
              </x14:cfvo>
              <x14:negativeFillColor rgb="FFFFFFFF"/>
            </x14:dataBar>
          </x14:cfRule>
          <xm:sqref>D54:F55</xm:sqref>
        </x14:conditionalFormatting>
        <x14:conditionalFormatting xmlns:xm="http://schemas.microsoft.com/office/excel/2006/main">
          <x14:cfRule type="dataBar" id="{D1BD84AB-C910-4E58-B3E8-30F3135657E1}">
            <x14:dataBar axisPosition="none">
              <x14:cfvo type="num">
                <xm:f>0</xm:f>
              </x14:cfvo>
              <x14:cfvo type="num">
                <xm:f>1</xm:f>
              </x14:cfvo>
              <x14:negativeFillColor rgb="FFFFFFFF"/>
            </x14:dataBar>
          </x14:cfRule>
          <xm:sqref>D57:F59</xm:sqref>
        </x14:conditionalFormatting>
        <x14:conditionalFormatting xmlns:xm="http://schemas.microsoft.com/office/excel/2006/main">
          <x14:cfRule type="dataBar" id="{BF9C76E8-BE61-4619-ACF6-ECC08B8D95DC}">
            <x14:dataBar axisPosition="none">
              <x14:cfvo type="num">
                <xm:f>0</xm:f>
              </x14:cfvo>
              <x14:cfvo type="num">
                <xm:f>1</xm:f>
              </x14:cfvo>
              <x14:negativeFillColor rgb="FFFFFFFF"/>
            </x14:dataBar>
          </x14:cfRule>
          <xm:sqref>D60:F62</xm:sqref>
        </x14:conditionalFormatting>
        <x14:conditionalFormatting xmlns:xm="http://schemas.microsoft.com/office/excel/2006/main">
          <x14:cfRule type="dataBar" id="{8111ACA1-C06C-4A2C-8512-E6FF97E76368}">
            <x14:dataBar axisPosition="none">
              <x14:cfvo type="num">
                <xm:f>0</xm:f>
              </x14:cfvo>
              <x14:cfvo type="num">
                <xm:f>1</xm:f>
              </x14:cfvo>
              <x14:negativeFillColor rgb="FFFFFFFF"/>
            </x14:dataBar>
          </x14:cfRule>
          <xm:sqref>D56:F56</xm:sqref>
        </x14:conditionalFormatting>
        <x14:conditionalFormatting xmlns:xm="http://schemas.microsoft.com/office/excel/2006/main">
          <x14:cfRule type="dataBar" id="{1FD8927E-8048-48CF-A367-7EA0F1EF93F4}">
            <x14:dataBar axisPosition="none">
              <x14:cfvo type="num">
                <xm:f>0</xm:f>
              </x14:cfvo>
              <x14:cfvo type="num">
                <xm:f>1</xm:f>
              </x14:cfvo>
              <x14:negativeFillColor rgb="FFFFFFFF"/>
            </x14:dataBar>
          </x14:cfRule>
          <xm:sqref>D75:F75</xm:sqref>
        </x14:conditionalFormatting>
        <x14:conditionalFormatting xmlns:xm="http://schemas.microsoft.com/office/excel/2006/main">
          <x14:cfRule type="dataBar" id="{2F40A767-37D4-49AD-835A-D9FB359A3B75}">
            <x14:dataBar axisPosition="none">
              <x14:cfvo type="num">
                <xm:f>0</xm:f>
              </x14:cfvo>
              <x14:cfvo type="num">
                <xm:f>1</xm:f>
              </x14:cfvo>
              <x14:negativeFillColor rgb="FFFFFFFF"/>
            </x14:dataBar>
          </x14:cfRule>
          <xm:sqref>D76:F76</xm:sqref>
        </x14:conditionalFormatting>
        <x14:conditionalFormatting xmlns:xm="http://schemas.microsoft.com/office/excel/2006/main">
          <x14:cfRule type="dataBar" id="{E9514DEB-B255-4327-AF80-D8E77F65D3C5}">
            <x14:dataBar axisPosition="none">
              <x14:cfvo type="num">
                <xm:f>0</xm:f>
              </x14:cfvo>
              <x14:cfvo type="num">
                <xm:f>1</xm:f>
              </x14:cfvo>
              <x14:negativeFillColor rgb="FFFFFFFF"/>
            </x14:dataBar>
          </x14:cfRule>
          <xm:sqref>D77:F77</xm:sqref>
        </x14:conditionalFormatting>
        <x14:conditionalFormatting xmlns:xm="http://schemas.microsoft.com/office/excel/2006/main">
          <x14:cfRule type="dataBar" id="{FC18F82F-9C5D-4D29-9799-10EC392C1C6E}">
            <x14:dataBar axisPosition="none">
              <x14:cfvo type="num">
                <xm:f>0</xm:f>
              </x14:cfvo>
              <x14:cfvo type="num">
                <xm:f>1</xm:f>
              </x14:cfvo>
              <x14:negativeFillColor rgb="FFFFFFFF"/>
            </x14:dataBar>
          </x14:cfRule>
          <xm:sqref>D78:F78</xm:sqref>
        </x14:conditionalFormatting>
        <x14:conditionalFormatting xmlns:xm="http://schemas.microsoft.com/office/excel/2006/main">
          <x14:cfRule type="dataBar" id="{E09BF04B-5981-4213-8ED2-9C63EF5948CC}">
            <x14:dataBar axisPosition="none">
              <x14:cfvo type="num">
                <xm:f>0</xm:f>
              </x14:cfvo>
              <x14:cfvo type="num">
                <xm:f>1</xm:f>
              </x14:cfvo>
              <x14:negativeFillColor rgb="FFFFFFFF"/>
            </x14:dataBar>
          </x14:cfRule>
          <xm:sqref>D79:F79</xm:sqref>
        </x14:conditionalFormatting>
        <x14:conditionalFormatting xmlns:xm="http://schemas.microsoft.com/office/excel/2006/main">
          <x14:cfRule type="dataBar" id="{B13BF263-AD17-4A69-8C85-531036E7F35E}">
            <x14:dataBar axisPosition="none">
              <x14:cfvo type="num">
                <xm:f>0</xm:f>
              </x14:cfvo>
              <x14:cfvo type="num">
                <xm:f>1</xm:f>
              </x14:cfvo>
              <x14:negativeFillColor rgb="FFFFFFFF"/>
            </x14:dataBar>
          </x14:cfRule>
          <xm:sqref>D80:F80</xm:sqref>
        </x14:conditionalFormatting>
        <x14:conditionalFormatting xmlns:xm="http://schemas.microsoft.com/office/excel/2006/main">
          <x14:cfRule type="dataBar" id="{A5F61D43-802D-48CA-B171-F640B8ABE34F}">
            <x14:dataBar axisPosition="none">
              <x14:cfvo type="num">
                <xm:f>0</xm:f>
              </x14:cfvo>
              <x14:cfvo type="num">
                <xm:f>1</xm:f>
              </x14:cfvo>
              <x14:negativeFillColor rgb="FFFFFFFF"/>
            </x14:dataBar>
          </x14:cfRule>
          <xm:sqref>D81:F81</xm:sqref>
        </x14:conditionalFormatting>
        <x14:conditionalFormatting xmlns:xm="http://schemas.microsoft.com/office/excel/2006/main">
          <x14:cfRule type="dataBar" id="{4AAAAB94-BDD0-46BA-9973-E1CC11EF87D5}">
            <x14:dataBar axisPosition="none">
              <x14:cfvo type="num">
                <xm:f>0</xm:f>
              </x14:cfvo>
              <x14:cfvo type="num">
                <xm:f>1</xm:f>
              </x14:cfvo>
              <x14:negativeFillColor rgb="FFFFFFFF"/>
            </x14:dataBar>
          </x14:cfRule>
          <xm:sqref>D82:F82</xm:sqref>
        </x14:conditionalFormatting>
        <x14:conditionalFormatting xmlns:xm="http://schemas.microsoft.com/office/excel/2006/main">
          <x14:cfRule type="dataBar" id="{E16DF18E-6B60-41EA-9AC5-17FE3FFC5ED8}">
            <x14:dataBar axisPosition="none">
              <x14:cfvo type="num">
                <xm:f>0</xm:f>
              </x14:cfvo>
              <x14:cfvo type="num">
                <xm:f>1</xm:f>
              </x14:cfvo>
              <x14:negativeFillColor rgb="FFFFFFFF"/>
            </x14:dataBar>
          </x14:cfRule>
          <xm:sqref>D83:F83</xm:sqref>
        </x14:conditionalFormatting>
        <x14:conditionalFormatting xmlns:xm="http://schemas.microsoft.com/office/excel/2006/main">
          <x14:cfRule type="dataBar" id="{B7CFB9BD-DC53-4A6C-9AA8-59C55EBF6B8A}">
            <x14:dataBar axisPosition="none">
              <x14:cfvo type="num">
                <xm:f>0</xm:f>
              </x14:cfvo>
              <x14:cfvo type="num">
                <xm:f>1</xm:f>
              </x14:cfvo>
              <x14:negativeFillColor rgb="FFFFFFFF"/>
            </x14:dataBar>
          </x14:cfRule>
          <xm:sqref>D84:F84</xm:sqref>
        </x14:conditionalFormatting>
        <x14:conditionalFormatting xmlns:xm="http://schemas.microsoft.com/office/excel/2006/main">
          <x14:cfRule type="dataBar" id="{82B2842B-741A-453A-9584-458CE8191877}">
            <x14:dataBar axisPosition="none">
              <x14:cfvo type="num">
                <xm:f>0</xm:f>
              </x14:cfvo>
              <x14:cfvo type="num">
                <xm:f>1</xm:f>
              </x14:cfvo>
              <x14:negativeFillColor rgb="FFFFFFFF"/>
            </x14:dataBar>
          </x14:cfRule>
          <xm:sqref>D85:F85</xm:sqref>
        </x14:conditionalFormatting>
        <x14:conditionalFormatting xmlns:xm="http://schemas.microsoft.com/office/excel/2006/main">
          <x14:cfRule type="dataBar" id="{7FC838F0-2E31-46CC-8A64-427339DEE5B1}">
            <x14:dataBar axisPosition="none">
              <x14:cfvo type="num">
                <xm:f>0</xm:f>
              </x14:cfvo>
              <x14:cfvo type="num">
                <xm:f>1</xm:f>
              </x14:cfvo>
              <x14:negativeFillColor rgb="FFFFFFFF"/>
            </x14:dataBar>
          </x14:cfRule>
          <xm:sqref>D86:F86</xm:sqref>
        </x14:conditionalFormatting>
        <x14:conditionalFormatting xmlns:xm="http://schemas.microsoft.com/office/excel/2006/main">
          <x14:cfRule type="dataBar" id="{3F8212C9-67A7-4A80-8A32-4F8128F8B438}">
            <x14:dataBar axisPosition="none">
              <x14:cfvo type="num">
                <xm:f>0</xm:f>
              </x14:cfvo>
              <x14:cfvo type="num">
                <xm:f>1</xm:f>
              </x14:cfvo>
              <x14:negativeFillColor rgb="FFFFFFFF"/>
            </x14:dataBar>
          </x14:cfRule>
          <xm:sqref>D87:F87</xm:sqref>
        </x14:conditionalFormatting>
        <x14:conditionalFormatting xmlns:xm="http://schemas.microsoft.com/office/excel/2006/main">
          <x14:cfRule type="dataBar" id="{F4BB5FFF-B981-4CC5-9215-561133A9DDA0}">
            <x14:dataBar axisPosition="none">
              <x14:cfvo type="num">
                <xm:f>0</xm:f>
              </x14:cfvo>
              <x14:cfvo type="num">
                <xm:f>1</xm:f>
              </x14:cfvo>
              <x14:negativeFillColor rgb="FFFFFFFF"/>
            </x14:dataBar>
          </x14:cfRule>
          <xm:sqref>D63:F63</xm:sqref>
        </x14:conditionalFormatting>
        <x14:conditionalFormatting xmlns:xm="http://schemas.microsoft.com/office/excel/2006/main">
          <x14:cfRule type="dataBar" id="{F2E2253B-187E-4B40-91AF-5789EEDD3C86}">
            <x14:dataBar axisPosition="none">
              <x14:cfvo type="num">
                <xm:f>0</xm:f>
              </x14:cfvo>
              <x14:cfvo type="num">
                <xm:f>1</xm:f>
              </x14:cfvo>
              <x14:negativeFillColor rgb="FFFFFFFF"/>
            </x14:dataBar>
          </x14:cfRule>
          <xm:sqref>D64:F64</xm:sqref>
        </x14:conditionalFormatting>
        <x14:conditionalFormatting xmlns:xm="http://schemas.microsoft.com/office/excel/2006/main">
          <x14:cfRule type="dataBar" id="{2C3AC81E-2520-4CEA-9B48-55642FA73E29}">
            <x14:dataBar axisPosition="none">
              <x14:cfvo type="num">
                <xm:f>0</xm:f>
              </x14:cfvo>
              <x14:cfvo type="num">
                <xm:f>1</xm:f>
              </x14:cfvo>
              <x14:negativeFillColor rgb="FFFFFFFF"/>
            </x14:dataBar>
          </x14:cfRule>
          <xm:sqref>D65:F65</xm:sqref>
        </x14:conditionalFormatting>
        <x14:conditionalFormatting xmlns:xm="http://schemas.microsoft.com/office/excel/2006/main">
          <x14:cfRule type="dataBar" id="{B49B4361-F7BC-42A4-AC29-3FCA81D4D05E}">
            <x14:dataBar axisPosition="none">
              <x14:cfvo type="num">
                <xm:f>0</xm:f>
              </x14:cfvo>
              <x14:cfvo type="num">
                <xm:f>1</xm:f>
              </x14:cfvo>
              <x14:negativeFillColor rgb="FFFFFFFF"/>
            </x14:dataBar>
          </x14:cfRule>
          <xm:sqref>D66:F66</xm:sqref>
        </x14:conditionalFormatting>
        <x14:conditionalFormatting xmlns:xm="http://schemas.microsoft.com/office/excel/2006/main">
          <x14:cfRule type="dataBar" id="{E1405EEE-C6C3-4973-932E-CC8DEC5D25D1}">
            <x14:dataBar axisPosition="none">
              <x14:cfvo type="num">
                <xm:f>0</xm:f>
              </x14:cfvo>
              <x14:cfvo type="num">
                <xm:f>1</xm:f>
              </x14:cfvo>
              <x14:negativeFillColor rgb="FFFFFFFF"/>
            </x14:dataBar>
          </x14:cfRule>
          <xm:sqref>D67:F67</xm:sqref>
        </x14:conditionalFormatting>
        <x14:conditionalFormatting xmlns:xm="http://schemas.microsoft.com/office/excel/2006/main">
          <x14:cfRule type="dataBar" id="{7CC88C22-1150-46D6-9EA7-48DE74435A56}">
            <x14:dataBar axisPosition="none">
              <x14:cfvo type="num">
                <xm:f>0</xm:f>
              </x14:cfvo>
              <x14:cfvo type="num">
                <xm:f>1</xm:f>
              </x14:cfvo>
              <x14:negativeFillColor rgb="FFFFFFFF"/>
            </x14:dataBar>
          </x14:cfRule>
          <xm:sqref>D68:F68</xm:sqref>
        </x14:conditionalFormatting>
        <x14:conditionalFormatting xmlns:xm="http://schemas.microsoft.com/office/excel/2006/main">
          <x14:cfRule type="dataBar" id="{D3D71600-FE6E-4A2E-9710-E4D08F2A1DF0}">
            <x14:dataBar axisPosition="none">
              <x14:cfvo type="num">
                <xm:f>0</xm:f>
              </x14:cfvo>
              <x14:cfvo type="num">
                <xm:f>1</xm:f>
              </x14:cfvo>
              <x14:negativeFillColor rgb="FFFFFFFF"/>
            </x14:dataBar>
          </x14:cfRule>
          <xm:sqref>D96:F96</xm:sqref>
        </x14:conditionalFormatting>
        <x14:conditionalFormatting xmlns:xm="http://schemas.microsoft.com/office/excel/2006/main">
          <x14:cfRule type="dataBar" id="{9733B117-9898-48BE-B4F0-E990E3151F72}">
            <x14:dataBar axisPosition="none">
              <x14:cfvo type="num">
                <xm:f>0</xm:f>
              </x14:cfvo>
              <x14:cfvo type="num">
                <xm:f>1</xm:f>
              </x14:cfvo>
              <x14:negativeFillColor rgb="FFFFFFFF"/>
            </x14:dataBar>
          </x14:cfRule>
          <xm:sqref>D97:F97</xm:sqref>
        </x14:conditionalFormatting>
        <x14:conditionalFormatting xmlns:xm="http://schemas.microsoft.com/office/excel/2006/main">
          <x14:cfRule type="dataBar" id="{2015CC79-989D-4860-8A5C-14FD9C1B4E88}">
            <x14:dataBar axisPosition="none">
              <x14:cfvo type="num">
                <xm:f>0</xm:f>
              </x14:cfvo>
              <x14:cfvo type="num">
                <xm:f>1</xm:f>
              </x14:cfvo>
              <x14:negativeFillColor rgb="FFFFFFFF"/>
            </x14:dataBar>
          </x14:cfRule>
          <xm:sqref>D98:F98</xm:sqref>
        </x14:conditionalFormatting>
        <x14:conditionalFormatting xmlns:xm="http://schemas.microsoft.com/office/excel/2006/main">
          <x14:cfRule type="dataBar" id="{DCDA6377-D584-47B5-AE94-C06AC4637DA6}">
            <x14:dataBar axisPosition="none">
              <x14:cfvo type="num">
                <xm:f>0</xm:f>
              </x14:cfvo>
              <x14:cfvo type="num">
                <xm:f>1</xm:f>
              </x14:cfvo>
              <x14:negativeFillColor rgb="FFFFFFFF"/>
            </x14:dataBar>
          </x14:cfRule>
          <xm:sqref>D99:F99</xm:sqref>
        </x14:conditionalFormatting>
        <x14:conditionalFormatting xmlns:xm="http://schemas.microsoft.com/office/excel/2006/main">
          <x14:cfRule type="dataBar" id="{E1D0DA82-4770-4A00-90F4-C0A020987A89}">
            <x14:dataBar axisPosition="none">
              <x14:cfvo type="num">
                <xm:f>0</xm:f>
              </x14:cfvo>
              <x14:cfvo type="num">
                <xm:f>1</xm:f>
              </x14:cfvo>
              <x14:negativeFillColor rgb="FFFFFFFF"/>
            </x14:dataBar>
          </x14:cfRule>
          <xm:sqref>D100:F100</xm:sqref>
        </x14:conditionalFormatting>
        <x14:conditionalFormatting xmlns:xm="http://schemas.microsoft.com/office/excel/2006/main">
          <x14:cfRule type="dataBar" id="{425952B6-28C6-4A9E-B9E5-95B9DEE33600}">
            <x14:dataBar axisPosition="none">
              <x14:cfvo type="num">
                <xm:f>0</xm:f>
              </x14:cfvo>
              <x14:cfvo type="num">
                <xm:f>1</xm:f>
              </x14:cfvo>
              <x14:negativeFillColor rgb="FFFFFFFF"/>
            </x14:dataBar>
          </x14:cfRule>
          <xm:sqref>D101:F101</xm:sqref>
        </x14:conditionalFormatting>
        <x14:conditionalFormatting xmlns:xm="http://schemas.microsoft.com/office/excel/2006/main">
          <x14:cfRule type="dataBar" id="{23DCD5ED-B961-4119-8534-CC10C1C0BA70}">
            <x14:dataBar axisPosition="none">
              <x14:cfvo type="num">
                <xm:f>0</xm:f>
              </x14:cfvo>
              <x14:cfvo type="num">
                <xm:f>1</xm:f>
              </x14:cfvo>
              <x14:negativeFillColor rgb="FFFFFFFF"/>
            </x14:dataBar>
          </x14:cfRule>
          <xm:sqref>D102:F102</xm:sqref>
        </x14:conditionalFormatting>
        <x14:conditionalFormatting xmlns:xm="http://schemas.microsoft.com/office/excel/2006/main">
          <x14:cfRule type="dataBar" id="{5AC74CB0-402B-4230-869D-DCBF604F10E2}">
            <x14:dataBar axisPosition="none">
              <x14:cfvo type="num">
                <xm:f>0</xm:f>
              </x14:cfvo>
              <x14:cfvo type="num">
                <xm:f>1</xm:f>
              </x14:cfvo>
              <x14:negativeFillColor rgb="FFFFFFFF"/>
            </x14:dataBar>
          </x14:cfRule>
          <xm:sqref>D103:F103</xm:sqref>
        </x14:conditionalFormatting>
        <x14:conditionalFormatting xmlns:xm="http://schemas.microsoft.com/office/excel/2006/main">
          <x14:cfRule type="dataBar" id="{55BAC096-4CD6-483A-89D0-AF89CFA053FA}">
            <x14:dataBar axisPosition="none">
              <x14:cfvo type="num">
                <xm:f>0</xm:f>
              </x14:cfvo>
              <x14:cfvo type="num">
                <xm:f>1</xm:f>
              </x14:cfvo>
              <x14:negativeFillColor rgb="FFFFFFFF"/>
            </x14:dataBar>
          </x14:cfRule>
          <xm:sqref>D104:F104</xm:sqref>
        </x14:conditionalFormatting>
        <x14:conditionalFormatting xmlns:xm="http://schemas.microsoft.com/office/excel/2006/main">
          <x14:cfRule type="dataBar" id="{BC705738-E756-45AA-BE9B-B0AB267D7828}">
            <x14:dataBar axisPosition="none">
              <x14:cfvo type="num">
                <xm:f>0</xm:f>
              </x14:cfvo>
              <x14:cfvo type="num">
                <xm:f>1</xm:f>
              </x14:cfvo>
              <x14:negativeFillColor rgb="FFFFFFFF"/>
            </x14:dataBar>
          </x14:cfRule>
          <xm:sqref>D105:F105</xm:sqref>
        </x14:conditionalFormatting>
        <x14:conditionalFormatting xmlns:xm="http://schemas.microsoft.com/office/excel/2006/main">
          <x14:cfRule type="dataBar" id="{F140D5AB-47D2-4550-A22C-8B38D0475B69}">
            <x14:dataBar axisPosition="none">
              <x14:cfvo type="num">
                <xm:f>0</xm:f>
              </x14:cfvo>
              <x14:cfvo type="num">
                <xm:f>1</xm:f>
              </x14:cfvo>
              <x14:negativeFillColor rgb="FFFFFFFF"/>
            </x14:dataBar>
          </x14:cfRule>
          <xm:sqref>D106:F106</xm:sqref>
        </x14:conditionalFormatting>
        <x14:conditionalFormatting xmlns:xm="http://schemas.microsoft.com/office/excel/2006/main">
          <x14:cfRule type="dataBar" id="{95409AF3-2021-4F6C-B782-3353AECC4016}">
            <x14:dataBar axisPosition="none">
              <x14:cfvo type="num">
                <xm:f>0</xm:f>
              </x14:cfvo>
              <x14:cfvo type="num">
                <xm:f>1</xm:f>
              </x14:cfvo>
              <x14:negativeFillColor rgb="FFFFFFFF"/>
            </x14:dataBar>
          </x14:cfRule>
          <xm:sqref>D107:F107</xm:sqref>
        </x14:conditionalFormatting>
        <x14:conditionalFormatting xmlns:xm="http://schemas.microsoft.com/office/excel/2006/main">
          <x14:cfRule type="dataBar" id="{F24AB240-2DCA-43D7-B487-D16A29D5BB1F}">
            <x14:dataBar axisPosition="none">
              <x14:cfvo type="num">
                <xm:f>0</xm:f>
              </x14:cfvo>
              <x14:cfvo type="num">
                <xm:f>1</xm:f>
              </x14:cfvo>
              <x14:negativeFillColor rgb="FFFFFFFF"/>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90" zoomScaleNormal="90" workbookViewId="0">
      <selection activeCell="F20" sqref="F20"/>
    </sheetView>
  </sheetViews>
  <sheetFormatPr baseColWidth="10" defaultColWidth="8.83203125" defaultRowHeight="14"/>
  <cols>
    <col min="1" max="1" width="16.83203125" style="10" hidden="1" customWidth="1"/>
    <col min="2" max="2" width="13.5" style="230" customWidth="1"/>
    <col min="3" max="3" width="7.33203125" style="230" customWidth="1"/>
    <col min="4" max="4" width="68" style="12" customWidth="1"/>
    <col min="5" max="5" width="5.1640625" style="13" hidden="1" customWidth="1"/>
    <col min="6" max="6" width="39" style="14" customWidth="1"/>
    <col min="7" max="7" width="8.6640625" style="10" hidden="1" customWidth="1"/>
    <col min="8" max="8" width="8.6640625" style="15" hidden="1" customWidth="1"/>
    <col min="9" max="9" width="15" style="16"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 min="26" max="1025" width="8.83203125" customWidth="1"/>
  </cols>
  <sheetData>
    <row r="1" spans="1:25" ht="18">
      <c r="B1" s="231" t="str">
        <f>CONCATENATE("SAMM Assessment Interview: ",D11," For ",D10)</f>
        <v>SAMM Assessment Interview:  For COMPANY</v>
      </c>
      <c r="C1" s="209"/>
      <c r="D1" s="232"/>
      <c r="E1" s="232"/>
      <c r="F1" s="232"/>
      <c r="G1" s="232"/>
      <c r="H1" s="232"/>
      <c r="I1" s="17"/>
      <c r="J1" s="18"/>
      <c r="K1" s="18"/>
      <c r="L1" s="18"/>
      <c r="M1" s="18"/>
      <c r="N1" s="18"/>
      <c r="O1" s="18"/>
      <c r="P1" s="18"/>
      <c r="Q1" s="18"/>
      <c r="R1" s="18"/>
      <c r="S1" s="18"/>
      <c r="T1" s="18"/>
      <c r="U1" s="18"/>
      <c r="V1" s="18"/>
      <c r="W1" s="18"/>
      <c r="X1" s="18"/>
      <c r="Y1" s="18"/>
    </row>
    <row r="2" spans="1:25">
      <c r="B2" s="233"/>
      <c r="C2" s="31"/>
      <c r="D2" s="18"/>
      <c r="E2" s="20"/>
      <c r="F2" s="21"/>
      <c r="G2" s="20"/>
      <c r="H2" s="22"/>
      <c r="I2" s="17"/>
      <c r="J2" s="18"/>
      <c r="K2" s="18"/>
      <c r="L2" s="18"/>
      <c r="M2" s="18"/>
      <c r="N2" s="18"/>
      <c r="O2" s="18"/>
      <c r="P2" s="18"/>
      <c r="Q2" s="18"/>
      <c r="R2" s="18"/>
      <c r="S2" s="18"/>
      <c r="T2" s="18"/>
      <c r="U2" s="18"/>
      <c r="V2" s="18"/>
      <c r="W2" s="18"/>
      <c r="X2" s="18"/>
      <c r="Y2" s="18"/>
    </row>
    <row r="3" spans="1:25">
      <c r="B3" s="234" t="s">
        <v>27</v>
      </c>
      <c r="C3" s="235"/>
      <c r="D3" s="236"/>
      <c r="E3" s="236"/>
      <c r="F3" s="236"/>
      <c r="G3" s="236"/>
      <c r="H3" s="236"/>
      <c r="I3" s="17"/>
      <c r="J3" s="18"/>
      <c r="K3" s="18"/>
      <c r="L3" s="18"/>
      <c r="M3" s="18"/>
      <c r="N3" s="18"/>
      <c r="O3" s="18"/>
      <c r="P3" s="18"/>
      <c r="Q3" s="18"/>
      <c r="R3" s="18"/>
      <c r="S3" s="18"/>
      <c r="T3" s="18"/>
      <c r="U3" s="18"/>
      <c r="V3" s="18"/>
      <c r="W3" s="18"/>
      <c r="X3" s="18"/>
      <c r="Y3" s="18"/>
    </row>
    <row r="4" spans="1:25">
      <c r="B4" s="237" t="s">
        <v>189</v>
      </c>
      <c r="C4" s="238"/>
      <c r="D4" s="239"/>
      <c r="E4" s="239"/>
      <c r="F4" s="239"/>
      <c r="G4" s="239"/>
      <c r="H4" s="239"/>
      <c r="I4" s="17"/>
      <c r="J4" s="18"/>
      <c r="K4" s="18"/>
      <c r="L4" s="18"/>
      <c r="M4" s="18"/>
      <c r="N4" s="18"/>
      <c r="O4" s="18"/>
      <c r="P4" s="18"/>
      <c r="Q4" s="18"/>
      <c r="R4" s="18"/>
      <c r="S4" s="18"/>
      <c r="T4" s="18"/>
      <c r="U4" s="18"/>
      <c r="V4" s="18"/>
      <c r="W4" s="18"/>
      <c r="X4" s="18"/>
      <c r="Y4" s="18"/>
    </row>
    <row r="5" spans="1:25">
      <c r="B5" s="240" t="s">
        <v>190</v>
      </c>
      <c r="C5" s="241"/>
      <c r="D5" s="242"/>
      <c r="E5" s="242"/>
      <c r="F5" s="242"/>
      <c r="G5" s="242"/>
      <c r="H5" s="242"/>
      <c r="I5" s="17"/>
      <c r="J5" s="18"/>
      <c r="K5" s="18"/>
      <c r="L5" s="18"/>
      <c r="M5" s="18"/>
      <c r="N5" s="18"/>
      <c r="O5" s="18"/>
      <c r="P5" s="18"/>
      <c r="Q5" s="18"/>
      <c r="R5" s="18"/>
      <c r="S5" s="18"/>
      <c r="T5" s="18"/>
      <c r="U5" s="18"/>
      <c r="V5" s="18"/>
      <c r="W5" s="18"/>
      <c r="X5" s="18"/>
      <c r="Y5" s="18"/>
    </row>
    <row r="6" spans="1:25">
      <c r="B6" s="240" t="s">
        <v>191</v>
      </c>
      <c r="C6" s="241"/>
      <c r="D6" s="242"/>
      <c r="E6" s="242"/>
      <c r="F6" s="242"/>
      <c r="G6" s="242"/>
      <c r="H6" s="242"/>
      <c r="I6" s="17"/>
      <c r="J6" s="18"/>
      <c r="K6" s="18"/>
      <c r="L6" s="18"/>
      <c r="M6" s="18"/>
      <c r="N6" s="18"/>
      <c r="O6" s="18"/>
      <c r="P6" s="18"/>
      <c r="Q6" s="18"/>
      <c r="R6" s="18"/>
      <c r="S6" s="18"/>
      <c r="T6" s="18"/>
      <c r="U6" s="18"/>
      <c r="V6" s="18"/>
      <c r="W6" s="18"/>
      <c r="X6" s="18"/>
      <c r="Y6" s="18"/>
    </row>
    <row r="7" spans="1:25">
      <c r="B7" s="240" t="s">
        <v>192</v>
      </c>
      <c r="C7" s="241"/>
      <c r="D7" s="242"/>
      <c r="E7" s="242"/>
      <c r="F7" s="242"/>
      <c r="G7" s="242"/>
      <c r="H7" s="242"/>
      <c r="I7" s="17"/>
      <c r="J7" s="18"/>
      <c r="K7" s="18"/>
      <c r="L7" s="18"/>
      <c r="M7" s="18"/>
      <c r="N7" s="18"/>
      <c r="O7" s="18"/>
      <c r="P7" s="18"/>
      <c r="Q7" s="18"/>
      <c r="R7" s="18"/>
      <c r="S7" s="18"/>
      <c r="T7" s="18"/>
      <c r="U7" s="18"/>
      <c r="V7" s="18"/>
      <c r="W7" s="18"/>
      <c r="X7" s="18"/>
      <c r="Y7" s="18"/>
    </row>
    <row r="8" spans="1:25">
      <c r="B8" s="243" t="s">
        <v>193</v>
      </c>
      <c r="C8" s="244"/>
      <c r="D8" s="245"/>
      <c r="E8" s="245"/>
      <c r="F8" s="245"/>
      <c r="G8" s="245"/>
      <c r="H8" s="245"/>
      <c r="I8" s="17"/>
      <c r="J8" s="18"/>
      <c r="K8" s="18"/>
      <c r="L8" s="18"/>
      <c r="M8" s="18"/>
      <c r="N8" s="18"/>
      <c r="O8" s="18"/>
      <c r="P8" s="18"/>
      <c r="Q8" s="18"/>
      <c r="R8" s="18"/>
      <c r="S8" s="18"/>
      <c r="T8" s="18"/>
      <c r="U8" s="18"/>
      <c r="V8" s="18"/>
      <c r="W8" s="18"/>
      <c r="X8" s="18"/>
      <c r="Y8" s="18"/>
    </row>
    <row r="9" spans="1:25">
      <c r="B9" s="233"/>
      <c r="C9" s="31"/>
      <c r="D9" s="18"/>
      <c r="E9" s="20"/>
      <c r="F9" s="21"/>
      <c r="G9" s="20"/>
      <c r="H9" s="22"/>
      <c r="I9" s="17"/>
      <c r="J9" s="18"/>
      <c r="K9" s="18"/>
      <c r="L9" s="18"/>
      <c r="M9" s="18"/>
      <c r="N9" s="18"/>
      <c r="O9" s="18"/>
      <c r="P9" s="18"/>
      <c r="Q9" s="18"/>
      <c r="R9" s="18"/>
      <c r="S9" s="18"/>
      <c r="T9" s="18"/>
      <c r="U9" s="18"/>
      <c r="V9" s="18"/>
      <c r="W9" s="18"/>
      <c r="X9" s="18"/>
      <c r="Y9" s="18"/>
    </row>
    <row r="10" spans="1:25">
      <c r="B10" s="246" t="s">
        <v>40</v>
      </c>
      <c r="C10" s="247"/>
      <c r="D10" s="248" t="str">
        <f>IF(ISBLANK(Interview!D10),"",Interview!D10)</f>
        <v>COMPANY</v>
      </c>
      <c r="E10" s="20"/>
      <c r="F10" s="21"/>
      <c r="G10" s="20"/>
      <c r="H10" s="22"/>
      <c r="I10" s="17"/>
      <c r="J10" s="18"/>
      <c r="K10" s="18"/>
      <c r="L10" s="18"/>
      <c r="M10" s="18"/>
      <c r="N10" s="18"/>
      <c r="O10" s="18"/>
      <c r="P10" s="18"/>
      <c r="Q10" s="18"/>
      <c r="R10" s="18"/>
      <c r="S10" s="18"/>
      <c r="T10" s="18"/>
      <c r="U10" s="18"/>
      <c r="V10" s="18"/>
      <c r="W10" s="18"/>
      <c r="X10" s="18"/>
      <c r="Y10" s="18"/>
    </row>
    <row r="11" spans="1:25">
      <c r="B11" s="249" t="s">
        <v>41</v>
      </c>
      <c r="C11" s="250"/>
      <c r="D11" s="248" t="str">
        <f>IF(ISBLANK(Interview!D11),"",Interview!D11)</f>
        <v/>
      </c>
      <c r="E11" s="20"/>
      <c r="F11" s="21"/>
      <c r="G11" s="20"/>
      <c r="H11" s="22"/>
      <c r="I11" s="17"/>
      <c r="J11" s="18"/>
      <c r="K11" s="18"/>
      <c r="L11" s="18"/>
      <c r="M11" s="18"/>
      <c r="N11" s="18"/>
      <c r="O11" s="18"/>
      <c r="P11" s="18"/>
      <c r="Q11" s="18"/>
      <c r="R11" s="18"/>
      <c r="S11" s="18"/>
      <c r="T11" s="18"/>
      <c r="U11" s="18"/>
      <c r="V11" s="18"/>
      <c r="W11" s="18"/>
      <c r="X11" s="18"/>
      <c r="Y11" s="18"/>
    </row>
    <row r="12" spans="1:25">
      <c r="B12" s="249" t="s">
        <v>42</v>
      </c>
      <c r="C12" s="250"/>
      <c r="D12" s="251" t="str">
        <f>IF(ISBLANK(Interview!D12),"",Interview!D12)</f>
        <v/>
      </c>
      <c r="E12" s="28"/>
      <c r="F12" s="21"/>
      <c r="G12" s="20"/>
      <c r="H12" s="22"/>
      <c r="I12" s="17"/>
      <c r="J12" s="18"/>
      <c r="K12" s="18"/>
      <c r="L12" s="18"/>
      <c r="M12" s="18"/>
      <c r="N12" s="18"/>
      <c r="O12" s="18"/>
      <c r="P12" s="18"/>
      <c r="Q12" s="18"/>
      <c r="R12" s="18"/>
      <c r="S12" s="18"/>
      <c r="T12" s="18"/>
      <c r="U12" s="18"/>
      <c r="V12" s="18"/>
      <c r="W12" s="18"/>
      <c r="X12" s="18"/>
      <c r="Y12" s="18"/>
    </row>
    <row r="13" spans="1:25">
      <c r="B13" s="249" t="s">
        <v>43</v>
      </c>
      <c r="C13" s="252"/>
      <c r="D13" s="248" t="str">
        <f>IF(ISBLANK(Interview!D13),"",Interview!D13)</f>
        <v/>
      </c>
      <c r="E13" s="20"/>
      <c r="F13" s="21"/>
      <c r="G13" s="20"/>
      <c r="H13" s="22"/>
      <c r="I13" s="17"/>
      <c r="J13" s="18"/>
      <c r="K13" s="18"/>
      <c r="L13" s="18"/>
      <c r="M13" s="18"/>
      <c r="N13" s="18"/>
      <c r="O13" s="18"/>
      <c r="P13" s="18"/>
      <c r="Q13" s="18"/>
      <c r="R13" s="18"/>
      <c r="S13" s="18"/>
      <c r="T13" s="18"/>
      <c r="U13" s="18"/>
      <c r="V13" s="18"/>
      <c r="W13" s="18"/>
      <c r="X13" s="18"/>
      <c r="Y13" s="18"/>
    </row>
    <row r="14" spans="1:25" ht="23">
      <c r="A14" s="29" t="str">
        <f>IF(A15=A16,"OK","Problem")</f>
        <v>OK</v>
      </c>
      <c r="B14" s="253" t="s">
        <v>12</v>
      </c>
      <c r="C14" s="254"/>
      <c r="D14" s="255" t="str">
        <f>IF(ISBLANK(Interview!D14),"",Interview!D14)</f>
        <v>229a43e68f7f67bd25211bf95ce5c4e8</v>
      </c>
      <c r="E14" s="20"/>
      <c r="F14" s="21"/>
      <c r="G14" s="20"/>
      <c r="H14" s="22"/>
      <c r="I14" s="17"/>
      <c r="J14" s="18"/>
      <c r="K14" s="18"/>
      <c r="L14" s="18"/>
      <c r="M14" s="18"/>
      <c r="N14" s="18"/>
      <c r="O14" s="18"/>
      <c r="P14" s="18"/>
      <c r="Q14" s="18"/>
      <c r="R14" s="18"/>
      <c r="S14" s="18"/>
      <c r="T14" s="18"/>
      <c r="U14" s="18"/>
      <c r="V14" s="18"/>
      <c r="W14" s="18"/>
      <c r="X14" s="18"/>
      <c r="Y14" s="18"/>
    </row>
    <row r="15" spans="1:25">
      <c r="A15" s="10">
        <f>COUNTA('imp-questions'!A2:A300)</f>
        <v>90</v>
      </c>
      <c r="B15" s="31"/>
      <c r="C15" s="31"/>
      <c r="D15" s="18"/>
      <c r="E15" s="20"/>
      <c r="F15" s="21"/>
      <c r="G15" s="20"/>
      <c r="H15" s="22"/>
      <c r="I15" s="17"/>
      <c r="J15" s="18"/>
      <c r="K15" s="18"/>
      <c r="L15" s="18"/>
      <c r="M15" s="18"/>
      <c r="N15" s="18"/>
      <c r="O15" s="18"/>
      <c r="P15" s="18"/>
      <c r="Q15" s="18"/>
      <c r="R15" s="18"/>
      <c r="S15" s="18"/>
      <c r="T15" s="18"/>
      <c r="U15" s="18"/>
      <c r="V15" s="18"/>
      <c r="W15" s="18"/>
      <c r="X15" s="18"/>
      <c r="Y15" s="18"/>
    </row>
    <row r="16" spans="1:25" ht="12.75" customHeight="1">
      <c r="A16" s="10">
        <f>COUNTA(A18:A175)</f>
        <v>90</v>
      </c>
      <c r="B16" s="256" t="s">
        <v>48</v>
      </c>
      <c r="C16" s="256"/>
      <c r="D16" s="257"/>
      <c r="E16" s="257"/>
      <c r="F16" s="509" t="s">
        <v>183</v>
      </c>
      <c r="G16" s="509"/>
      <c r="H16" s="509"/>
      <c r="I16" s="509"/>
      <c r="J16" s="509" t="s">
        <v>194</v>
      </c>
      <c r="K16" s="509"/>
      <c r="L16" s="509"/>
      <c r="M16" s="509"/>
      <c r="N16" s="509" t="s">
        <v>195</v>
      </c>
      <c r="O16" s="509"/>
      <c r="P16" s="509"/>
      <c r="Q16" s="509"/>
      <c r="R16" s="509" t="s">
        <v>196</v>
      </c>
      <c r="S16" s="509"/>
      <c r="T16" s="509"/>
      <c r="U16" s="509"/>
      <c r="V16" s="509" t="s">
        <v>197</v>
      </c>
      <c r="W16" s="509"/>
      <c r="X16" s="509"/>
      <c r="Y16" s="509"/>
    </row>
    <row r="17" spans="1:25">
      <c r="B17" s="258" t="s">
        <v>49</v>
      </c>
      <c r="C17" s="259" t="s">
        <v>50</v>
      </c>
      <c r="D17" s="41" t="s">
        <v>51</v>
      </c>
      <c r="E17" s="42"/>
      <c r="F17" s="260" t="s">
        <v>52</v>
      </c>
      <c r="G17" s="43"/>
      <c r="H17" s="44"/>
      <c r="I17" s="261" t="s">
        <v>54</v>
      </c>
      <c r="J17" s="43" t="s">
        <v>52</v>
      </c>
      <c r="K17" s="43"/>
      <c r="L17" s="44"/>
      <c r="M17" s="261" t="s">
        <v>54</v>
      </c>
      <c r="N17" s="43" t="s">
        <v>52</v>
      </c>
      <c r="O17" s="43"/>
      <c r="P17" s="44"/>
      <c r="Q17" s="261" t="s">
        <v>54</v>
      </c>
      <c r="R17" s="43" t="s">
        <v>52</v>
      </c>
      <c r="S17" s="43"/>
      <c r="T17" s="44"/>
      <c r="U17" s="261" t="s">
        <v>54</v>
      </c>
      <c r="V17" s="43" t="s">
        <v>52</v>
      </c>
      <c r="W17" s="43"/>
      <c r="X17" s="44"/>
      <c r="Y17" s="261" t="s">
        <v>54</v>
      </c>
    </row>
    <row r="18" spans="1:25">
      <c r="A18" s="47" t="str">
        <f>Interview!A18</f>
        <v>G-SM-A-1-1</v>
      </c>
      <c r="B18" s="505" t="str">
        <f>VLOOKUP(A18,'imp-questions'!A:H,4,0)</f>
        <v>Create and Promote</v>
      </c>
      <c r="C18" s="262">
        <f>VLOOKUP(A18,'imp-questions'!A:H,5,0)</f>
        <v>1</v>
      </c>
      <c r="D18" s="49" t="str">
        <f>VLOOKUP(A18,'imp-questions'!A:H,6,0)</f>
        <v>Do you understand the enterprise-wide risk appetite for your applications ?</v>
      </c>
      <c r="E18" s="50" t="str">
        <f>CHAR(65+VLOOKUP(A18,'imp-questions'!A:H,8,0))</f>
        <v>Y</v>
      </c>
      <c r="F18" s="263">
        <f>Interview!F18</f>
        <v>0</v>
      </c>
      <c r="G18" s="52">
        <f>IFERROR(VLOOKUP(F18,AnsYTBL,2,0),0)</f>
        <v>0</v>
      </c>
      <c r="H18" s="53">
        <f>IFERROR(AVERAGE(G18,G22),0)</f>
        <v>0</v>
      </c>
      <c r="I18" s="510">
        <f>SUM(H18,H19,H20)</f>
        <v>0.125</v>
      </c>
      <c r="J18" s="264">
        <f>F18</f>
        <v>0</v>
      </c>
      <c r="K18" s="52">
        <f>IFERROR(VLOOKUP(J18,AnsYTBL,2,0),0)</f>
        <v>0</v>
      </c>
      <c r="L18" s="53">
        <f>IFERROR(AVERAGE(K18,K22),0)</f>
        <v>0</v>
      </c>
      <c r="M18" s="510">
        <f>SUM(L18,L19,L20)</f>
        <v>0.125</v>
      </c>
      <c r="N18" s="264">
        <f>J18</f>
        <v>0</v>
      </c>
      <c r="O18" s="52">
        <f>IFERROR(VLOOKUP(N18,AnsYTBL,2,0),0)</f>
        <v>0</v>
      </c>
      <c r="P18" s="53">
        <f>IFERROR(AVERAGE(O18,O22),0)</f>
        <v>0</v>
      </c>
      <c r="Q18" s="510">
        <f>SUM(P18,P19,P20)</f>
        <v>0.125</v>
      </c>
      <c r="R18" s="264">
        <f>N18</f>
        <v>0</v>
      </c>
      <c r="S18" s="52">
        <f>IFERROR(VLOOKUP(R18,AnsYTBL,2,0),0)</f>
        <v>0</v>
      </c>
      <c r="T18" s="53">
        <f>IFERROR(AVERAGE(S18,S22),0)</f>
        <v>0</v>
      </c>
      <c r="U18" s="510">
        <f>SUM(T18,T19,T20)</f>
        <v>0.125</v>
      </c>
      <c r="V18" s="264">
        <f>R18</f>
        <v>0</v>
      </c>
      <c r="W18" s="52">
        <f>IFERROR(VLOOKUP(V18,AnsYTBL,2,0),0)</f>
        <v>0</v>
      </c>
      <c r="X18" s="53">
        <f>IFERROR(AVERAGE(W18,W22),0)</f>
        <v>0</v>
      </c>
      <c r="Y18" s="510">
        <f>SUM(X18,X19,X20)</f>
        <v>0.125</v>
      </c>
    </row>
    <row r="19" spans="1:25" ht="28">
      <c r="A19" s="47" t="str">
        <f>Interview!A20</f>
        <v>G-SM-A-2-1</v>
      </c>
      <c r="B19" s="505"/>
      <c r="C19" s="262">
        <f>VLOOKUP(A19,'imp-questions'!A:H,5,0)</f>
        <v>2</v>
      </c>
      <c r="D19" s="49" t="str">
        <f>VLOOKUP(A19,'imp-questions'!A:H,6,0)</f>
        <v>Do you have a strategic plan for application security and use it to make decisions?</v>
      </c>
      <c r="E19" s="60" t="str">
        <f>CHAR(65+VLOOKUP(A19,'imp-questions'!A:H,8,0))</f>
        <v>V</v>
      </c>
      <c r="F19" s="263">
        <f>Interview!F20</f>
        <v>0</v>
      </c>
      <c r="G19" s="52">
        <f>IFERROR(VLOOKUP(F19,AnsVTBL,2,0),0)</f>
        <v>0</v>
      </c>
      <c r="H19" s="63">
        <f>IFERROR(AVERAGE(G19,G23),0)</f>
        <v>0</v>
      </c>
      <c r="I19" s="510"/>
      <c r="J19" s="264">
        <f>F19</f>
        <v>0</v>
      </c>
      <c r="K19" s="52">
        <f>IFERROR(VLOOKUP(J19,AnsVTBL,2,0),0)</f>
        <v>0</v>
      </c>
      <c r="L19" s="63">
        <f>IFERROR(AVERAGE(K19,K23),0)</f>
        <v>0</v>
      </c>
      <c r="M19" s="510"/>
      <c r="N19" s="264">
        <f>J19</f>
        <v>0</v>
      </c>
      <c r="O19" s="52">
        <f>IFERROR(VLOOKUP(N19,AnsVTBL,2,0),0)</f>
        <v>0</v>
      </c>
      <c r="P19" s="63">
        <f>IFERROR(AVERAGE(O19,O23),0)</f>
        <v>0</v>
      </c>
      <c r="Q19" s="510"/>
      <c r="R19" s="264">
        <f>N19</f>
        <v>0</v>
      </c>
      <c r="S19" s="52">
        <f>IFERROR(VLOOKUP(R19,AnsVTBL,2,0),0)</f>
        <v>0</v>
      </c>
      <c r="T19" s="63">
        <f>IFERROR(AVERAGE(S19,S23),0)</f>
        <v>0</v>
      </c>
      <c r="U19" s="510"/>
      <c r="V19" s="264">
        <f>R19</f>
        <v>0</v>
      </c>
      <c r="W19" s="52">
        <f>IFERROR(VLOOKUP(V19,AnsVTBL,2,0),0)</f>
        <v>0</v>
      </c>
      <c r="X19" s="63">
        <f>IFERROR(AVERAGE(W19,W23),0)</f>
        <v>0</v>
      </c>
      <c r="Y19" s="510"/>
    </row>
    <row r="20" spans="1:25">
      <c r="A20" s="47" t="str">
        <f>Interview!A22</f>
        <v>G-SM-A-3-1</v>
      </c>
      <c r="B20" s="505"/>
      <c r="C20" s="262">
        <f>VLOOKUP(A20,'imp-questions'!A:H,5,0)</f>
        <v>3</v>
      </c>
      <c r="D20" s="265" t="str">
        <f>VLOOKUP(A20,'imp-questions'!A:H,6,0)</f>
        <v>Do you regularly review and update the Strategic Plan for Application Security?</v>
      </c>
      <c r="E20" s="60" t="str">
        <f>CHAR(65+VLOOKUP(A20,'imp-questions'!A:H,8,0))</f>
        <v>N</v>
      </c>
      <c r="F20" s="266" t="s">
        <v>198</v>
      </c>
      <c r="G20" s="52">
        <f>IFERROR(VLOOKUP(F20,AnsNTBL,2,0),0)</f>
        <v>0.25</v>
      </c>
      <c r="H20" s="63">
        <f>IFERROR(AVERAGE(G20,G24),0)</f>
        <v>0.125</v>
      </c>
      <c r="I20" s="510"/>
      <c r="J20" s="264" t="str">
        <f>F20</f>
        <v>Yes, but review is ad-hoc</v>
      </c>
      <c r="K20" s="52">
        <f>IFERROR(VLOOKUP(J20,AnsNTBL,2,0),0)</f>
        <v>0.25</v>
      </c>
      <c r="L20" s="63">
        <f>IFERROR(AVERAGE(K20,K24),0)</f>
        <v>0.125</v>
      </c>
      <c r="M20" s="510"/>
      <c r="N20" s="264" t="str">
        <f>J20</f>
        <v>Yes, but review is ad-hoc</v>
      </c>
      <c r="O20" s="52">
        <f>IFERROR(VLOOKUP(N20,AnsNTBL,2,0),0)</f>
        <v>0.25</v>
      </c>
      <c r="P20" s="63">
        <f>IFERROR(AVERAGE(O20,O24),0)</f>
        <v>0.125</v>
      </c>
      <c r="Q20" s="510"/>
      <c r="R20" s="264" t="str">
        <f>N20</f>
        <v>Yes, but review is ad-hoc</v>
      </c>
      <c r="S20" s="52">
        <f>IFERROR(VLOOKUP(R20,AnsNTBL,2,0),0)</f>
        <v>0.25</v>
      </c>
      <c r="T20" s="63">
        <f>IFERROR(AVERAGE(S20,S24),0)</f>
        <v>0.125</v>
      </c>
      <c r="U20" s="510"/>
      <c r="V20" s="264" t="str">
        <f>R20</f>
        <v>Yes, but review is ad-hoc</v>
      </c>
      <c r="W20" s="52">
        <f>IFERROR(VLOOKUP(V20,AnsNTBL,2,0),0)</f>
        <v>0.25</v>
      </c>
      <c r="X20" s="63">
        <f>IFERROR(AVERAGE(W20,W24),0)</f>
        <v>0.125</v>
      </c>
      <c r="Y20" s="510"/>
    </row>
    <row r="21" spans="1:25" ht="13">
      <c r="A21" s="47"/>
      <c r="B21" s="267"/>
      <c r="C21" s="268"/>
      <c r="D21" s="269"/>
      <c r="E21" s="269"/>
      <c r="F21" s="269"/>
      <c r="G21" s="269"/>
      <c r="H21" s="269"/>
      <c r="I21" s="510"/>
      <c r="J21" s="269"/>
      <c r="K21" s="269"/>
      <c r="L21" s="269"/>
      <c r="M21" s="510"/>
      <c r="N21" s="269"/>
      <c r="O21" s="269"/>
      <c r="P21" s="269"/>
      <c r="Q21" s="510"/>
      <c r="R21" s="269"/>
      <c r="S21" s="269"/>
      <c r="T21" s="269"/>
      <c r="U21" s="510"/>
      <c r="V21" s="269"/>
      <c r="W21" s="269"/>
      <c r="X21" s="269"/>
      <c r="Y21" s="510"/>
    </row>
    <row r="22" spans="1:25" ht="28">
      <c r="A22" s="47" t="str">
        <f>Interview!A25</f>
        <v>G-SM-B-1-1</v>
      </c>
      <c r="B22" s="505" t="str">
        <f>VLOOKUP(A22,'imp-questions'!A:H,4,0)</f>
        <v>Measure and Improve</v>
      </c>
      <c r="C22" s="262">
        <f>VLOOKUP(A22,'imp-questions'!A:H,5,0)</f>
        <v>1</v>
      </c>
      <c r="D22" s="49" t="str">
        <f>VLOOKUP(A22,'imp-questions'!A:H,6,0)</f>
        <v>Do you use a set of metrics to measure the effectiveness and efficiency of the application security program across applications?</v>
      </c>
      <c r="E22" s="50" t="str">
        <f>CHAR(65+VLOOKUP(A22,'imp-questions'!A:H,8,0))</f>
        <v>K</v>
      </c>
      <c r="F22" s="270">
        <f>Interview!F25</f>
        <v>0</v>
      </c>
      <c r="G22" s="52">
        <f>IFERROR(VLOOKUP(F22,AnsKTBL,2,0),0)</f>
        <v>0</v>
      </c>
      <c r="H22" s="53"/>
      <c r="I22" s="510"/>
      <c r="J22" s="264">
        <f>F22</f>
        <v>0</v>
      </c>
      <c r="K22" s="52">
        <f>IFERROR(VLOOKUP(J22,AnsKTBL,2,0),0)</f>
        <v>0</v>
      </c>
      <c r="L22" s="53"/>
      <c r="M22" s="510"/>
      <c r="N22" s="264">
        <f>J22</f>
        <v>0</v>
      </c>
      <c r="O22" s="52">
        <f>IFERROR(VLOOKUP(N22,AnsKTBL,2,0),0)</f>
        <v>0</v>
      </c>
      <c r="P22" s="53"/>
      <c r="Q22" s="510"/>
      <c r="R22" s="264">
        <f>N22</f>
        <v>0</v>
      </c>
      <c r="S22" s="52">
        <f>IFERROR(VLOOKUP(R22,AnsKTBL,2,0),0)</f>
        <v>0</v>
      </c>
      <c r="T22" s="53"/>
      <c r="U22" s="510"/>
      <c r="V22" s="264">
        <f>R22</f>
        <v>0</v>
      </c>
      <c r="W22" s="52">
        <f>IFERROR(VLOOKUP(V22,AnsKTBL,2,0),0)</f>
        <v>0</v>
      </c>
      <c r="X22" s="53"/>
      <c r="Y22" s="510"/>
    </row>
    <row r="23" spans="1:25" ht="28">
      <c r="A23" s="47" t="str">
        <f>Interview!A27</f>
        <v>G-SM-B-2-1</v>
      </c>
      <c r="B23" s="505"/>
      <c r="C23" s="262">
        <f>VLOOKUP(A23,'imp-questions'!A:H,5,0)</f>
        <v>2</v>
      </c>
      <c r="D23" s="49" t="str">
        <f>VLOOKUP(A23,'imp-questions'!A:H,6,0)</f>
        <v>Did you define Key Perfomance Indicators (KPI) from available application security metrics?</v>
      </c>
      <c r="E23" s="50" t="str">
        <f>CHAR(65+VLOOKUP(A23,'imp-questions'!A:H,8,0))</f>
        <v>B</v>
      </c>
      <c r="F23" s="263">
        <f>Interview!F27</f>
        <v>0</v>
      </c>
      <c r="G23" s="52">
        <f>IFERROR(VLOOKUP(F23,AnsBTBL,2,0),0)</f>
        <v>0</v>
      </c>
      <c r="H23" s="63"/>
      <c r="I23" s="510"/>
      <c r="J23" s="264">
        <f>F23</f>
        <v>0</v>
      </c>
      <c r="K23" s="52">
        <f>IFERROR(VLOOKUP(J23,AnsBTBL,2,0),0)</f>
        <v>0</v>
      </c>
      <c r="L23" s="63"/>
      <c r="M23" s="510"/>
      <c r="N23" s="264">
        <f>J23</f>
        <v>0</v>
      </c>
      <c r="O23" s="52">
        <f>IFERROR(VLOOKUP(N23,AnsBTBL,2,0),0)</f>
        <v>0</v>
      </c>
      <c r="P23" s="63"/>
      <c r="Q23" s="510"/>
      <c r="R23" s="264">
        <f>N23</f>
        <v>0</v>
      </c>
      <c r="S23" s="52">
        <f>IFERROR(VLOOKUP(R23,AnsBTBL,2,0),0)</f>
        <v>0</v>
      </c>
      <c r="T23" s="63"/>
      <c r="U23" s="510"/>
      <c r="V23" s="264">
        <f>R23</f>
        <v>0</v>
      </c>
      <c r="W23" s="52">
        <f>IFERROR(VLOOKUP(V23,AnsBTBL,2,0),0)</f>
        <v>0</v>
      </c>
      <c r="X23" s="63"/>
      <c r="Y23" s="510"/>
    </row>
    <row r="24" spans="1:25" ht="28">
      <c r="A24" s="47" t="str">
        <f>Interview!A29</f>
        <v>G-SM-B-3-1</v>
      </c>
      <c r="B24" s="505"/>
      <c r="C24" s="262">
        <f>VLOOKUP(A24,'imp-questions'!A:H,5,0)</f>
        <v>3</v>
      </c>
      <c r="D24" s="265" t="str">
        <f>VLOOKUP(A24,'imp-questions'!A:H,6,0)</f>
        <v>Do you update the Application Security strategy and roadmap based on application security metrics and KPIs?</v>
      </c>
      <c r="E24" s="50" t="str">
        <f>CHAR(65+VLOOKUP(A24,'imp-questions'!A:H,8,0))</f>
        <v>N</v>
      </c>
      <c r="F24" s="263">
        <f>Interview!F29</f>
        <v>0</v>
      </c>
      <c r="G24" s="52">
        <f>IFERROR(VLOOKUP(F24,AnsNTBL,2,0),0)</f>
        <v>0</v>
      </c>
      <c r="H24" s="63"/>
      <c r="I24" s="510"/>
      <c r="J24" s="264">
        <f>F24</f>
        <v>0</v>
      </c>
      <c r="K24" s="52">
        <f>IFERROR(VLOOKUP(J24,AnsNTBL,2,0),0)</f>
        <v>0</v>
      </c>
      <c r="L24" s="63"/>
      <c r="M24" s="510"/>
      <c r="N24" s="264">
        <f>J24</f>
        <v>0</v>
      </c>
      <c r="O24" s="52">
        <f>IFERROR(VLOOKUP(N24,AnsNTBL,2,0),0)</f>
        <v>0</v>
      </c>
      <c r="P24" s="63"/>
      <c r="Q24" s="510"/>
      <c r="R24" s="264">
        <f>N24</f>
        <v>0</v>
      </c>
      <c r="S24" s="52">
        <f>IFERROR(VLOOKUP(R24,AnsNTBL,2,0),0)</f>
        <v>0</v>
      </c>
      <c r="T24" s="63"/>
      <c r="U24" s="510"/>
      <c r="V24" s="264">
        <f>R24</f>
        <v>0</v>
      </c>
      <c r="W24" s="52">
        <f>IFERROR(VLOOKUP(V24,AnsNTBL,2,0),0)</f>
        <v>0</v>
      </c>
      <c r="X24" s="63"/>
      <c r="Y24" s="510"/>
    </row>
    <row r="25" spans="1:25" ht="13">
      <c r="A25" s="47"/>
      <c r="B25" s="267"/>
      <c r="C25" s="268"/>
      <c r="D25" s="269"/>
      <c r="E25" s="269"/>
      <c r="F25" s="269"/>
      <c r="G25" s="269"/>
      <c r="H25" s="269"/>
      <c r="I25" s="269"/>
      <c r="J25" s="269"/>
      <c r="K25" s="269"/>
      <c r="L25" s="269"/>
      <c r="M25" s="269"/>
      <c r="N25" s="269"/>
      <c r="O25" s="269"/>
      <c r="P25" s="269"/>
      <c r="Q25" s="269"/>
      <c r="R25" s="269"/>
      <c r="S25" s="269"/>
      <c r="T25" s="269"/>
      <c r="U25" s="269"/>
      <c r="V25" s="269"/>
      <c r="W25" s="269"/>
      <c r="X25" s="269"/>
      <c r="Y25" s="269"/>
    </row>
    <row r="26" spans="1:25">
      <c r="A26" s="47"/>
      <c r="B26" s="258" t="s">
        <v>49</v>
      </c>
      <c r="C26" s="259" t="s">
        <v>50</v>
      </c>
      <c r="D26" s="271" t="s">
        <v>61</v>
      </c>
      <c r="E26" s="272"/>
      <c r="F26" s="273" t="s">
        <v>52</v>
      </c>
      <c r="G26" s="273"/>
      <c r="H26" s="274"/>
      <c r="I26" s="261" t="s">
        <v>54</v>
      </c>
      <c r="J26" s="273" t="s">
        <v>52</v>
      </c>
      <c r="K26" s="273"/>
      <c r="L26" s="274"/>
      <c r="M26" s="261" t="s">
        <v>54</v>
      </c>
      <c r="N26" s="273" t="s">
        <v>52</v>
      </c>
      <c r="O26" s="273"/>
      <c r="P26" s="274"/>
      <c r="Q26" s="261" t="s">
        <v>54</v>
      </c>
      <c r="R26" s="273" t="s">
        <v>52</v>
      </c>
      <c r="S26" s="273"/>
      <c r="T26" s="274"/>
      <c r="U26" s="261" t="s">
        <v>54</v>
      </c>
      <c r="V26" s="273" t="s">
        <v>52</v>
      </c>
      <c r="W26" s="273"/>
      <c r="X26" s="274"/>
      <c r="Y26" s="261" t="s">
        <v>54</v>
      </c>
    </row>
    <row r="27" spans="1:25" ht="28">
      <c r="A27" s="47" t="str">
        <f>Interview!A32</f>
        <v>G-PC-A-1-1</v>
      </c>
      <c r="B27" s="505" t="str">
        <f>VLOOKUP(A27,'imp-questions'!A:H,4,0)</f>
        <v>Policy &amp; Standards</v>
      </c>
      <c r="C27" s="262">
        <f>VLOOKUP(A27,'imp-questions'!A:H,5,0)</f>
        <v>1</v>
      </c>
      <c r="D27" s="49" t="str">
        <f>VLOOKUP(A27,'imp-questions'!A:H,6,0)</f>
        <v>Do you have and apply a common set of policies and standards throughout your organization?</v>
      </c>
      <c r="E27" s="50" t="str">
        <f>CHAR(65+VLOOKUP(A27,'imp-questions'!A:H,8,0))</f>
        <v>F</v>
      </c>
      <c r="F27" s="275">
        <f>Interview!F32</f>
        <v>0</v>
      </c>
      <c r="G27" s="52">
        <f>IFERROR(VLOOKUP(F27,AnsFTBL,2,0),0)</f>
        <v>0</v>
      </c>
      <c r="H27" s="276">
        <f>IFERROR(AVERAGE(G27,G31),0)</f>
        <v>0</v>
      </c>
      <c r="I27" s="506">
        <f>SUM(H27,H28,H29)</f>
        <v>0</v>
      </c>
      <c r="J27" s="264">
        <f>F27</f>
        <v>0</v>
      </c>
      <c r="K27" s="52">
        <f>IFERROR(VLOOKUP(J27,AnsFTBL,2,0),0)</f>
        <v>0</v>
      </c>
      <c r="L27" s="276">
        <f>IFERROR(AVERAGE(K27,K31),0)</f>
        <v>0</v>
      </c>
      <c r="M27" s="506">
        <f>SUM(L27,L28,L29)</f>
        <v>0</v>
      </c>
      <c r="N27" s="264">
        <f>J27</f>
        <v>0</v>
      </c>
      <c r="O27" s="52">
        <f>IFERROR(VLOOKUP(N27,AnsFTBL,2,0),0)</f>
        <v>0</v>
      </c>
      <c r="P27" s="276">
        <f>IFERROR(AVERAGE(O27,O31),0)</f>
        <v>0</v>
      </c>
      <c r="Q27" s="506">
        <f>SUM(P27,P28,P29)</f>
        <v>0</v>
      </c>
      <c r="R27" s="264">
        <f>N27</f>
        <v>0</v>
      </c>
      <c r="S27" s="52">
        <f>IFERROR(VLOOKUP(R27,AnsFTBL,2,0),0)</f>
        <v>0</v>
      </c>
      <c r="T27" s="276">
        <f>IFERROR(AVERAGE(S27,S31),0)</f>
        <v>0</v>
      </c>
      <c r="U27" s="506">
        <f>SUM(T27,T28,T29)</f>
        <v>0</v>
      </c>
      <c r="V27" s="264">
        <f>R27</f>
        <v>0</v>
      </c>
      <c r="W27" s="52">
        <f>IFERROR(VLOOKUP(V27,AnsFTBL,2,0),0)</f>
        <v>0</v>
      </c>
      <c r="X27" s="276">
        <f>IFERROR(AVERAGE(W27,W31),0)</f>
        <v>0</v>
      </c>
      <c r="Y27" s="506">
        <f>SUM(X27,X28,X29)</f>
        <v>0</v>
      </c>
    </row>
    <row r="28" spans="1:25" ht="28">
      <c r="A28" s="47" t="str">
        <f>Interview!A34</f>
        <v>G-PC-A-2-1</v>
      </c>
      <c r="B28" s="505"/>
      <c r="C28" s="262">
        <f>VLOOKUP(A28,'imp-questions'!A:H,5,0)</f>
        <v>2</v>
      </c>
      <c r="D28" s="49" t="str">
        <f>VLOOKUP(A28,'imp-questions'!A:H,6,0)</f>
        <v>Do you publish the organization's policies as test scripts or run-books for easy interpretation by development teams?</v>
      </c>
      <c r="E28" s="50" t="str">
        <f>CHAR(65+VLOOKUP(A28,'imp-questions'!A:H,8,0))</f>
        <v>A</v>
      </c>
      <c r="F28" s="275">
        <f>Interview!F34</f>
        <v>0</v>
      </c>
      <c r="G28" s="52">
        <f>IFERROR(VLOOKUP(F28,AnsATBL,2,0),0)</f>
        <v>0</v>
      </c>
      <c r="H28" s="203">
        <f>IFERROR(AVERAGE(G28,G32),0)</f>
        <v>0</v>
      </c>
      <c r="I28" s="506"/>
      <c r="J28" s="264">
        <f>F28</f>
        <v>0</v>
      </c>
      <c r="K28" s="52">
        <f>IFERROR(VLOOKUP(J28,AnsATBL,2,0),0)</f>
        <v>0</v>
      </c>
      <c r="L28" s="203">
        <f>IFERROR(AVERAGE(K28,K32),0)</f>
        <v>0</v>
      </c>
      <c r="M28" s="506"/>
      <c r="N28" s="264">
        <f>J28</f>
        <v>0</v>
      </c>
      <c r="O28" s="52">
        <f>IFERROR(VLOOKUP(N28,AnsATBL,2,0),0)</f>
        <v>0</v>
      </c>
      <c r="P28" s="203">
        <f>IFERROR(AVERAGE(O28,O32),0)</f>
        <v>0</v>
      </c>
      <c r="Q28" s="506"/>
      <c r="R28" s="264">
        <f>N28</f>
        <v>0</v>
      </c>
      <c r="S28" s="52">
        <f>IFERROR(VLOOKUP(R28,AnsATBL,2,0),0)</f>
        <v>0</v>
      </c>
      <c r="T28" s="203">
        <f>IFERROR(AVERAGE(S28,S32),0)</f>
        <v>0</v>
      </c>
      <c r="U28" s="506"/>
      <c r="V28" s="264">
        <f>R28</f>
        <v>0</v>
      </c>
      <c r="W28" s="52">
        <f>IFERROR(VLOOKUP(V28,AnsATBL,2,0),0)</f>
        <v>0</v>
      </c>
      <c r="X28" s="203">
        <f>IFERROR(AVERAGE(W28,W32),0)</f>
        <v>0</v>
      </c>
      <c r="Y28" s="506"/>
    </row>
    <row r="29" spans="1:25" ht="28">
      <c r="A29" s="47" t="str">
        <f>Interview!A36</f>
        <v>G-PC-A-3-1</v>
      </c>
      <c r="B29" s="505"/>
      <c r="C29" s="262">
        <f>VLOOKUP(A29,'imp-questions'!A:H,5,0)</f>
        <v>3</v>
      </c>
      <c r="D29" s="49" t="str">
        <f>VLOOKUP(A29,'imp-questions'!A:H,6,0)</f>
        <v>Do you regularly report on policy and standard compliance, and use that information to guide compliance improvement efforts?</v>
      </c>
      <c r="E29" s="50" t="str">
        <f>CHAR(65+VLOOKUP(A29,'imp-questions'!A:H,8,0))</f>
        <v>E</v>
      </c>
      <c r="F29" s="275">
        <f>Interview!F36</f>
        <v>0</v>
      </c>
      <c r="G29" s="52">
        <f>IFERROR(VLOOKUP(F29,AnsETBL,2,0),0)</f>
        <v>0</v>
      </c>
      <c r="H29" s="203">
        <f>IFERROR(AVERAGE(G29,G33),0)</f>
        <v>0</v>
      </c>
      <c r="I29" s="506"/>
      <c r="J29" s="264">
        <f>F29</f>
        <v>0</v>
      </c>
      <c r="K29" s="52">
        <f>IFERROR(VLOOKUP(J29,AnsETBL,2,0),0)</f>
        <v>0</v>
      </c>
      <c r="L29" s="203">
        <f>IFERROR(AVERAGE(K29,K33),0)</f>
        <v>0</v>
      </c>
      <c r="M29" s="506"/>
      <c r="N29" s="264">
        <f>J29</f>
        <v>0</v>
      </c>
      <c r="O29" s="52">
        <f>IFERROR(VLOOKUP(N29,AnsETBL,2,0),0)</f>
        <v>0</v>
      </c>
      <c r="P29" s="203">
        <f>IFERROR(AVERAGE(O29,O33),0)</f>
        <v>0</v>
      </c>
      <c r="Q29" s="506"/>
      <c r="R29" s="264">
        <f>N29</f>
        <v>0</v>
      </c>
      <c r="S29" s="52">
        <f>IFERROR(VLOOKUP(R29,AnsETBL,2,0),0)</f>
        <v>0</v>
      </c>
      <c r="T29" s="203">
        <f>IFERROR(AVERAGE(S29,S33),0)</f>
        <v>0</v>
      </c>
      <c r="U29" s="506"/>
      <c r="V29" s="264">
        <f>R29</f>
        <v>0</v>
      </c>
      <c r="W29" s="52">
        <f>IFERROR(VLOOKUP(V29,AnsETBL,2,0),0)</f>
        <v>0</v>
      </c>
      <c r="X29" s="203">
        <f>IFERROR(AVERAGE(W29,W33),0)</f>
        <v>0</v>
      </c>
      <c r="Y29" s="506"/>
    </row>
    <row r="30" spans="1:25" ht="13">
      <c r="A30" s="47"/>
      <c r="B30" s="277"/>
      <c r="C30" s="278"/>
      <c r="D30" s="74"/>
      <c r="E30" s="74"/>
      <c r="F30" s="74"/>
      <c r="G30" s="74"/>
      <c r="H30" s="74"/>
      <c r="I30" s="506"/>
      <c r="J30" s="74"/>
      <c r="K30" s="74"/>
      <c r="L30" s="74"/>
      <c r="M30" s="506"/>
      <c r="N30" s="74"/>
      <c r="O30" s="74"/>
      <c r="P30" s="74"/>
      <c r="Q30" s="506"/>
      <c r="R30" s="74"/>
      <c r="S30" s="74"/>
      <c r="T30" s="74"/>
      <c r="U30" s="506"/>
      <c r="V30" s="74"/>
      <c r="W30" s="74"/>
      <c r="X30" s="74"/>
      <c r="Y30" s="506"/>
    </row>
    <row r="31" spans="1:25">
      <c r="A31" s="47" t="str">
        <f>Interview!A39</f>
        <v>G-PC-B-1-1</v>
      </c>
      <c r="B31" s="507" t="str">
        <f>VLOOKUP(A31,'imp-questions'!A:H,4,0)</f>
        <v>Compliance Management</v>
      </c>
      <c r="C31" s="262">
        <f>VLOOKUP(A31,'imp-questions'!A:H,5,0)</f>
        <v>1</v>
      </c>
      <c r="D31" s="49" t="str">
        <f>VLOOKUP(A31,'imp-questions'!A:H,6,0)</f>
        <v>Do you have a complete picture of your external compliance obligations?</v>
      </c>
      <c r="E31" s="50" t="str">
        <f>CHAR(65+VLOOKUP(A31,'imp-questions'!A:H,8,0))</f>
        <v>F</v>
      </c>
      <c r="F31" s="263">
        <f>Interview!F39</f>
        <v>0</v>
      </c>
      <c r="G31" s="52">
        <f>IFERROR(VLOOKUP(F31,AnsFTBL,2,0),0)</f>
        <v>0</v>
      </c>
      <c r="H31" s="279"/>
      <c r="I31" s="506"/>
      <c r="J31" s="264">
        <f>F31</f>
        <v>0</v>
      </c>
      <c r="K31" s="52">
        <f>IFERROR(VLOOKUP(J31,AnsFTBL,2,0),0)</f>
        <v>0</v>
      </c>
      <c r="L31" s="279"/>
      <c r="M31" s="506"/>
      <c r="N31" s="264">
        <f>J31</f>
        <v>0</v>
      </c>
      <c r="O31" s="52">
        <f>IFERROR(VLOOKUP(N31,AnsFTBL,2,0),0)</f>
        <v>0</v>
      </c>
      <c r="P31" s="279"/>
      <c r="Q31" s="506"/>
      <c r="R31" s="264">
        <f>N31</f>
        <v>0</v>
      </c>
      <c r="S31" s="52">
        <f>IFERROR(VLOOKUP(R31,AnsFTBL,2,0),0)</f>
        <v>0</v>
      </c>
      <c r="T31" s="279"/>
      <c r="U31" s="506"/>
      <c r="V31" s="264">
        <f>R31</f>
        <v>0</v>
      </c>
      <c r="W31" s="52">
        <f>IFERROR(VLOOKUP(V31,AnsFTBL,2,0),0)</f>
        <v>0</v>
      </c>
      <c r="X31" s="279"/>
      <c r="Y31" s="506"/>
    </row>
    <row r="32" spans="1:25" ht="28">
      <c r="A32" s="47" t="str">
        <f>Interview!A41</f>
        <v>G-PC-B-2-1</v>
      </c>
      <c r="B32" s="507"/>
      <c r="C32" s="262">
        <f>VLOOKUP(A32,'imp-questions'!A:H,5,0)</f>
        <v>2</v>
      </c>
      <c r="D32" s="49" t="str">
        <f>VLOOKUP(A32,'imp-questions'!A:H,6,0)</f>
        <v>Do you have a standard set of security requirements and verification procedures addressing the organization's external compliance obligations?</v>
      </c>
      <c r="E32" s="50" t="str">
        <f>CHAR(65+VLOOKUP(A32,'imp-questions'!A:H,8,0))</f>
        <v>D</v>
      </c>
      <c r="F32" s="263">
        <f>Interview!F41</f>
        <v>0</v>
      </c>
      <c r="G32" s="52">
        <f>IFERROR(VLOOKUP(F32,AnsDTBL,2,0),0)</f>
        <v>0</v>
      </c>
      <c r="H32" s="279"/>
      <c r="I32" s="506"/>
      <c r="J32" s="264">
        <f>F32</f>
        <v>0</v>
      </c>
      <c r="K32" s="52">
        <f>IFERROR(VLOOKUP(J32,AnsDTBL,2,0),0)</f>
        <v>0</v>
      </c>
      <c r="L32" s="279"/>
      <c r="M32" s="506"/>
      <c r="N32" s="264">
        <f>J32</f>
        <v>0</v>
      </c>
      <c r="O32" s="52">
        <f>IFERROR(VLOOKUP(N32,AnsDTBL,2,0),0)</f>
        <v>0</v>
      </c>
      <c r="P32" s="279"/>
      <c r="Q32" s="506"/>
      <c r="R32" s="264">
        <f>N32</f>
        <v>0</v>
      </c>
      <c r="S32" s="52">
        <f>IFERROR(VLOOKUP(R32,AnsDTBL,2,0),0)</f>
        <v>0</v>
      </c>
      <c r="T32" s="279"/>
      <c r="U32" s="506"/>
      <c r="V32" s="264">
        <f>R32</f>
        <v>0</v>
      </c>
      <c r="W32" s="52">
        <f>IFERROR(VLOOKUP(V32,AnsDTBL,2,0),0)</f>
        <v>0</v>
      </c>
      <c r="X32" s="279"/>
      <c r="Y32" s="506"/>
    </row>
    <row r="33" spans="1:25" ht="28">
      <c r="A33" s="47" t="str">
        <f>Interview!A43</f>
        <v>G-PC-B-3-1</v>
      </c>
      <c r="B33" s="507"/>
      <c r="C33" s="262">
        <f>VLOOKUP(A33,'imp-questions'!A:H,5,0)</f>
        <v>3</v>
      </c>
      <c r="D33" s="49" t="str">
        <f>VLOOKUP(A33,'imp-questions'!A:H,6,0)</f>
        <v>Do you regularly report on adherence to external compliance obligations and use that information to guide efforts to close compliance gaps?</v>
      </c>
      <c r="E33" s="50" t="str">
        <f>CHAR(65+VLOOKUP(A33,'imp-questions'!A:H,8,0))</f>
        <v>E</v>
      </c>
      <c r="F33" s="263">
        <f>Interview!F43</f>
        <v>0</v>
      </c>
      <c r="G33" s="52">
        <f>IFERROR(VLOOKUP(F33,AnsETBL,2,0),0)</f>
        <v>0</v>
      </c>
      <c r="H33" s="279"/>
      <c r="I33" s="506"/>
      <c r="J33" s="264">
        <f>F33</f>
        <v>0</v>
      </c>
      <c r="K33" s="52">
        <f>IFERROR(VLOOKUP(J33,AnsETBL,2,0),0)</f>
        <v>0</v>
      </c>
      <c r="L33" s="279"/>
      <c r="M33" s="506"/>
      <c r="N33" s="264">
        <f>J33</f>
        <v>0</v>
      </c>
      <c r="O33" s="52">
        <f>IFERROR(VLOOKUP(N33,AnsETBL,2,0),0)</f>
        <v>0</v>
      </c>
      <c r="P33" s="279"/>
      <c r="Q33" s="506"/>
      <c r="R33" s="264">
        <f>N33</f>
        <v>0</v>
      </c>
      <c r="S33" s="52">
        <f>IFERROR(VLOOKUP(R33,AnsETBL,2,0),0)</f>
        <v>0</v>
      </c>
      <c r="T33" s="279"/>
      <c r="U33" s="506"/>
      <c r="V33" s="264">
        <f>R33</f>
        <v>0</v>
      </c>
      <c r="W33" s="52">
        <f>IFERROR(VLOOKUP(V33,AnsETBL,2,0),0)</f>
        <v>0</v>
      </c>
      <c r="X33" s="279"/>
      <c r="Y33" s="506"/>
    </row>
    <row r="34" spans="1:25" ht="13">
      <c r="A34" s="47"/>
      <c r="B34" s="277"/>
      <c r="C34" s="278"/>
      <c r="D34" s="74"/>
      <c r="E34" s="74"/>
      <c r="F34" s="74"/>
      <c r="G34" s="74"/>
      <c r="H34" s="74"/>
      <c r="I34" s="269"/>
      <c r="J34" s="74"/>
      <c r="K34" s="74"/>
      <c r="L34" s="74"/>
      <c r="M34" s="269"/>
      <c r="N34" s="74"/>
      <c r="O34" s="74"/>
      <c r="P34" s="74"/>
      <c r="Q34" s="269"/>
      <c r="R34" s="74"/>
      <c r="S34" s="74"/>
      <c r="T34" s="74"/>
      <c r="U34" s="269"/>
      <c r="V34" s="74"/>
      <c r="W34" s="74"/>
      <c r="X34" s="74"/>
      <c r="Y34" s="269"/>
    </row>
    <row r="35" spans="1:25">
      <c r="A35" s="47"/>
      <c r="B35" s="258" t="s">
        <v>49</v>
      </c>
      <c r="C35" s="259" t="s">
        <v>50</v>
      </c>
      <c r="D35" s="271" t="s">
        <v>68</v>
      </c>
      <c r="E35" s="272"/>
      <c r="F35" s="273" t="s">
        <v>52</v>
      </c>
      <c r="G35" s="273"/>
      <c r="H35" s="274"/>
      <c r="I35" s="261" t="s">
        <v>54</v>
      </c>
      <c r="J35" s="273" t="s">
        <v>52</v>
      </c>
      <c r="K35" s="273"/>
      <c r="L35" s="274"/>
      <c r="M35" s="261" t="s">
        <v>54</v>
      </c>
      <c r="N35" s="273" t="s">
        <v>52</v>
      </c>
      <c r="O35" s="273"/>
      <c r="P35" s="274"/>
      <c r="Q35" s="261" t="s">
        <v>54</v>
      </c>
      <c r="R35" s="273" t="s">
        <v>52</v>
      </c>
      <c r="S35" s="273"/>
      <c r="T35" s="274"/>
      <c r="U35" s="261" t="s">
        <v>54</v>
      </c>
      <c r="V35" s="273" t="s">
        <v>52</v>
      </c>
      <c r="W35" s="273"/>
      <c r="X35" s="274"/>
      <c r="Y35" s="261" t="s">
        <v>54</v>
      </c>
    </row>
    <row r="36" spans="1:25" ht="28">
      <c r="A36" s="47" t="str">
        <f>Interview!A46</f>
        <v>G-EG-A-1-1</v>
      </c>
      <c r="B36" s="505" t="str">
        <f>VLOOKUP(A36,'imp-questions'!A:H,4,0)</f>
        <v>Training and Awareness</v>
      </c>
      <c r="C36" s="262">
        <f>VLOOKUP(A36,'imp-questions'!A:H,5,0)</f>
        <v>1</v>
      </c>
      <c r="D36" s="49" t="str">
        <f>VLOOKUP(A36,'imp-questions'!A:H,6,0)</f>
        <v>Do you require employees involved with application development to take SDLC training?</v>
      </c>
      <c r="E36" s="50" t="str">
        <f>CHAR(65+VLOOKUP(A36,'imp-questions'!A:H,8,0))</f>
        <v>C</v>
      </c>
      <c r="F36" s="270" t="str">
        <f>Interview!F46</f>
        <v>Yes, some of them</v>
      </c>
      <c r="G36" s="52">
        <f>IFERROR(VLOOKUP(F36,AnsCTBL,2,0),0)</f>
        <v>0.25</v>
      </c>
      <c r="H36" s="276">
        <f>IFERROR(AVERAGE(G36,G40),0)</f>
        <v>0.625</v>
      </c>
      <c r="I36" s="508">
        <f>SUM(H36,H37,H38)</f>
        <v>2.625</v>
      </c>
      <c r="J36" s="264" t="str">
        <f>F36</f>
        <v>Yes, some of them</v>
      </c>
      <c r="K36" s="52">
        <f>IFERROR(VLOOKUP(J36,AnsCTBL,2,0),0)</f>
        <v>0.25</v>
      </c>
      <c r="L36" s="276">
        <f>IFERROR(AVERAGE(K36,K40),0)</f>
        <v>0.625</v>
      </c>
      <c r="M36" s="508">
        <f>SUM(L36,L37,L38)</f>
        <v>2.625</v>
      </c>
      <c r="N36" s="264" t="str">
        <f>J36</f>
        <v>Yes, some of them</v>
      </c>
      <c r="O36" s="52">
        <f>IFERROR(VLOOKUP(N36,AnsCTBL,2,0),0)</f>
        <v>0.25</v>
      </c>
      <c r="P36" s="276">
        <f>IFERROR(AVERAGE(O36,O40),0)</f>
        <v>0.625</v>
      </c>
      <c r="Q36" s="508">
        <f>SUM(P36,P37,P38)</f>
        <v>2.625</v>
      </c>
      <c r="R36" s="264" t="str">
        <f>N36</f>
        <v>Yes, some of them</v>
      </c>
      <c r="S36" s="52">
        <f>IFERROR(VLOOKUP(R36,AnsCTBL,2,0),0)</f>
        <v>0.25</v>
      </c>
      <c r="T36" s="276">
        <f>IFERROR(AVERAGE(S36,S40),0)</f>
        <v>0.625</v>
      </c>
      <c r="U36" s="508">
        <f>SUM(T36,T37,T38)</f>
        <v>2.625</v>
      </c>
      <c r="V36" s="264" t="str">
        <f>R36</f>
        <v>Yes, some of them</v>
      </c>
      <c r="W36" s="52">
        <f>IFERROR(VLOOKUP(V36,AnsCTBL,2,0),0)</f>
        <v>0.25</v>
      </c>
      <c r="X36" s="276">
        <f>IFERROR(AVERAGE(W36,W40),0)</f>
        <v>0.625</v>
      </c>
      <c r="Y36" s="508">
        <f>SUM(X36,X37,X38)</f>
        <v>2.625</v>
      </c>
    </row>
    <row r="37" spans="1:25" ht="28">
      <c r="A37" s="47" t="str">
        <f>Interview!A48</f>
        <v>G-EG-A-2-1</v>
      </c>
      <c r="B37" s="505"/>
      <c r="C37" s="262">
        <f>VLOOKUP(A37,'imp-questions'!A:H,5,0)</f>
        <v>2</v>
      </c>
      <c r="D37" s="49" t="str">
        <f>VLOOKUP(A37,'imp-questions'!A:H,6,0)</f>
        <v>Is training customized for individual roles such as developers, testers, or security champions?</v>
      </c>
      <c r="E37" s="60" t="str">
        <f>CHAR(65+VLOOKUP(A37,'imp-questions'!A:H,8,0))</f>
        <v>I</v>
      </c>
      <c r="F37" s="263" t="str">
        <f>Interview!F48</f>
        <v>Yes, for most or all of the training</v>
      </c>
      <c r="G37" s="52">
        <f>IFERROR(VLOOKUP(F37,AnsITBL,2,0),0)</f>
        <v>1</v>
      </c>
      <c r="H37" s="203">
        <f>IFERROR(AVERAGE(G37,G41),0)</f>
        <v>1</v>
      </c>
      <c r="I37" s="508"/>
      <c r="J37" s="264" t="str">
        <f>F37</f>
        <v>Yes, for most or all of the training</v>
      </c>
      <c r="K37" s="52">
        <f>IFERROR(VLOOKUP(J37,AnsITBL,2,0),0)</f>
        <v>1</v>
      </c>
      <c r="L37" s="203">
        <f>IFERROR(AVERAGE(K37,K41),0)</f>
        <v>1</v>
      </c>
      <c r="M37" s="508"/>
      <c r="N37" s="264" t="str">
        <f>J37</f>
        <v>Yes, for most or all of the training</v>
      </c>
      <c r="O37" s="52">
        <f>IFERROR(VLOOKUP(N37,AnsITBL,2,0),0)</f>
        <v>1</v>
      </c>
      <c r="P37" s="203">
        <f>IFERROR(AVERAGE(O37,O41),0)</f>
        <v>1</v>
      </c>
      <c r="Q37" s="508"/>
      <c r="R37" s="264" t="str">
        <f>N37</f>
        <v>Yes, for most or all of the training</v>
      </c>
      <c r="S37" s="52">
        <f>IFERROR(VLOOKUP(R37,AnsITBL,2,0),0)</f>
        <v>1</v>
      </c>
      <c r="T37" s="203">
        <f>IFERROR(AVERAGE(S37,S41),0)</f>
        <v>1</v>
      </c>
      <c r="U37" s="508"/>
      <c r="V37" s="264" t="str">
        <f>R37</f>
        <v>Yes, for most or all of the training</v>
      </c>
      <c r="W37" s="52">
        <f>IFERROR(VLOOKUP(V37,AnsITBL,2,0),0)</f>
        <v>1</v>
      </c>
      <c r="X37" s="203">
        <f>IFERROR(AVERAGE(W37,W41),0)</f>
        <v>1</v>
      </c>
      <c r="Y37" s="508"/>
    </row>
    <row r="38" spans="1:25" ht="28">
      <c r="A38" s="47" t="str">
        <f>Interview!A50</f>
        <v>G-EG-A-3-1</v>
      </c>
      <c r="B38" s="505"/>
      <c r="C38" s="262">
        <f>VLOOKUP(A38,'imp-questions'!A:H,5,0)</f>
        <v>3</v>
      </c>
      <c r="D38" s="265" t="str">
        <f>VLOOKUP(A38,'imp-questions'!A:H,6,0)</f>
        <v>Have you implemented a Learning Management System or equivalent to track employee training and certification processes?</v>
      </c>
      <c r="E38" s="60" t="str">
        <f>CHAR(65+VLOOKUP(A38,'imp-questions'!A:H,8,0))</f>
        <v>I</v>
      </c>
      <c r="F38" s="263" t="str">
        <f>Interview!F50</f>
        <v>Yes, for most or all of the training</v>
      </c>
      <c r="G38" s="52">
        <f>IFERROR(VLOOKUP(F38,AnsITBL,2,0),0)</f>
        <v>1</v>
      </c>
      <c r="H38" s="203">
        <f>IFERROR(AVERAGE(G38,G42),0)</f>
        <v>1</v>
      </c>
      <c r="I38" s="508"/>
      <c r="J38" s="264" t="str">
        <f>F38</f>
        <v>Yes, for most or all of the training</v>
      </c>
      <c r="K38" s="52">
        <f>IFERROR(VLOOKUP(J38,AnsITBL,2,0),0)</f>
        <v>1</v>
      </c>
      <c r="L38" s="203">
        <f>IFERROR(AVERAGE(K38,K42),0)</f>
        <v>1</v>
      </c>
      <c r="M38" s="508"/>
      <c r="N38" s="264" t="str">
        <f>J38</f>
        <v>Yes, for most or all of the training</v>
      </c>
      <c r="O38" s="52">
        <f>IFERROR(VLOOKUP(N38,AnsITBL,2,0),0)</f>
        <v>1</v>
      </c>
      <c r="P38" s="203">
        <f>IFERROR(AVERAGE(O38,O42),0)</f>
        <v>1</v>
      </c>
      <c r="Q38" s="508"/>
      <c r="R38" s="264" t="str">
        <f>N38</f>
        <v>Yes, for most or all of the training</v>
      </c>
      <c r="S38" s="52">
        <f>IFERROR(VLOOKUP(R38,AnsITBL,2,0),0)</f>
        <v>1</v>
      </c>
      <c r="T38" s="203">
        <f>IFERROR(AVERAGE(S38,S42),0)</f>
        <v>1</v>
      </c>
      <c r="U38" s="508"/>
      <c r="V38" s="264" t="str">
        <f>R38</f>
        <v>Yes, for most or all of the training</v>
      </c>
      <c r="W38" s="52">
        <f>IFERROR(VLOOKUP(V38,AnsITBL,2,0),0)</f>
        <v>1</v>
      </c>
      <c r="X38" s="203">
        <f>IFERROR(AVERAGE(W38,W42),0)</f>
        <v>1</v>
      </c>
      <c r="Y38" s="508"/>
    </row>
    <row r="39" spans="1:25" ht="13">
      <c r="A39" s="47"/>
      <c r="B39" s="267"/>
      <c r="C39" s="268"/>
      <c r="D39" s="269"/>
      <c r="E39" s="269"/>
      <c r="F39" s="269"/>
      <c r="G39" s="269"/>
      <c r="H39" s="269"/>
      <c r="I39" s="508"/>
      <c r="J39" s="269"/>
      <c r="K39" s="269"/>
      <c r="L39" s="269"/>
      <c r="M39" s="508"/>
      <c r="N39" s="269"/>
      <c r="O39" s="269"/>
      <c r="P39" s="269"/>
      <c r="Q39" s="508"/>
      <c r="R39" s="269"/>
      <c r="S39" s="269"/>
      <c r="T39" s="269"/>
      <c r="U39" s="508"/>
      <c r="V39" s="269"/>
      <c r="W39" s="269"/>
      <c r="X39" s="269"/>
      <c r="Y39" s="508"/>
    </row>
    <row r="40" spans="1:25">
      <c r="A40" s="47" t="str">
        <f>Interview!A53</f>
        <v>G-EG-B-1-1</v>
      </c>
      <c r="B40" s="505" t="str">
        <f>VLOOKUP(A40,'imp-questions'!A:H,4,0)</f>
        <v>Organization and Culture</v>
      </c>
      <c r="C40" s="262">
        <f>VLOOKUP(A40,'imp-questions'!A:H,5,0)</f>
        <v>1</v>
      </c>
      <c r="D40" s="49" t="str">
        <f>VLOOKUP(A40,'imp-questions'!A:H,6,0)</f>
        <v>Have you identified a Security Champion for each development team?</v>
      </c>
      <c r="E40" s="50" t="str">
        <f>CHAR(65+VLOOKUP(A40,'imp-questions'!A:H,8,0))</f>
        <v>W</v>
      </c>
      <c r="F40" s="270" t="str">
        <f>Interview!F53</f>
        <v>Yes, for most or all of the teams</v>
      </c>
      <c r="G40" s="52">
        <f>IFERROR(VLOOKUP(F40,AnsWTBL,2,0),0)</f>
        <v>1</v>
      </c>
      <c r="H40" s="203"/>
      <c r="I40" s="508"/>
      <c r="J40" s="264" t="str">
        <f>F40</f>
        <v>Yes, for most or all of the teams</v>
      </c>
      <c r="K40" s="52">
        <f>IFERROR(VLOOKUP(J40,AnsWTBL,2,0),0)</f>
        <v>1</v>
      </c>
      <c r="L40" s="203"/>
      <c r="M40" s="508"/>
      <c r="N40" s="264" t="str">
        <f>J40</f>
        <v>Yes, for most or all of the teams</v>
      </c>
      <c r="O40" s="52">
        <f>IFERROR(VLOOKUP(N40,AnsWTBL,2,0),0)</f>
        <v>1</v>
      </c>
      <c r="P40" s="203"/>
      <c r="Q40" s="508"/>
      <c r="R40" s="264" t="str">
        <f>N40</f>
        <v>Yes, for most or all of the teams</v>
      </c>
      <c r="S40" s="52">
        <f>IFERROR(VLOOKUP(R40,AnsWTBL,2,0),0)</f>
        <v>1</v>
      </c>
      <c r="T40" s="203"/>
      <c r="U40" s="508"/>
      <c r="V40" s="264" t="str">
        <f>R40</f>
        <v>Yes, for most or all of the teams</v>
      </c>
      <c r="W40" s="52">
        <f>IFERROR(VLOOKUP(V40,AnsWTBL,2,0),0)</f>
        <v>1</v>
      </c>
      <c r="X40" s="203"/>
      <c r="Y40" s="508"/>
    </row>
    <row r="41" spans="1:25">
      <c r="A41" s="47" t="str">
        <f>Interview!A55</f>
        <v>G-EG-B-2-1</v>
      </c>
      <c r="B41" s="505"/>
      <c r="C41" s="262">
        <f>VLOOKUP(A41,'imp-questions'!A:H,5,0)</f>
        <v>2</v>
      </c>
      <c r="D41" s="49" t="str">
        <f>VLOOKUP(A41,'imp-questions'!A:H,6,0)</f>
        <v>Does the organization have a Secure Software Center of Excellence (SSCE)?</v>
      </c>
      <c r="E41" s="50" t="str">
        <f>CHAR(65+VLOOKUP(A41,'imp-questions'!A:H,8,0))</f>
        <v>L</v>
      </c>
      <c r="F41" s="263" t="str">
        <f>Interview!F55</f>
        <v>Yes, for the entire organization</v>
      </c>
      <c r="G41" s="52">
        <f>IFERROR(VLOOKUP(F41,AnsLTBL,2,0),0)</f>
        <v>1</v>
      </c>
      <c r="H41" s="203"/>
      <c r="I41" s="508"/>
      <c r="J41" s="264" t="str">
        <f>F41</f>
        <v>Yes, for the entire organization</v>
      </c>
      <c r="K41" s="52">
        <f>IFERROR(VLOOKUP(J41,AnsLTBL,2,0),0)</f>
        <v>1</v>
      </c>
      <c r="L41" s="203"/>
      <c r="M41" s="508"/>
      <c r="N41" s="264" t="str">
        <f>J41</f>
        <v>Yes, for the entire organization</v>
      </c>
      <c r="O41" s="52">
        <f>IFERROR(VLOOKUP(N41,AnsLTBL,2,0),0)</f>
        <v>1</v>
      </c>
      <c r="P41" s="203"/>
      <c r="Q41" s="508"/>
      <c r="R41" s="264" t="str">
        <f>N41</f>
        <v>Yes, for the entire organization</v>
      </c>
      <c r="S41" s="52">
        <f>IFERROR(VLOOKUP(R41,AnsLTBL,2,0),0)</f>
        <v>1</v>
      </c>
      <c r="T41" s="203"/>
      <c r="U41" s="508"/>
      <c r="V41" s="264" t="str">
        <f>R41</f>
        <v>Yes, for the entire organization</v>
      </c>
      <c r="W41" s="52">
        <f>IFERROR(VLOOKUP(V41,AnsLTBL,2,0),0)</f>
        <v>1</v>
      </c>
      <c r="X41" s="203"/>
      <c r="Y41" s="508"/>
    </row>
    <row r="42" spans="1:25" ht="42">
      <c r="A42" s="47" t="str">
        <f>Interview!A57</f>
        <v>G-EG-B-3-1</v>
      </c>
      <c r="B42" s="505"/>
      <c r="C42" s="262">
        <f>VLOOKUP(A42,'imp-questions'!A:H,5,0)</f>
        <v>3</v>
      </c>
      <c r="D42" s="265" t="str">
        <f>VLOOKUP(A42,'imp-questions'!A:H,6,0)</f>
        <v>Is there a centralized portal where developers and application security professionals from different teams and business units are able to communicate and share information?</v>
      </c>
      <c r="E42" s="50" t="str">
        <f>CHAR(65+VLOOKUP(A42,'imp-questions'!A:H,8,0))</f>
        <v>L</v>
      </c>
      <c r="F42" s="263" t="str">
        <f>Interview!F57</f>
        <v>Yes, for the entire organization</v>
      </c>
      <c r="G42" s="52">
        <f>IFERROR(VLOOKUP(F42,AnsLTBL,2,0),0)</f>
        <v>1</v>
      </c>
      <c r="H42" s="203"/>
      <c r="I42" s="508"/>
      <c r="J42" s="264" t="str">
        <f>F42</f>
        <v>Yes, for the entire organization</v>
      </c>
      <c r="K42" s="52">
        <f>IFERROR(VLOOKUP(J42,AnsLTBL,2,0),0)</f>
        <v>1</v>
      </c>
      <c r="L42" s="203"/>
      <c r="M42" s="508"/>
      <c r="N42" s="264" t="str">
        <f>J42</f>
        <v>Yes, for the entire organization</v>
      </c>
      <c r="O42" s="52">
        <f>IFERROR(VLOOKUP(N42,AnsLTBL,2,0),0)</f>
        <v>1</v>
      </c>
      <c r="P42" s="203"/>
      <c r="Q42" s="508"/>
      <c r="R42" s="264" t="str">
        <f>N42</f>
        <v>Yes, for the entire organization</v>
      </c>
      <c r="S42" s="52">
        <f>IFERROR(VLOOKUP(R42,AnsLTBL,2,0),0)</f>
        <v>1</v>
      </c>
      <c r="T42" s="203"/>
      <c r="U42" s="508"/>
      <c r="V42" s="264" t="str">
        <f>R42</f>
        <v>Yes, for the entire organization</v>
      </c>
      <c r="W42" s="52">
        <f>IFERROR(VLOOKUP(V42,AnsLTBL,2,0),0)</f>
        <v>1</v>
      </c>
      <c r="X42" s="203"/>
      <c r="Y42" s="508"/>
    </row>
    <row r="43" spans="1:25" ht="13">
      <c r="A43" s="47"/>
      <c r="B43" s="267"/>
      <c r="C43" s="268"/>
      <c r="D43" s="269"/>
      <c r="E43" s="269"/>
      <c r="F43" s="269"/>
      <c r="G43" s="269"/>
      <c r="H43" s="269"/>
      <c r="I43" s="269"/>
      <c r="J43" s="269"/>
      <c r="K43" s="269"/>
      <c r="L43" s="269"/>
      <c r="M43" s="269"/>
      <c r="N43" s="269"/>
      <c r="O43" s="269"/>
      <c r="P43" s="269"/>
      <c r="Q43" s="269"/>
      <c r="R43" s="269"/>
      <c r="S43" s="269"/>
      <c r="T43" s="269"/>
      <c r="U43" s="269"/>
      <c r="V43" s="269"/>
      <c r="W43" s="269"/>
      <c r="X43" s="269"/>
      <c r="Y43" s="269"/>
    </row>
    <row r="44" spans="1:25" ht="12.75" customHeight="1">
      <c r="A44" s="47"/>
      <c r="B44" s="280" t="s">
        <v>80</v>
      </c>
      <c r="C44" s="280"/>
      <c r="D44" s="97"/>
      <c r="E44" s="97"/>
      <c r="F44" s="503" t="s">
        <v>183</v>
      </c>
      <c r="G44" s="503"/>
      <c r="H44" s="503"/>
      <c r="I44" s="503"/>
      <c r="J44" s="504" t="s">
        <v>194</v>
      </c>
      <c r="K44" s="504"/>
      <c r="L44" s="504"/>
      <c r="M44" s="504"/>
      <c r="N44" s="504" t="s">
        <v>195</v>
      </c>
      <c r="O44" s="504"/>
      <c r="P44" s="504"/>
      <c r="Q44" s="504"/>
      <c r="R44" s="504" t="s">
        <v>196</v>
      </c>
      <c r="S44" s="504"/>
      <c r="T44" s="504"/>
      <c r="U44" s="504"/>
      <c r="V44" s="504" t="s">
        <v>197</v>
      </c>
      <c r="W44" s="504"/>
      <c r="X44" s="504"/>
      <c r="Y44" s="504"/>
    </row>
    <row r="45" spans="1:25">
      <c r="A45" s="47"/>
      <c r="B45" s="106" t="s">
        <v>49</v>
      </c>
      <c r="C45" s="281" t="s">
        <v>50</v>
      </c>
      <c r="D45" s="282" t="s">
        <v>81</v>
      </c>
      <c r="E45" s="99"/>
      <c r="F45" s="98" t="s">
        <v>52</v>
      </c>
      <c r="G45" s="98"/>
      <c r="H45" s="100"/>
      <c r="I45" s="283" t="s">
        <v>54</v>
      </c>
      <c r="J45" s="98" t="s">
        <v>52</v>
      </c>
      <c r="K45" s="98"/>
      <c r="L45" s="100"/>
      <c r="M45" s="283" t="s">
        <v>54</v>
      </c>
      <c r="N45" s="98" t="s">
        <v>52</v>
      </c>
      <c r="O45" s="98"/>
      <c r="P45" s="100"/>
      <c r="Q45" s="283" t="s">
        <v>54</v>
      </c>
      <c r="R45" s="98" t="s">
        <v>52</v>
      </c>
      <c r="S45" s="98"/>
      <c r="T45" s="100"/>
      <c r="U45" s="283" t="s">
        <v>54</v>
      </c>
      <c r="V45" s="98" t="s">
        <v>52</v>
      </c>
      <c r="W45" s="98"/>
      <c r="X45" s="100"/>
      <c r="Y45" s="283" t="s">
        <v>54</v>
      </c>
    </row>
    <row r="46" spans="1:25" ht="28">
      <c r="A46" s="47" t="str">
        <f>Interview!A61</f>
        <v>D-TA-A-1-1</v>
      </c>
      <c r="B46" s="500" t="str">
        <f>VLOOKUP(A46,'imp-questions'!A:H,4,0)</f>
        <v>Application Risk Profile</v>
      </c>
      <c r="C46" s="284">
        <f>VLOOKUP(A46,'imp-questions'!A:H,5,0)</f>
        <v>1</v>
      </c>
      <c r="D46" s="49" t="str">
        <f>VLOOKUP(A46,'imp-questions'!A:H,6,0)</f>
        <v>Do you classify applications according to business risk based on a simple and predefined set of questions?</v>
      </c>
      <c r="E46" s="50" t="str">
        <f>CHAR(65+VLOOKUP(A46,'imp-questions'!A:H,8,0))</f>
        <v>C</v>
      </c>
      <c r="F46" s="275" t="str">
        <f>Interview!F61</f>
        <v>Yes, most or all of them</v>
      </c>
      <c r="G46" s="52">
        <f>IFERROR(VLOOKUP(F46,AnsCTBL,2,0),0)</f>
        <v>1</v>
      </c>
      <c r="H46" s="276">
        <f>IFERROR(AVERAGE(G46,G50),0)</f>
        <v>1</v>
      </c>
      <c r="I46" s="499">
        <f>SUM(H46:H48)</f>
        <v>2.25</v>
      </c>
      <c r="J46" s="264" t="str">
        <f>F46</f>
        <v>Yes, most or all of them</v>
      </c>
      <c r="K46" s="52">
        <f>IFERROR(VLOOKUP(J46,AnsCTBL,2,0),0)</f>
        <v>1</v>
      </c>
      <c r="L46" s="276">
        <f>IFERROR(AVERAGE(K46,K50),0)</f>
        <v>1</v>
      </c>
      <c r="M46" s="499">
        <f>SUM(L46:L48)</f>
        <v>2.25</v>
      </c>
      <c r="N46" s="264" t="str">
        <f>J46</f>
        <v>Yes, most or all of them</v>
      </c>
      <c r="O46" s="52">
        <f>IFERROR(VLOOKUP(N46,AnsCTBL,2,0),0)</f>
        <v>1</v>
      </c>
      <c r="P46" s="276">
        <f>IFERROR(AVERAGE(O46,O50),0)</f>
        <v>1</v>
      </c>
      <c r="Q46" s="499">
        <f>SUM(P46:P48)</f>
        <v>2.25</v>
      </c>
      <c r="R46" s="264" t="str">
        <f>N46</f>
        <v>Yes, most or all of them</v>
      </c>
      <c r="S46" s="52">
        <f>IFERROR(VLOOKUP(R46,AnsCTBL,2,0),0)</f>
        <v>1</v>
      </c>
      <c r="T46" s="276">
        <f>IFERROR(AVERAGE(S46,S50),0)</f>
        <v>1</v>
      </c>
      <c r="U46" s="499">
        <f>SUM(T46:T48)</f>
        <v>2.25</v>
      </c>
      <c r="V46" s="264" t="str">
        <f>R46</f>
        <v>Yes, most or all of them</v>
      </c>
      <c r="W46" s="52">
        <f>IFERROR(VLOOKUP(V46,AnsCTBL,2,0),0)</f>
        <v>1</v>
      </c>
      <c r="X46" s="276">
        <f>IFERROR(AVERAGE(W46,W50),0)</f>
        <v>1</v>
      </c>
      <c r="Y46" s="499">
        <f>SUM(X46:X48)</f>
        <v>2.25</v>
      </c>
    </row>
    <row r="47" spans="1:25" ht="28">
      <c r="A47" s="47" t="str">
        <f>Interview!A63</f>
        <v>D-TA-A-2-1</v>
      </c>
      <c r="B47" s="500"/>
      <c r="C47" s="284">
        <f>VLOOKUP(A47,'imp-questions'!A:H,5,0)</f>
        <v>2</v>
      </c>
      <c r="D47" s="49" t="str">
        <f>VLOOKUP(A47,'imp-questions'!A:H,6,0)</f>
        <v>Do you use centralized and quantified application risk profiles to evaluate business risk?</v>
      </c>
      <c r="E47" s="50" t="str">
        <f>CHAR(65+VLOOKUP(A47,'imp-questions'!A:H,8,0))</f>
        <v>F</v>
      </c>
      <c r="F47" s="270" t="str">
        <f>Interview!F63</f>
        <v>Yes, for most or all of the applications</v>
      </c>
      <c r="G47" s="52">
        <f>IFERROR(VLOOKUP(F47,AnsFTBL,2,0),0)</f>
        <v>1</v>
      </c>
      <c r="H47" s="276">
        <f>IFERROR(AVERAGE(G47,G51),0)</f>
        <v>1</v>
      </c>
      <c r="I47" s="499"/>
      <c r="J47" s="264" t="str">
        <f>F47</f>
        <v>Yes, for most or all of the applications</v>
      </c>
      <c r="K47" s="52">
        <f>IFERROR(VLOOKUP(J47,AnsFTBL,2,0),0)</f>
        <v>1</v>
      </c>
      <c r="L47" s="276">
        <f>IFERROR(AVERAGE(K47,K51),0)</f>
        <v>1</v>
      </c>
      <c r="M47" s="499"/>
      <c r="N47" s="264" t="str">
        <f>J47</f>
        <v>Yes, for most or all of the applications</v>
      </c>
      <c r="O47" s="52">
        <f>IFERROR(VLOOKUP(N47,AnsFTBL,2,0),0)</f>
        <v>1</v>
      </c>
      <c r="P47" s="276">
        <f>IFERROR(AVERAGE(O47,O51),0)</f>
        <v>1</v>
      </c>
      <c r="Q47" s="499"/>
      <c r="R47" s="264" t="str">
        <f>N47</f>
        <v>Yes, for most or all of the applications</v>
      </c>
      <c r="S47" s="52">
        <f>IFERROR(VLOOKUP(R47,AnsFTBL,2,0),0)</f>
        <v>1</v>
      </c>
      <c r="T47" s="276">
        <f>IFERROR(AVERAGE(S47,S51),0)</f>
        <v>1</v>
      </c>
      <c r="U47" s="499"/>
      <c r="V47" s="264" t="str">
        <f>R47</f>
        <v>Yes, for most or all of the applications</v>
      </c>
      <c r="W47" s="52">
        <f>IFERROR(VLOOKUP(V47,AnsFTBL,2,0),0)</f>
        <v>1</v>
      </c>
      <c r="X47" s="276">
        <f>IFERROR(AVERAGE(W47,W51),0)</f>
        <v>1</v>
      </c>
      <c r="Y47" s="499"/>
    </row>
    <row r="48" spans="1:25">
      <c r="A48" s="47" t="str">
        <f>Interview!A65</f>
        <v>D-TA-A-3-1</v>
      </c>
      <c r="B48" s="500"/>
      <c r="C48" s="284">
        <f>VLOOKUP(A48,'imp-questions'!A:H,5,0)</f>
        <v>3</v>
      </c>
      <c r="D48" s="265" t="str">
        <f>VLOOKUP(A48,'imp-questions'!A:H,6,0)</f>
        <v>Do you regularly review and update the risk profiles for your applications?</v>
      </c>
      <c r="E48" s="50" t="str">
        <f>CHAR(65+VLOOKUP(A48,'imp-questions'!A:H,8,0))</f>
        <v>G</v>
      </c>
      <c r="F48" s="270" t="str">
        <f>Interview!F65</f>
        <v>Yes, upon change of the application</v>
      </c>
      <c r="G48" s="52">
        <f>IFERROR(VLOOKUP(F48,AnsGTBL,2,0),0)</f>
        <v>0.5</v>
      </c>
      <c r="H48" s="276">
        <f>IFERROR(AVERAGE(G48,G52),0)</f>
        <v>0.25</v>
      </c>
      <c r="I48" s="499"/>
      <c r="J48" s="264" t="str">
        <f>F48</f>
        <v>Yes, upon change of the application</v>
      </c>
      <c r="K48" s="52">
        <f>IFERROR(VLOOKUP(J48,AnsGTBL,2,0),0)</f>
        <v>0.5</v>
      </c>
      <c r="L48" s="276">
        <f>IFERROR(AVERAGE(K48,K52),0)</f>
        <v>0.25</v>
      </c>
      <c r="M48" s="499"/>
      <c r="N48" s="264" t="str">
        <f>J48</f>
        <v>Yes, upon change of the application</v>
      </c>
      <c r="O48" s="52">
        <f>IFERROR(VLOOKUP(N48,AnsGTBL,2,0),0)</f>
        <v>0.5</v>
      </c>
      <c r="P48" s="276">
        <f>IFERROR(AVERAGE(O48,O52),0)</f>
        <v>0.25</v>
      </c>
      <c r="Q48" s="499"/>
      <c r="R48" s="264" t="str">
        <f>N48</f>
        <v>Yes, upon change of the application</v>
      </c>
      <c r="S48" s="52">
        <f>IFERROR(VLOOKUP(R48,AnsGTBL,2,0),0)</f>
        <v>0.5</v>
      </c>
      <c r="T48" s="276">
        <f>IFERROR(AVERAGE(S48,S52),0)</f>
        <v>0.25</v>
      </c>
      <c r="U48" s="499"/>
      <c r="V48" s="264" t="str">
        <f>R48</f>
        <v>Yes, upon change of the application</v>
      </c>
      <c r="W48" s="52">
        <f>IFERROR(VLOOKUP(V48,AnsGTBL,2,0),0)</f>
        <v>0.5</v>
      </c>
      <c r="X48" s="276">
        <f>IFERROR(AVERAGE(W48,W52),0)</f>
        <v>0.25</v>
      </c>
      <c r="Y48" s="499"/>
    </row>
    <row r="49" spans="1:25" ht="13">
      <c r="A49" s="47"/>
      <c r="B49" s="267"/>
      <c r="C49" s="268"/>
      <c r="D49" s="269"/>
      <c r="E49" s="269"/>
      <c r="F49" s="269"/>
      <c r="G49" s="269"/>
      <c r="H49" s="269"/>
      <c r="I49" s="499"/>
      <c r="J49" s="269"/>
      <c r="K49" s="269"/>
      <c r="L49" s="269"/>
      <c r="M49" s="499"/>
      <c r="N49" s="269"/>
      <c r="O49" s="269"/>
      <c r="P49" s="269"/>
      <c r="Q49" s="499"/>
      <c r="R49" s="269"/>
      <c r="S49" s="269"/>
      <c r="T49" s="269"/>
      <c r="U49" s="499"/>
      <c r="V49" s="269"/>
      <c r="W49" s="269"/>
      <c r="X49" s="269"/>
      <c r="Y49" s="499"/>
    </row>
    <row r="50" spans="1:25">
      <c r="A50" s="47" t="str">
        <f>Interview!A68</f>
        <v>D-TA-B-1-1</v>
      </c>
      <c r="B50" s="500" t="str">
        <f>VLOOKUP(A50,'imp-questions'!A:H,4,0)</f>
        <v>Threat Modeling</v>
      </c>
      <c r="C50" s="284">
        <f>VLOOKUP(A50,'imp-questions'!A:H,5,0)</f>
        <v>1</v>
      </c>
      <c r="D50" s="49" t="str">
        <f>VLOOKUP(A50,'imp-questions'!A:H,6,0)</f>
        <v>Do you identify and manage architectural design flaws with threat modeling?</v>
      </c>
      <c r="E50" s="50" t="str">
        <f>CHAR(65+VLOOKUP(A50,'imp-questions'!A:H,8,0))</f>
        <v>C</v>
      </c>
      <c r="F50" s="270" t="str">
        <f>Interview!F68</f>
        <v>Yes, most or all of them</v>
      </c>
      <c r="G50" s="52">
        <f>IFERROR(VLOOKUP(F50,AnsCTBL,2,0),0)</f>
        <v>1</v>
      </c>
      <c r="H50" s="203"/>
      <c r="I50" s="499"/>
      <c r="J50" s="264" t="str">
        <f>F50</f>
        <v>Yes, most or all of them</v>
      </c>
      <c r="K50" s="52">
        <f>IFERROR(VLOOKUP(J50,AnsCTBL,2,0),0)</f>
        <v>1</v>
      </c>
      <c r="L50" s="203"/>
      <c r="M50" s="499"/>
      <c r="N50" s="264" t="str">
        <f>J50</f>
        <v>Yes, most or all of them</v>
      </c>
      <c r="O50" s="52">
        <f>IFERROR(VLOOKUP(N50,AnsCTBL,2,0),0)</f>
        <v>1</v>
      </c>
      <c r="P50" s="203"/>
      <c r="Q50" s="499"/>
      <c r="R50" s="264" t="str">
        <f>N50</f>
        <v>Yes, most or all of them</v>
      </c>
      <c r="S50" s="52">
        <f>IFERROR(VLOOKUP(R50,AnsCTBL,2,0),0)</f>
        <v>1</v>
      </c>
      <c r="T50" s="203"/>
      <c r="U50" s="499"/>
      <c r="V50" s="264" t="str">
        <f>R50</f>
        <v>Yes, most or all of them</v>
      </c>
      <c r="W50" s="52">
        <f>IFERROR(VLOOKUP(V50,AnsCTBL,2,0),0)</f>
        <v>1</v>
      </c>
      <c r="X50" s="203"/>
      <c r="Y50" s="499"/>
    </row>
    <row r="51" spans="1:25">
      <c r="A51" s="47" t="str">
        <f>Interview!A70</f>
        <v>D-TA-B-2-1</v>
      </c>
      <c r="B51" s="500"/>
      <c r="C51" s="284">
        <f>VLOOKUP(A51,'imp-questions'!A:H,5,0)</f>
        <v>2</v>
      </c>
      <c r="D51" s="49" t="str">
        <f>VLOOKUP(A51,'imp-questions'!A:H,6,0)</f>
        <v>Do you use a standard methodology, aligned on your application risk levels?</v>
      </c>
      <c r="E51" s="50" t="str">
        <f>CHAR(65+VLOOKUP(A51,'imp-questions'!A:H,8,0))</f>
        <v>F</v>
      </c>
      <c r="F51" s="263" t="str">
        <f>Interview!F70</f>
        <v>Yes, for most or all of the applications</v>
      </c>
      <c r="G51" s="52">
        <f>IFERROR(VLOOKUP(F51,AnsFTBL,2,0),0)</f>
        <v>1</v>
      </c>
      <c r="H51" s="203"/>
      <c r="I51" s="499"/>
      <c r="J51" s="264" t="str">
        <f>F51</f>
        <v>Yes, for most or all of the applications</v>
      </c>
      <c r="K51" s="52">
        <f>IFERROR(VLOOKUP(J51,AnsFTBL,2,0),0)</f>
        <v>1</v>
      </c>
      <c r="L51" s="203"/>
      <c r="M51" s="499"/>
      <c r="N51" s="264" t="str">
        <f>J51</f>
        <v>Yes, for most or all of the applications</v>
      </c>
      <c r="O51" s="52">
        <f>IFERROR(VLOOKUP(N51,AnsFTBL,2,0),0)</f>
        <v>1</v>
      </c>
      <c r="P51" s="203"/>
      <c r="Q51" s="499"/>
      <c r="R51" s="264" t="str">
        <f>N51</f>
        <v>Yes, for most or all of the applications</v>
      </c>
      <c r="S51" s="52">
        <f>IFERROR(VLOOKUP(R51,AnsFTBL,2,0),0)</f>
        <v>1</v>
      </c>
      <c r="T51" s="203"/>
      <c r="U51" s="499"/>
      <c r="V51" s="264" t="str">
        <f>R51</f>
        <v>Yes, for most or all of the applications</v>
      </c>
      <c r="W51" s="52">
        <f>IFERROR(VLOOKUP(V51,AnsFTBL,2,0),0)</f>
        <v>1</v>
      </c>
      <c r="X51" s="203"/>
      <c r="Y51" s="499"/>
    </row>
    <row r="52" spans="1:25" ht="28">
      <c r="A52" s="47" t="str">
        <f>Interview!A72</f>
        <v>D-TA-B-3-1</v>
      </c>
      <c r="B52" s="500"/>
      <c r="C52" s="284">
        <f>VLOOKUP(A52,'imp-questions'!A:H,5,0)</f>
        <v>3</v>
      </c>
      <c r="D52" s="265" t="str">
        <f>VLOOKUP(A52,'imp-questions'!A:H,6,0)</f>
        <v>Do you regularly review and update the threat modeling methodology for your applications?</v>
      </c>
      <c r="E52" s="50" t="str">
        <f>CHAR(65+VLOOKUP(A52,'imp-questions'!A:H,8,0))</f>
        <v>N</v>
      </c>
      <c r="F52" s="263" t="str">
        <f>Interview!F72</f>
        <v>No</v>
      </c>
      <c r="G52" s="52">
        <f>IFERROR(VLOOKUP(F52,AnsNTBL,2,0),0)</f>
        <v>0</v>
      </c>
      <c r="H52" s="203"/>
      <c r="I52" s="499"/>
      <c r="J52" s="264" t="str">
        <f>F52</f>
        <v>No</v>
      </c>
      <c r="K52" s="52">
        <f>IFERROR(VLOOKUP(J52,AnsNTBL,2,0),0)</f>
        <v>0</v>
      </c>
      <c r="L52" s="203"/>
      <c r="M52" s="499"/>
      <c r="N52" s="264" t="str">
        <f>J52</f>
        <v>No</v>
      </c>
      <c r="O52" s="52">
        <f>IFERROR(VLOOKUP(N52,AnsNTBL,2,0),0)</f>
        <v>0</v>
      </c>
      <c r="P52" s="203"/>
      <c r="Q52" s="499"/>
      <c r="R52" s="264" t="str">
        <f>N52</f>
        <v>No</v>
      </c>
      <c r="S52" s="52">
        <f>IFERROR(VLOOKUP(R52,AnsNTBL,2,0),0)</f>
        <v>0</v>
      </c>
      <c r="T52" s="203"/>
      <c r="U52" s="499"/>
      <c r="V52" s="264" t="str">
        <f>R52</f>
        <v>No</v>
      </c>
      <c r="W52" s="52">
        <f>IFERROR(VLOOKUP(V52,AnsNTBL,2,0),0)</f>
        <v>0</v>
      </c>
      <c r="X52" s="203"/>
      <c r="Y52" s="499"/>
    </row>
    <row r="53" spans="1:25" ht="13">
      <c r="A53" s="47"/>
      <c r="B53" s="267"/>
      <c r="C53" s="268"/>
      <c r="D53" s="269"/>
      <c r="E53" s="269"/>
      <c r="F53" s="269"/>
      <c r="G53" s="269"/>
      <c r="H53" s="269"/>
      <c r="I53" s="269"/>
      <c r="J53" s="269"/>
      <c r="K53" s="269"/>
      <c r="L53" s="269"/>
      <c r="M53" s="269"/>
      <c r="N53" s="269"/>
      <c r="O53" s="269"/>
      <c r="P53" s="269"/>
      <c r="Q53" s="269"/>
      <c r="R53" s="269"/>
      <c r="S53" s="269"/>
      <c r="T53" s="269"/>
      <c r="U53" s="269"/>
      <c r="V53" s="269"/>
      <c r="W53" s="269"/>
      <c r="X53" s="269"/>
      <c r="Y53" s="269"/>
    </row>
    <row r="54" spans="1:25">
      <c r="A54" s="47"/>
      <c r="B54" s="106" t="s">
        <v>49</v>
      </c>
      <c r="C54" s="281" t="s">
        <v>50</v>
      </c>
      <c r="D54" s="285" t="s">
        <v>94</v>
      </c>
      <c r="E54" s="286"/>
      <c r="F54" s="287" t="s">
        <v>52</v>
      </c>
      <c r="G54" s="287"/>
      <c r="H54" s="288"/>
      <c r="I54" s="283" t="s">
        <v>54</v>
      </c>
      <c r="J54" s="287" t="s">
        <v>52</v>
      </c>
      <c r="K54" s="287"/>
      <c r="L54" s="288"/>
      <c r="M54" s="283" t="s">
        <v>54</v>
      </c>
      <c r="N54" s="287" t="s">
        <v>52</v>
      </c>
      <c r="O54" s="287"/>
      <c r="P54" s="288"/>
      <c r="Q54" s="283" t="s">
        <v>54</v>
      </c>
      <c r="R54" s="287" t="s">
        <v>52</v>
      </c>
      <c r="S54" s="287"/>
      <c r="T54" s="288"/>
      <c r="U54" s="283" t="s">
        <v>54</v>
      </c>
      <c r="V54" s="287" t="s">
        <v>52</v>
      </c>
      <c r="W54" s="287"/>
      <c r="X54" s="288"/>
      <c r="Y54" s="283" t="s">
        <v>54</v>
      </c>
    </row>
    <row r="55" spans="1:25">
      <c r="A55" s="47" t="str">
        <f>Interview!A75</f>
        <v>D-SR-A-1-1</v>
      </c>
      <c r="B55" s="498" t="str">
        <f>VLOOKUP(A55,'imp-questions'!A:H,4,0)</f>
        <v>Software Requirements</v>
      </c>
      <c r="C55" s="284">
        <f>VLOOKUP(A55,'imp-questions'!A:H,5,0)</f>
        <v>1</v>
      </c>
      <c r="D55" s="49" t="str">
        <f>VLOOKUP(A55,'imp-questions'!A:H,6,0)</f>
        <v>Do project teams specify security requirements during development?</v>
      </c>
      <c r="E55" s="50" t="str">
        <f>CHAR(65+VLOOKUP(A55,'imp-questions'!A:H,8,0))</f>
        <v>F</v>
      </c>
      <c r="F55" s="270" t="str">
        <f>Interview!F75</f>
        <v>Yes, for most or all of the applications</v>
      </c>
      <c r="G55" s="52">
        <f>IFERROR(VLOOKUP(F55,AnsFTBL,2,0),0)</f>
        <v>1</v>
      </c>
      <c r="H55" s="276">
        <f>IFERROR(AVERAGE(G55,G59),0)</f>
        <v>0.5</v>
      </c>
      <c r="I55" s="499">
        <f>SUM(H55:H57)</f>
        <v>1.5</v>
      </c>
      <c r="J55" s="264" t="str">
        <f>F55</f>
        <v>Yes, for most or all of the applications</v>
      </c>
      <c r="K55" s="52">
        <f>IFERROR(VLOOKUP(J55,AnsFTBL,2,0),0)</f>
        <v>1</v>
      </c>
      <c r="L55" s="276">
        <f>IFERROR(AVERAGE(K55,K59),0)</f>
        <v>0.5</v>
      </c>
      <c r="M55" s="499">
        <f>SUM(L55:L57)</f>
        <v>1.5</v>
      </c>
      <c r="N55" s="264" t="str">
        <f>J55</f>
        <v>Yes, for most or all of the applications</v>
      </c>
      <c r="O55" s="52">
        <f>IFERROR(VLOOKUP(N55,AnsFTBL,2,0),0)</f>
        <v>1</v>
      </c>
      <c r="P55" s="276">
        <f>IFERROR(AVERAGE(O55,O59),0)</f>
        <v>0.5</v>
      </c>
      <c r="Q55" s="499">
        <f>SUM(P55:P57)</f>
        <v>1.5</v>
      </c>
      <c r="R55" s="264" t="str">
        <f>N55</f>
        <v>Yes, for most or all of the applications</v>
      </c>
      <c r="S55" s="52">
        <f>IFERROR(VLOOKUP(R55,AnsFTBL,2,0),0)</f>
        <v>1</v>
      </c>
      <c r="T55" s="276">
        <f>IFERROR(AVERAGE(S55,S59),0)</f>
        <v>0.5</v>
      </c>
      <c r="U55" s="499">
        <f>SUM(T55:T57)</f>
        <v>1.5</v>
      </c>
      <c r="V55" s="264" t="str">
        <f>R55</f>
        <v>Yes, for most or all of the applications</v>
      </c>
      <c r="W55" s="52">
        <f>IFERROR(VLOOKUP(V55,AnsFTBL,2,0),0)</f>
        <v>1</v>
      </c>
      <c r="X55" s="276">
        <f>IFERROR(AVERAGE(W55,W59),0)</f>
        <v>0.5</v>
      </c>
      <c r="Y55" s="499">
        <f>SUM(X55:X57)</f>
        <v>1.5</v>
      </c>
    </row>
    <row r="56" spans="1:25" ht="28">
      <c r="A56" s="47" t="str">
        <f>Interview!A77</f>
        <v>D-SR-A-2-1</v>
      </c>
      <c r="B56" s="498"/>
      <c r="C56" s="284">
        <f>VLOOKUP(A56,'imp-questions'!A:H,5,0)</f>
        <v>2</v>
      </c>
      <c r="D56" s="49" t="str">
        <f>VLOOKUP(A56,'imp-questions'!A:H,6,0)</f>
        <v>Do you define, structure, and include prioritization in the artifacts of the security requirements gathering process?</v>
      </c>
      <c r="E56" s="50" t="str">
        <f>CHAR(65+VLOOKUP(A56,'imp-questions'!A:H,8,0))</f>
        <v>H</v>
      </c>
      <c r="F56" s="266" t="str">
        <f>Interview!F77</f>
        <v>Yes, most or all of the time</v>
      </c>
      <c r="G56" s="52">
        <f>IFERROR(VLOOKUP(F56,AnsHTBL,2,0),0)</f>
        <v>1</v>
      </c>
      <c r="H56" s="276">
        <f>IFERROR(AVERAGE(G56,G60),0)</f>
        <v>0.5</v>
      </c>
      <c r="I56" s="499"/>
      <c r="J56" s="264" t="str">
        <f>F56</f>
        <v>Yes, most or all of the time</v>
      </c>
      <c r="K56" s="52">
        <f>IFERROR(VLOOKUP(J56,AnsHTBL,2,0),0)</f>
        <v>1</v>
      </c>
      <c r="L56" s="276">
        <f>IFERROR(AVERAGE(K56,K60),0)</f>
        <v>0.5</v>
      </c>
      <c r="M56" s="499"/>
      <c r="N56" s="264" t="str">
        <f>J56</f>
        <v>Yes, most or all of the time</v>
      </c>
      <c r="O56" s="52">
        <f>IFERROR(VLOOKUP(N56,AnsHTBL,2,0),0)</f>
        <v>1</v>
      </c>
      <c r="P56" s="276">
        <f>IFERROR(AVERAGE(O56,O60),0)</f>
        <v>0.5</v>
      </c>
      <c r="Q56" s="499"/>
      <c r="R56" s="264" t="str">
        <f>N56</f>
        <v>Yes, most or all of the time</v>
      </c>
      <c r="S56" s="52">
        <f>IFERROR(VLOOKUP(R56,AnsHTBL,2,0),0)</f>
        <v>1</v>
      </c>
      <c r="T56" s="276">
        <f>IFERROR(AVERAGE(S56,S60),0)</f>
        <v>0.5</v>
      </c>
      <c r="U56" s="499"/>
      <c r="V56" s="264" t="str">
        <f>R56</f>
        <v>Yes, most or all of the time</v>
      </c>
      <c r="W56" s="52">
        <f>IFERROR(VLOOKUP(V56,AnsHTBL,2,0),0)</f>
        <v>1</v>
      </c>
      <c r="X56" s="276">
        <f>IFERROR(AVERAGE(W56,W60),0)</f>
        <v>0.5</v>
      </c>
      <c r="Y56" s="499"/>
    </row>
    <row r="57" spans="1:25" ht="28">
      <c r="A57" s="47" t="str">
        <f>Interview!A79</f>
        <v>D-SR-A-3-1</v>
      </c>
      <c r="B57" s="498"/>
      <c r="C57" s="284">
        <f>VLOOKUP(A57,'imp-questions'!A:H,5,0)</f>
        <v>3</v>
      </c>
      <c r="D57" s="49" t="str">
        <f>VLOOKUP(A57,'imp-questions'!A:H,6,0)</f>
        <v>Do you use a standard requirements framework to streamline the elicitation of security requirements?</v>
      </c>
      <c r="E57" s="50" t="str">
        <f>CHAR(65+VLOOKUP(A57,'imp-questions'!A:H,8,0))</f>
        <v>F</v>
      </c>
      <c r="F57" s="270" t="str">
        <f>Interview!F79</f>
        <v>Yes, for most or all of the applications</v>
      </c>
      <c r="G57" s="52">
        <f>IFERROR(VLOOKUP(F57,AnsFTBL,2,0),0)</f>
        <v>1</v>
      </c>
      <c r="H57" s="276">
        <f>IFERROR(AVERAGE(G57,G61),0)</f>
        <v>0.5</v>
      </c>
      <c r="I57" s="499"/>
      <c r="J57" s="264" t="str">
        <f>F57</f>
        <v>Yes, for most or all of the applications</v>
      </c>
      <c r="K57" s="52">
        <f>IFERROR(VLOOKUP(J57,AnsFTBL,2,0),0)</f>
        <v>1</v>
      </c>
      <c r="L57" s="276">
        <f>IFERROR(AVERAGE(K57,K61),0)</f>
        <v>0.5</v>
      </c>
      <c r="M57" s="499"/>
      <c r="N57" s="264" t="str">
        <f>J57</f>
        <v>Yes, for most or all of the applications</v>
      </c>
      <c r="O57" s="52">
        <f>IFERROR(VLOOKUP(N57,AnsFTBL,2,0),0)</f>
        <v>1</v>
      </c>
      <c r="P57" s="276">
        <f>IFERROR(AVERAGE(O57,O61),0)</f>
        <v>0.5</v>
      </c>
      <c r="Q57" s="499"/>
      <c r="R57" s="264" t="str">
        <f>N57</f>
        <v>Yes, for most or all of the applications</v>
      </c>
      <c r="S57" s="52">
        <f>IFERROR(VLOOKUP(R57,AnsFTBL,2,0),0)</f>
        <v>1</v>
      </c>
      <c r="T57" s="276">
        <f>IFERROR(AVERAGE(S57,S61),0)</f>
        <v>0.5</v>
      </c>
      <c r="U57" s="499"/>
      <c r="V57" s="264" t="str">
        <f>R57</f>
        <v>Yes, for most or all of the applications</v>
      </c>
      <c r="W57" s="52">
        <f>IFERROR(VLOOKUP(V57,AnsFTBL,2,0),0)</f>
        <v>1</v>
      </c>
      <c r="X57" s="276">
        <f>IFERROR(AVERAGE(W57,W61),0)</f>
        <v>0.5</v>
      </c>
      <c r="Y57" s="499"/>
    </row>
    <row r="58" spans="1:25" ht="13">
      <c r="A58" s="47"/>
      <c r="B58" s="289"/>
      <c r="C58" s="268"/>
      <c r="D58" s="269"/>
      <c r="E58" s="269"/>
      <c r="F58" s="269"/>
      <c r="G58" s="269"/>
      <c r="H58" s="269"/>
      <c r="I58" s="499"/>
      <c r="J58" s="269"/>
      <c r="K58" s="269"/>
      <c r="L58" s="269"/>
      <c r="M58" s="499"/>
      <c r="N58" s="269"/>
      <c r="O58" s="269"/>
      <c r="P58" s="269"/>
      <c r="Q58" s="499"/>
      <c r="R58" s="269"/>
      <c r="S58" s="269"/>
      <c r="T58" s="269"/>
      <c r="U58" s="499"/>
      <c r="V58" s="269"/>
      <c r="W58" s="269"/>
      <c r="X58" s="269"/>
      <c r="Y58" s="499"/>
    </row>
    <row r="59" spans="1:25" ht="28">
      <c r="A59" s="47" t="str">
        <f>Interview!A82</f>
        <v>D-SR-B-1-1</v>
      </c>
      <c r="B59" s="500" t="str">
        <f>VLOOKUP(A59,'imp-questions'!A:H,4,0)</f>
        <v>Supplier Security</v>
      </c>
      <c r="C59" s="284">
        <f>VLOOKUP(A59,'imp-questions'!A:H,5,0)</f>
        <v>1</v>
      </c>
      <c r="D59" s="49" t="str">
        <f>VLOOKUP(A59,'imp-questions'!A:H,6,0)</f>
        <v>Do stakeholders review vendor collaborations for security requirements and methodology?</v>
      </c>
      <c r="E59" s="50" t="str">
        <f>CHAR(65+VLOOKUP(A59,'imp-questions'!A:H,8,0))</f>
        <v>H</v>
      </c>
      <c r="F59" s="270">
        <f>Interview!F82</f>
        <v>0</v>
      </c>
      <c r="G59" s="52">
        <f>IFERROR(VLOOKUP(F59,AnsHTBL,2,0),0)</f>
        <v>0</v>
      </c>
      <c r="H59" s="203"/>
      <c r="I59" s="499"/>
      <c r="J59" s="264">
        <f>F59</f>
        <v>0</v>
      </c>
      <c r="K59" s="52">
        <f>IFERROR(VLOOKUP(J59,AnsHTBL,2,0),0)</f>
        <v>0</v>
      </c>
      <c r="L59" s="203"/>
      <c r="M59" s="499"/>
      <c r="N59" s="264">
        <f>J59</f>
        <v>0</v>
      </c>
      <c r="O59" s="52">
        <f>IFERROR(VLOOKUP(N59,AnsHTBL,2,0),0)</f>
        <v>0</v>
      </c>
      <c r="P59" s="203"/>
      <c r="Q59" s="499"/>
      <c r="R59" s="264">
        <f>N59</f>
        <v>0</v>
      </c>
      <c r="S59" s="52">
        <f>IFERROR(VLOOKUP(R59,AnsHTBL,2,0),0)</f>
        <v>0</v>
      </c>
      <c r="T59" s="203"/>
      <c r="U59" s="499"/>
      <c r="V59" s="264">
        <f>R59</f>
        <v>0</v>
      </c>
      <c r="W59" s="52">
        <f>IFERROR(VLOOKUP(V59,AnsHTBL,2,0),0)</f>
        <v>0</v>
      </c>
      <c r="X59" s="203"/>
      <c r="Y59" s="499"/>
    </row>
    <row r="60" spans="1:25" ht="28">
      <c r="A60" s="47" t="str">
        <f>Interview!A84</f>
        <v>D-SR-B-2-1</v>
      </c>
      <c r="B60" s="500"/>
      <c r="C60" s="284">
        <f>VLOOKUP(A60,'imp-questions'!A:H,5,0)</f>
        <v>2</v>
      </c>
      <c r="D60" s="49" t="str">
        <f>VLOOKUP(A60,'imp-questions'!A:H,6,0)</f>
        <v>Do vendors meet the security responsibilities and quality measures of service level agreements defined by the organization?</v>
      </c>
      <c r="E60" s="50" t="str">
        <f>CHAR(65+VLOOKUP(A60,'imp-questions'!A:H,8,0))</f>
        <v>H</v>
      </c>
      <c r="F60" s="266">
        <f>Interview!F84</f>
        <v>0</v>
      </c>
      <c r="G60" s="52">
        <f>IFERROR(VLOOKUP(F60,AnsHTBL,2,0),0)</f>
        <v>0</v>
      </c>
      <c r="H60" s="203"/>
      <c r="I60" s="499"/>
      <c r="J60" s="264">
        <f>F60</f>
        <v>0</v>
      </c>
      <c r="K60" s="52">
        <f>IFERROR(VLOOKUP(J60,AnsHTBL,2,0),0)</f>
        <v>0</v>
      </c>
      <c r="L60" s="203"/>
      <c r="M60" s="499"/>
      <c r="N60" s="264">
        <f>J60</f>
        <v>0</v>
      </c>
      <c r="O60" s="52">
        <f>IFERROR(VLOOKUP(N60,AnsHTBL,2,0),0)</f>
        <v>0</v>
      </c>
      <c r="P60" s="203"/>
      <c r="Q60" s="499"/>
      <c r="R60" s="264">
        <f>N60</f>
        <v>0</v>
      </c>
      <c r="S60" s="52">
        <f>IFERROR(VLOOKUP(R60,AnsHTBL,2,0),0)</f>
        <v>0</v>
      </c>
      <c r="T60" s="203"/>
      <c r="U60" s="499"/>
      <c r="V60" s="264">
        <f>R60</f>
        <v>0</v>
      </c>
      <c r="W60" s="52">
        <f>IFERROR(VLOOKUP(V60,AnsHTBL,2,0),0)</f>
        <v>0</v>
      </c>
      <c r="X60" s="203"/>
      <c r="Y60" s="499"/>
    </row>
    <row r="61" spans="1:25" ht="28">
      <c r="A61" s="47" t="str">
        <f>Interview!A86</f>
        <v>D-SR-B-3-1</v>
      </c>
      <c r="B61" s="500"/>
      <c r="C61" s="284">
        <f>VLOOKUP(A61,'imp-questions'!A:H,5,0)</f>
        <v>3</v>
      </c>
      <c r="D61" s="265" t="str">
        <f>VLOOKUP(A61,'imp-questions'!A:H,6,0)</f>
        <v>Are vendors aligned with standard security controls and software development tools and processes that the organization utilizes?</v>
      </c>
      <c r="E61" s="50" t="str">
        <f>CHAR(65+VLOOKUP(A61,'imp-questions'!A:H,8,0))</f>
        <v>H</v>
      </c>
      <c r="F61" s="266">
        <f>Interview!F86</f>
        <v>0</v>
      </c>
      <c r="G61" s="52">
        <f>IFERROR(VLOOKUP(F61,AnsHTBL,2,0),0)</f>
        <v>0</v>
      </c>
      <c r="H61" s="203"/>
      <c r="I61" s="499"/>
      <c r="J61" s="264">
        <f>F61</f>
        <v>0</v>
      </c>
      <c r="K61" s="52">
        <f>IFERROR(VLOOKUP(J61,AnsHTBL,2,0),0)</f>
        <v>0</v>
      </c>
      <c r="L61" s="203"/>
      <c r="M61" s="499"/>
      <c r="N61" s="264">
        <f>J61</f>
        <v>0</v>
      </c>
      <c r="O61" s="52">
        <f>IFERROR(VLOOKUP(N61,AnsHTBL,2,0),0)</f>
        <v>0</v>
      </c>
      <c r="P61" s="203"/>
      <c r="Q61" s="499"/>
      <c r="R61" s="264">
        <f>N61</f>
        <v>0</v>
      </c>
      <c r="S61" s="52">
        <f>IFERROR(VLOOKUP(R61,AnsHTBL,2,0),0)</f>
        <v>0</v>
      </c>
      <c r="T61" s="203"/>
      <c r="U61" s="499"/>
      <c r="V61" s="264">
        <f>R61</f>
        <v>0</v>
      </c>
      <c r="W61" s="52">
        <f>IFERROR(VLOOKUP(V61,AnsHTBL,2,0),0)</f>
        <v>0</v>
      </c>
      <c r="X61" s="203"/>
      <c r="Y61" s="499"/>
    </row>
    <row r="62" spans="1:25" ht="13">
      <c r="A62" s="47"/>
      <c r="B62" s="267"/>
      <c r="C62" s="268"/>
      <c r="D62" s="269"/>
      <c r="E62" s="269"/>
      <c r="F62" s="269"/>
      <c r="G62" s="269"/>
      <c r="H62" s="269"/>
      <c r="I62" s="269"/>
      <c r="J62" s="269"/>
      <c r="K62" s="269"/>
      <c r="L62" s="269"/>
      <c r="M62" s="269"/>
      <c r="N62" s="269"/>
      <c r="O62" s="269"/>
      <c r="P62" s="269"/>
      <c r="Q62" s="269"/>
      <c r="R62" s="269"/>
      <c r="S62" s="269"/>
      <c r="T62" s="269"/>
      <c r="U62" s="269"/>
      <c r="V62" s="269"/>
      <c r="W62" s="269"/>
      <c r="X62" s="269"/>
      <c r="Y62" s="269"/>
    </row>
    <row r="63" spans="1:25">
      <c r="A63" s="47"/>
      <c r="B63" s="106" t="s">
        <v>49</v>
      </c>
      <c r="C63" s="281" t="s">
        <v>50</v>
      </c>
      <c r="D63" s="285" t="s">
        <v>102</v>
      </c>
      <c r="E63" s="286"/>
      <c r="F63" s="287" t="s">
        <v>52</v>
      </c>
      <c r="G63" s="287"/>
      <c r="H63" s="288"/>
      <c r="I63" s="283" t="s">
        <v>54</v>
      </c>
      <c r="J63" s="287" t="s">
        <v>52</v>
      </c>
      <c r="K63" s="287"/>
      <c r="L63" s="288"/>
      <c r="M63" s="283" t="s">
        <v>54</v>
      </c>
      <c r="N63" s="287" t="s">
        <v>52</v>
      </c>
      <c r="O63" s="287"/>
      <c r="P63" s="288"/>
      <c r="Q63" s="283" t="s">
        <v>54</v>
      </c>
      <c r="R63" s="287" t="s">
        <v>52</v>
      </c>
      <c r="S63" s="287"/>
      <c r="T63" s="288"/>
      <c r="U63" s="283" t="s">
        <v>54</v>
      </c>
      <c r="V63" s="287" t="s">
        <v>52</v>
      </c>
      <c r="W63" s="287"/>
      <c r="X63" s="288"/>
      <c r="Y63" s="283" t="s">
        <v>54</v>
      </c>
    </row>
    <row r="64" spans="1:25">
      <c r="A64" s="47" t="str">
        <f>Interview!A89</f>
        <v>D-SA-A-1-1</v>
      </c>
      <c r="B64" s="498" t="str">
        <f>VLOOKUP(A64,'imp-questions'!A:H,4,0)</f>
        <v>Architecture Design</v>
      </c>
      <c r="C64" s="284">
        <f>VLOOKUP(A64,'imp-questions'!A:H,5,0)</f>
        <v>1</v>
      </c>
      <c r="D64" s="49" t="str">
        <f>VLOOKUP(A64,'imp-questions'!A:H,6,0)</f>
        <v>Do teams use security principles during design?</v>
      </c>
      <c r="E64" s="50" t="str">
        <f>CHAR(65+VLOOKUP(A64,'imp-questions'!A:H,8,0))</f>
        <v>F</v>
      </c>
      <c r="F64" s="270" t="str">
        <f>Interview!F89</f>
        <v>Yes, for most or all of the applications</v>
      </c>
      <c r="G64" s="52">
        <f>IFERROR(VLOOKUP(F64,AnsFTBL,2,0),0)</f>
        <v>1</v>
      </c>
      <c r="H64" s="276">
        <f>IFERROR(AVERAGE(G64,G68),0)</f>
        <v>0.5</v>
      </c>
      <c r="I64" s="501">
        <f>SUM(H64:H66)</f>
        <v>0.5</v>
      </c>
      <c r="J64" s="264" t="str">
        <f>F64</f>
        <v>Yes, for most or all of the applications</v>
      </c>
      <c r="K64" s="52">
        <f>IFERROR(VLOOKUP(J64,AnsFTBL,2,0),0)</f>
        <v>1</v>
      </c>
      <c r="L64" s="276">
        <f>IFERROR(AVERAGE(K64,K68),0)</f>
        <v>0.5</v>
      </c>
      <c r="M64" s="501">
        <f>SUM(L64:L66)</f>
        <v>0.5</v>
      </c>
      <c r="N64" s="264" t="str">
        <f>J64</f>
        <v>Yes, for most or all of the applications</v>
      </c>
      <c r="O64" s="52">
        <f>IFERROR(VLOOKUP(N64,AnsFTBL,2,0),0)</f>
        <v>1</v>
      </c>
      <c r="P64" s="276">
        <f>IFERROR(AVERAGE(O64,O68),0)</f>
        <v>0.5</v>
      </c>
      <c r="Q64" s="501">
        <f>SUM(P64:P66)</f>
        <v>0.5</v>
      </c>
      <c r="R64" s="264" t="str">
        <f>N64</f>
        <v>Yes, for most or all of the applications</v>
      </c>
      <c r="S64" s="52">
        <f>IFERROR(VLOOKUP(R64,AnsFTBL,2,0),0)</f>
        <v>1</v>
      </c>
      <c r="T64" s="276">
        <f>IFERROR(AVERAGE(S64,S68),0)</f>
        <v>0.5</v>
      </c>
      <c r="U64" s="501">
        <f>SUM(T64:T66)</f>
        <v>0.5</v>
      </c>
      <c r="V64" s="264" t="str">
        <f>R64</f>
        <v>Yes, for most or all of the applications</v>
      </c>
      <c r="W64" s="52">
        <f>IFERROR(VLOOKUP(V64,AnsFTBL,2,0),0)</f>
        <v>1</v>
      </c>
      <c r="X64" s="276">
        <f>IFERROR(AVERAGE(W64,W68),0)</f>
        <v>0.5</v>
      </c>
      <c r="Y64" s="501">
        <f>SUM(X64:X66)</f>
        <v>0.5</v>
      </c>
    </row>
    <row r="65" spans="1:25">
      <c r="A65" s="47" t="str">
        <f>Interview!A91</f>
        <v>D-SA-A-2-1</v>
      </c>
      <c r="B65" s="498"/>
      <c r="C65" s="284">
        <f>VLOOKUP(A65,'imp-questions'!A:H,5,0)</f>
        <v>2</v>
      </c>
      <c r="D65" s="49" t="str">
        <f>VLOOKUP(A65,'imp-questions'!A:H,6,0)</f>
        <v>Do you use shared security services during design?</v>
      </c>
      <c r="E65" s="50" t="str">
        <f>CHAR(65+VLOOKUP(A65,'imp-questions'!A:H,8,0))</f>
        <v>F</v>
      </c>
      <c r="F65" s="270">
        <f>Interview!F91</f>
        <v>0</v>
      </c>
      <c r="G65" s="52">
        <f>IFERROR(VLOOKUP(F65,AnsFTBL,2,0),0)</f>
        <v>0</v>
      </c>
      <c r="H65" s="276">
        <f>IFERROR(AVERAGE(G65,G69),0)</f>
        <v>0</v>
      </c>
      <c r="I65" s="501"/>
      <c r="J65" s="264">
        <f>F65</f>
        <v>0</v>
      </c>
      <c r="K65" s="52">
        <f>IFERROR(VLOOKUP(J65,AnsFTBL,2,0),0)</f>
        <v>0</v>
      </c>
      <c r="L65" s="276">
        <f>IFERROR(AVERAGE(K65,K69),0)</f>
        <v>0</v>
      </c>
      <c r="M65" s="501"/>
      <c r="N65" s="264">
        <f>J65</f>
        <v>0</v>
      </c>
      <c r="O65" s="52">
        <f>IFERROR(VLOOKUP(N65,AnsFTBL,2,0),0)</f>
        <v>0</v>
      </c>
      <c r="P65" s="276">
        <f>IFERROR(AVERAGE(O65,O69),0)</f>
        <v>0</v>
      </c>
      <c r="Q65" s="501"/>
      <c r="R65" s="264">
        <f>N65</f>
        <v>0</v>
      </c>
      <c r="S65" s="52">
        <f>IFERROR(VLOOKUP(R65,AnsFTBL,2,0),0)</f>
        <v>0</v>
      </c>
      <c r="T65" s="276">
        <f>IFERROR(AVERAGE(S65,S69),0)</f>
        <v>0</v>
      </c>
      <c r="U65" s="501"/>
      <c r="V65" s="264">
        <f>R65</f>
        <v>0</v>
      </c>
      <c r="W65" s="52">
        <f>IFERROR(VLOOKUP(V65,AnsFTBL,2,0),0)</f>
        <v>0</v>
      </c>
      <c r="X65" s="276">
        <f>IFERROR(AVERAGE(W65,W69),0)</f>
        <v>0</v>
      </c>
      <c r="Y65" s="501"/>
    </row>
    <row r="66" spans="1:25">
      <c r="A66" s="47" t="str">
        <f>Interview!A93</f>
        <v>D-SA-A-3-1</v>
      </c>
      <c r="B66" s="498"/>
      <c r="C66" s="284">
        <f>VLOOKUP(A66,'imp-questions'!A:H,5,0)</f>
        <v>3</v>
      </c>
      <c r="D66" s="265" t="str">
        <f>VLOOKUP(A66,'imp-questions'!A:H,6,0)</f>
        <v>Do you base your design on available reference architectures?</v>
      </c>
      <c r="E66" s="50" t="str">
        <f>CHAR(65+VLOOKUP(A66,'imp-questions'!A:H,8,0))</f>
        <v>F</v>
      </c>
      <c r="F66" s="270">
        <f>Interview!F93</f>
        <v>0</v>
      </c>
      <c r="G66" s="52">
        <f>IFERROR(VLOOKUP(F66,AnsFTBL,2,0),0)</f>
        <v>0</v>
      </c>
      <c r="H66" s="276">
        <f>IFERROR(AVERAGE(G66,G70),0)</f>
        <v>0</v>
      </c>
      <c r="I66" s="501"/>
      <c r="J66" s="264">
        <f>F66</f>
        <v>0</v>
      </c>
      <c r="K66" s="52">
        <f>IFERROR(VLOOKUP(J66,AnsFTBL,2,0),0)</f>
        <v>0</v>
      </c>
      <c r="L66" s="276">
        <f>IFERROR(AVERAGE(K66,K70),0)</f>
        <v>0</v>
      </c>
      <c r="M66" s="501"/>
      <c r="N66" s="264">
        <f>J66</f>
        <v>0</v>
      </c>
      <c r="O66" s="52">
        <f>IFERROR(VLOOKUP(N66,AnsFTBL,2,0),0)</f>
        <v>0</v>
      </c>
      <c r="P66" s="276">
        <f>IFERROR(AVERAGE(O66,O70),0)</f>
        <v>0</v>
      </c>
      <c r="Q66" s="501"/>
      <c r="R66" s="264">
        <f>N66</f>
        <v>0</v>
      </c>
      <c r="S66" s="52">
        <f>IFERROR(VLOOKUP(R66,AnsFTBL,2,0),0)</f>
        <v>0</v>
      </c>
      <c r="T66" s="276">
        <f>IFERROR(AVERAGE(S66,S70),0)</f>
        <v>0</v>
      </c>
      <c r="U66" s="501"/>
      <c r="V66" s="264">
        <f>R66</f>
        <v>0</v>
      </c>
      <c r="W66" s="52">
        <f>IFERROR(VLOOKUP(V66,AnsFTBL,2,0),0)</f>
        <v>0</v>
      </c>
      <c r="X66" s="276">
        <f>IFERROR(AVERAGE(W66,W70),0)</f>
        <v>0</v>
      </c>
      <c r="Y66" s="501"/>
    </row>
    <row r="67" spans="1:25" ht="13">
      <c r="A67" s="47"/>
      <c r="B67" s="289"/>
      <c r="C67" s="268"/>
      <c r="D67" s="269"/>
      <c r="E67" s="269"/>
      <c r="F67" s="269"/>
      <c r="G67" s="269"/>
      <c r="H67" s="269"/>
      <c r="I67" s="501"/>
      <c r="J67" s="269"/>
      <c r="K67" s="269"/>
      <c r="L67" s="269"/>
      <c r="M67" s="501"/>
      <c r="N67" s="269"/>
      <c r="O67" s="269"/>
      <c r="P67" s="269"/>
      <c r="Q67" s="501"/>
      <c r="R67" s="269"/>
      <c r="S67" s="269"/>
      <c r="T67" s="269"/>
      <c r="U67" s="501"/>
      <c r="V67" s="269"/>
      <c r="W67" s="269"/>
      <c r="X67" s="269"/>
      <c r="Y67" s="501"/>
    </row>
    <row r="68" spans="1:25" ht="28">
      <c r="A68" s="47" t="str">
        <f>Interview!A96</f>
        <v>D-SA-B-1-1</v>
      </c>
      <c r="B68" s="502" t="str">
        <f>VLOOKUP(A68,'imp-questions'!A:H,4,0)</f>
        <v>Technology Management</v>
      </c>
      <c r="C68" s="284">
        <f>VLOOKUP(A68,'imp-questions'!A:H,5,0)</f>
        <v>1</v>
      </c>
      <c r="D68" s="49" t="str">
        <f>VLOOKUP(A68,'imp-questions'!A:H,6,0)</f>
        <v>Do you evaluate the security quality of important technologies used for development?</v>
      </c>
      <c r="E68" s="50" t="str">
        <f>CHAR(65+VLOOKUP(A68,'imp-questions'!A:H,8,0))</f>
        <v>F</v>
      </c>
      <c r="F68" s="270">
        <f>Interview!F96</f>
        <v>0</v>
      </c>
      <c r="G68" s="52">
        <f>IFERROR(VLOOKUP(F68,AnsFTBL,2,0),0)</f>
        <v>0</v>
      </c>
      <c r="H68" s="203"/>
      <c r="I68" s="501"/>
      <c r="J68" s="264">
        <f>F68</f>
        <v>0</v>
      </c>
      <c r="K68" s="52">
        <f>IFERROR(VLOOKUP(J68,AnsFTBL,2,0),0)</f>
        <v>0</v>
      </c>
      <c r="L68" s="203"/>
      <c r="M68" s="501"/>
      <c r="N68" s="264">
        <f>J68</f>
        <v>0</v>
      </c>
      <c r="O68" s="52">
        <f>IFERROR(VLOOKUP(N68,AnsFTBL,2,0),0)</f>
        <v>0</v>
      </c>
      <c r="P68" s="203"/>
      <c r="Q68" s="501"/>
      <c r="R68" s="264">
        <f>N68</f>
        <v>0</v>
      </c>
      <c r="S68" s="52">
        <f>IFERROR(VLOOKUP(R68,AnsFTBL,2,0),0)</f>
        <v>0</v>
      </c>
      <c r="T68" s="203"/>
      <c r="U68" s="501"/>
      <c r="V68" s="264">
        <f>R68</f>
        <v>0</v>
      </c>
      <c r="W68" s="52">
        <f>IFERROR(VLOOKUP(V68,AnsFTBL,2,0),0)</f>
        <v>0</v>
      </c>
      <c r="X68" s="203"/>
      <c r="Y68" s="501"/>
    </row>
    <row r="69" spans="1:25">
      <c r="A69" s="47" t="str">
        <f>Interview!A98</f>
        <v>D-SA-B-2-1</v>
      </c>
      <c r="B69" s="502"/>
      <c r="C69" s="284">
        <f>VLOOKUP(A69,'imp-questions'!A:H,5,0)</f>
        <v>2</v>
      </c>
      <c r="D69" s="49" t="str">
        <f>VLOOKUP(A69,'imp-questions'!A:H,6,0)</f>
        <v>Do you have a list of recommended technologies for the organization?</v>
      </c>
      <c r="E69" s="50" t="str">
        <f>CHAR(65+VLOOKUP(A69,'imp-questions'!A:H,8,0))</f>
        <v>U</v>
      </c>
      <c r="F69" s="266">
        <f>Interview!F98</f>
        <v>0</v>
      </c>
      <c r="G69" s="52">
        <f>IFERROR(VLOOKUP(F69,AnsUTBL,2,0),0)</f>
        <v>0</v>
      </c>
      <c r="H69" s="203"/>
      <c r="I69" s="501"/>
      <c r="J69" s="264">
        <f>F69</f>
        <v>0</v>
      </c>
      <c r="K69" s="52">
        <f>IFERROR(VLOOKUP(J69,AnsUTBL,2,0),0)</f>
        <v>0</v>
      </c>
      <c r="L69" s="203"/>
      <c r="M69" s="501"/>
      <c r="N69" s="264">
        <f>J69</f>
        <v>0</v>
      </c>
      <c r="O69" s="52">
        <f>IFERROR(VLOOKUP(N69,AnsUTBL,2,0),0)</f>
        <v>0</v>
      </c>
      <c r="P69" s="203"/>
      <c r="Q69" s="501"/>
      <c r="R69" s="264">
        <f>N69</f>
        <v>0</v>
      </c>
      <c r="S69" s="52">
        <f>IFERROR(VLOOKUP(R69,AnsUTBL,2,0),0)</f>
        <v>0</v>
      </c>
      <c r="T69" s="203"/>
      <c r="U69" s="501"/>
      <c r="V69" s="264">
        <f>R69</f>
        <v>0</v>
      </c>
      <c r="W69" s="52">
        <f>IFERROR(VLOOKUP(V69,AnsUTBL,2,0),0)</f>
        <v>0</v>
      </c>
      <c r="X69" s="203"/>
      <c r="Y69" s="501"/>
    </row>
    <row r="70" spans="1:25">
      <c r="A70" s="47" t="str">
        <f>Interview!A100</f>
        <v>D-SA-B-3-1</v>
      </c>
      <c r="B70" s="502"/>
      <c r="C70" s="284">
        <f>VLOOKUP(A70,'imp-questions'!A:H,5,0)</f>
        <v>3</v>
      </c>
      <c r="D70" s="265" t="str">
        <f>VLOOKUP(A70,'imp-questions'!A:H,6,0)</f>
        <v>Do you enforce the use of recommended technologies within the organization?</v>
      </c>
      <c r="E70" s="50" t="str">
        <f>CHAR(65+VLOOKUP(A70,'imp-questions'!A:H,8,0))</f>
        <v>F</v>
      </c>
      <c r="F70" s="270">
        <f>Interview!F100</f>
        <v>0</v>
      </c>
      <c r="G70" s="52">
        <f>IFERROR(VLOOKUP(F70,AnsFTBL,2,0),0)</f>
        <v>0</v>
      </c>
      <c r="H70" s="203"/>
      <c r="I70" s="501"/>
      <c r="J70" s="264">
        <f>F70</f>
        <v>0</v>
      </c>
      <c r="K70" s="52">
        <f>IFERROR(VLOOKUP(J70,AnsFTBL,2,0),0)</f>
        <v>0</v>
      </c>
      <c r="L70" s="203"/>
      <c r="M70" s="501"/>
      <c r="N70" s="264">
        <f>J70</f>
        <v>0</v>
      </c>
      <c r="O70" s="52">
        <f>IFERROR(VLOOKUP(N70,AnsFTBL,2,0),0)</f>
        <v>0</v>
      </c>
      <c r="P70" s="203"/>
      <c r="Q70" s="501"/>
      <c r="R70" s="264">
        <f>N70</f>
        <v>0</v>
      </c>
      <c r="S70" s="52">
        <f>IFERROR(VLOOKUP(R70,AnsFTBL,2,0),0)</f>
        <v>0</v>
      </c>
      <c r="T70" s="203"/>
      <c r="U70" s="501"/>
      <c r="V70" s="264">
        <f>R70</f>
        <v>0</v>
      </c>
      <c r="W70" s="52">
        <f>IFERROR(VLOOKUP(V70,AnsFTBL,2,0),0)</f>
        <v>0</v>
      </c>
      <c r="X70" s="203"/>
      <c r="Y70" s="501"/>
    </row>
    <row r="71" spans="1:25" ht="13">
      <c r="A71" s="47"/>
      <c r="B71" s="289"/>
      <c r="C71" s="268"/>
      <c r="D71" s="269"/>
      <c r="E71" s="269"/>
      <c r="F71" s="269"/>
      <c r="G71" s="269"/>
      <c r="H71" s="269"/>
      <c r="I71" s="269"/>
      <c r="J71" s="269"/>
      <c r="K71" s="269"/>
      <c r="L71" s="269"/>
      <c r="M71" s="269"/>
      <c r="N71" s="269"/>
      <c r="O71" s="269"/>
      <c r="P71" s="269"/>
      <c r="Q71" s="269"/>
      <c r="R71" s="269"/>
      <c r="S71" s="269"/>
      <c r="T71" s="269"/>
      <c r="U71" s="269"/>
      <c r="V71" s="269"/>
      <c r="W71" s="269"/>
      <c r="X71" s="269"/>
      <c r="Y71" s="269"/>
    </row>
    <row r="72" spans="1:25" ht="25.5" customHeight="1">
      <c r="A72" s="47"/>
      <c r="B72" s="290" t="s">
        <v>109</v>
      </c>
      <c r="C72" s="290"/>
      <c r="D72" s="291"/>
      <c r="E72" s="291"/>
      <c r="F72" s="496" t="s">
        <v>183</v>
      </c>
      <c r="G72" s="496"/>
      <c r="H72" s="496"/>
      <c r="I72" s="496"/>
      <c r="J72" s="497" t="s">
        <v>194</v>
      </c>
      <c r="K72" s="497"/>
      <c r="L72" s="497"/>
      <c r="M72" s="497"/>
      <c r="N72" s="497" t="s">
        <v>195</v>
      </c>
      <c r="O72" s="497"/>
      <c r="P72" s="497"/>
      <c r="Q72" s="497"/>
      <c r="R72" s="497" t="s">
        <v>196</v>
      </c>
      <c r="S72" s="497"/>
      <c r="T72" s="497"/>
      <c r="U72" s="497"/>
      <c r="V72" s="497" t="s">
        <v>197</v>
      </c>
      <c r="W72" s="497"/>
      <c r="X72" s="497"/>
      <c r="Y72" s="497"/>
    </row>
    <row r="73" spans="1:25">
      <c r="A73" s="47"/>
      <c r="B73" s="132" t="s">
        <v>49</v>
      </c>
      <c r="C73" s="292" t="s">
        <v>50</v>
      </c>
      <c r="D73" s="132" t="s">
        <v>110</v>
      </c>
      <c r="E73" s="293"/>
      <c r="F73" s="294" t="s">
        <v>52</v>
      </c>
      <c r="G73" s="294"/>
      <c r="H73" s="295"/>
      <c r="I73" s="296" t="s">
        <v>54</v>
      </c>
      <c r="J73" s="294" t="s">
        <v>52</v>
      </c>
      <c r="K73" s="294"/>
      <c r="L73" s="295"/>
      <c r="M73" s="296" t="s">
        <v>54</v>
      </c>
      <c r="N73" s="294" t="s">
        <v>52</v>
      </c>
      <c r="O73" s="294"/>
      <c r="P73" s="295"/>
      <c r="Q73" s="296" t="s">
        <v>54</v>
      </c>
      <c r="R73" s="294" t="s">
        <v>52</v>
      </c>
      <c r="S73" s="294"/>
      <c r="T73" s="295"/>
      <c r="U73" s="296" t="s">
        <v>54</v>
      </c>
      <c r="V73" s="294" t="s">
        <v>52</v>
      </c>
      <c r="W73" s="294"/>
      <c r="X73" s="295"/>
      <c r="Y73" s="296" t="s">
        <v>54</v>
      </c>
    </row>
    <row r="74" spans="1:25">
      <c r="A74" s="47" t="str">
        <f>Interview!A104</f>
        <v>I-SB-A-1-1</v>
      </c>
      <c r="B74" s="493" t="str">
        <f>VLOOKUP(A74,'imp-questions'!A:H,4,0)</f>
        <v>Build Process</v>
      </c>
      <c r="C74" s="297">
        <f>VLOOKUP(A74,'imp-questions'!A:H,5,0)</f>
        <v>1</v>
      </c>
      <c r="D74" s="49" t="str">
        <f>VLOOKUP(A74,'imp-questions'!A:H,6,0)</f>
        <v>Is your full build process formally described?</v>
      </c>
      <c r="E74" s="50" t="str">
        <f>CHAR(65+VLOOKUP(A74,'imp-questions'!A:H,8,0))</f>
        <v>F</v>
      </c>
      <c r="F74" s="270" t="str">
        <f>Interview!F104</f>
        <v>Yes, for most or all of the applications</v>
      </c>
      <c r="G74" s="52">
        <f>IFERROR(VLOOKUP(F74,AnsFTBL,2,0),0)</f>
        <v>1</v>
      </c>
      <c r="H74" s="276">
        <f>IFERROR(AVERAGE(G74,G78),0)</f>
        <v>1</v>
      </c>
      <c r="I74" s="494">
        <f>SUM(H74:H76)</f>
        <v>2.5</v>
      </c>
      <c r="J74" s="270">
        <f>Interview!J104</f>
        <v>2.5</v>
      </c>
      <c r="K74" s="52">
        <f>IFERROR(VLOOKUP(J74,AnsFTBL,2,0),0)</f>
        <v>0</v>
      </c>
      <c r="L74" s="276">
        <f>IFERROR(AVERAGE(K74,K78),0)</f>
        <v>0</v>
      </c>
      <c r="M74" s="494">
        <f>SUM(L74:L76)</f>
        <v>0</v>
      </c>
      <c r="N74" s="270" t="str">
        <f>Interview!M104</f>
        <v>very confident</v>
      </c>
      <c r="O74" s="52">
        <f>IFERROR(VLOOKUP(N74,AnsFTBL,2,0),0)</f>
        <v>0</v>
      </c>
      <c r="P74" s="276">
        <f>IFERROR(AVERAGE(O74,O78),0)</f>
        <v>0</v>
      </c>
      <c r="Q74" s="494">
        <f>SUM(P74:P76)</f>
        <v>0</v>
      </c>
      <c r="R74" s="264" t="str">
        <f>N74</f>
        <v>very confident</v>
      </c>
      <c r="S74" s="52">
        <f>IFERROR(VLOOKUP(R74,AnsFTBL,2,0),0)</f>
        <v>0</v>
      </c>
      <c r="T74" s="276">
        <f>IFERROR(AVERAGE(S74,S78),0)</f>
        <v>0</v>
      </c>
      <c r="U74" s="494">
        <f>SUM(T74:T76)</f>
        <v>0</v>
      </c>
      <c r="V74" s="264" t="str">
        <f>R74</f>
        <v>very confident</v>
      </c>
      <c r="W74" s="52">
        <f>IFERROR(VLOOKUP(V74,AnsFTBL,2,0),0)</f>
        <v>0</v>
      </c>
      <c r="X74" s="276">
        <f>IFERROR(AVERAGE(W74,W78),0)</f>
        <v>0</v>
      </c>
      <c r="Y74" s="494">
        <f>SUM(X74:X76)</f>
        <v>0</v>
      </c>
    </row>
    <row r="75" spans="1:25">
      <c r="A75" s="47" t="str">
        <f>Interview!A106</f>
        <v>I-SB-A-2-1</v>
      </c>
      <c r="B75" s="493"/>
      <c r="C75" s="297">
        <f>VLOOKUP(A75,'imp-questions'!A:H,5,0)</f>
        <v>2</v>
      </c>
      <c r="D75" s="49" t="str">
        <f>VLOOKUP(A75,'imp-questions'!A:H,6,0)</f>
        <v>Is the build process fully automated?</v>
      </c>
      <c r="E75" s="50" t="str">
        <f>CHAR(65+VLOOKUP(A75,'imp-questions'!A:H,8,0))</f>
        <v>F</v>
      </c>
      <c r="F75" s="270" t="str">
        <f>Interview!F106</f>
        <v>Yes, for most or all of the applications</v>
      </c>
      <c r="G75" s="52">
        <f>IFERROR(VLOOKUP(F75,AnsFTBL,2,0),0)</f>
        <v>1</v>
      </c>
      <c r="H75" s="276">
        <f>IFERROR(AVERAGE(G75,G79),0)</f>
        <v>1</v>
      </c>
      <c r="I75" s="494"/>
      <c r="J75" s="270">
        <f>Interview!J106</f>
        <v>0</v>
      </c>
      <c r="K75" s="52">
        <f>IFERROR(VLOOKUP(J75,AnsFTBL,2,0),0)</f>
        <v>0</v>
      </c>
      <c r="L75" s="276">
        <f>IFERROR(AVERAGE(K75,K79),0)</f>
        <v>0</v>
      </c>
      <c r="M75" s="494"/>
      <c r="N75" s="270">
        <f>Interview!M106</f>
        <v>0</v>
      </c>
      <c r="O75" s="52">
        <f>IFERROR(VLOOKUP(N75,AnsFTBL,2,0),0)</f>
        <v>0</v>
      </c>
      <c r="P75" s="276">
        <f>IFERROR(AVERAGE(O75,O79),0)</f>
        <v>0</v>
      </c>
      <c r="Q75" s="494"/>
      <c r="R75" s="264">
        <f>N75</f>
        <v>0</v>
      </c>
      <c r="S75" s="52">
        <f>IFERROR(VLOOKUP(R75,AnsFTBL,2,0),0)</f>
        <v>0</v>
      </c>
      <c r="T75" s="276">
        <f>IFERROR(AVERAGE(S75,S79),0)</f>
        <v>0</v>
      </c>
      <c r="U75" s="494"/>
      <c r="V75" s="264">
        <f>R75</f>
        <v>0</v>
      </c>
      <c r="W75" s="52">
        <f>IFERROR(VLOOKUP(V75,AnsFTBL,2,0),0)</f>
        <v>0</v>
      </c>
      <c r="X75" s="276">
        <f>IFERROR(AVERAGE(W75,W79),0)</f>
        <v>0</v>
      </c>
      <c r="Y75" s="494"/>
    </row>
    <row r="76" spans="1:25">
      <c r="A76" s="47" t="str">
        <f>Interview!A108</f>
        <v>I-SB-A-3-1</v>
      </c>
      <c r="B76" s="493"/>
      <c r="C76" s="297">
        <f>VLOOKUP(A76,'imp-questions'!A:H,5,0)</f>
        <v>3</v>
      </c>
      <c r="D76" s="265" t="str">
        <f>VLOOKUP(A76,'imp-questions'!A:H,6,0)</f>
        <v>Do you enforce automated security checks in your build processes?</v>
      </c>
      <c r="E76" s="50" t="str">
        <f>CHAR(65+VLOOKUP(A76,'imp-questions'!A:H,8,0))</f>
        <v>F</v>
      </c>
      <c r="F76" s="270" t="str">
        <f>Interview!F108</f>
        <v>Yes, for most or all of the applications</v>
      </c>
      <c r="G76" s="52">
        <f>IFERROR(VLOOKUP(F76,AnsFTBL,2,0),0)</f>
        <v>1</v>
      </c>
      <c r="H76" s="276">
        <f>IFERROR(AVERAGE(G76,G80),0)</f>
        <v>0.5</v>
      </c>
      <c r="I76" s="494"/>
      <c r="J76" s="270">
        <f>Interview!J108</f>
        <v>0</v>
      </c>
      <c r="K76" s="52">
        <f>IFERROR(VLOOKUP(J76,AnsFTBL,2,0),0)</f>
        <v>0</v>
      </c>
      <c r="L76" s="276">
        <f>IFERROR(AVERAGE(K76,K80),0)</f>
        <v>0</v>
      </c>
      <c r="M76" s="494"/>
      <c r="N76" s="270">
        <f>Interview!M108</f>
        <v>0</v>
      </c>
      <c r="O76" s="52">
        <f>IFERROR(VLOOKUP(N76,AnsFTBL,2,0),0)</f>
        <v>0</v>
      </c>
      <c r="P76" s="276">
        <f>IFERROR(AVERAGE(O76,O80),0)</f>
        <v>0</v>
      </c>
      <c r="Q76" s="494"/>
      <c r="R76" s="264">
        <f>N76</f>
        <v>0</v>
      </c>
      <c r="S76" s="52">
        <f>IFERROR(VLOOKUP(R76,AnsFTBL,2,0),0)</f>
        <v>0</v>
      </c>
      <c r="T76" s="276">
        <f>IFERROR(AVERAGE(S76,S80),0)</f>
        <v>0</v>
      </c>
      <c r="U76" s="494"/>
      <c r="V76" s="264">
        <f>R76</f>
        <v>0</v>
      </c>
      <c r="W76" s="52">
        <f>IFERROR(VLOOKUP(V76,AnsFTBL,2,0),0)</f>
        <v>0</v>
      </c>
      <c r="X76" s="276">
        <f>IFERROR(AVERAGE(W76,W80),0)</f>
        <v>0</v>
      </c>
      <c r="Y76" s="494"/>
    </row>
    <row r="77" spans="1:25" ht="13">
      <c r="A77" s="47"/>
      <c r="B77" s="267"/>
      <c r="C77" s="268"/>
      <c r="D77" s="269"/>
      <c r="E77" s="269"/>
      <c r="F77" s="269"/>
      <c r="G77" s="269"/>
      <c r="H77" s="269"/>
      <c r="I77" s="494"/>
      <c r="J77" s="269"/>
      <c r="K77" s="269"/>
      <c r="L77" s="269"/>
      <c r="M77" s="494"/>
      <c r="N77" s="269"/>
      <c r="O77" s="269"/>
      <c r="P77" s="269"/>
      <c r="Q77" s="494"/>
      <c r="R77" s="269"/>
      <c r="S77" s="269"/>
      <c r="T77" s="269"/>
      <c r="U77" s="494"/>
      <c r="V77" s="269"/>
      <c r="W77" s="269"/>
      <c r="X77" s="269"/>
      <c r="Y77" s="494"/>
    </row>
    <row r="78" spans="1:25">
      <c r="A78" s="47" t="str">
        <f>Interview!A111</f>
        <v>I-SB-B-1-1</v>
      </c>
      <c r="B78" s="493" t="str">
        <f>VLOOKUP(A78,'imp-questions'!A:H,4,0)</f>
        <v>Software Dependencies</v>
      </c>
      <c r="C78" s="297">
        <f>VLOOKUP(A78,'imp-questions'!A:H,5,0)</f>
        <v>1</v>
      </c>
      <c r="D78" s="49" t="str">
        <f>VLOOKUP(A78,'imp-questions'!A:H,6,0)</f>
        <v>Do you have solid knowledge about dependencies you're relying on?</v>
      </c>
      <c r="E78" s="50" t="str">
        <f>CHAR(65+VLOOKUP(A78,'imp-questions'!A:H,8,0))</f>
        <v>F</v>
      </c>
      <c r="F78" s="270" t="str">
        <f>Interview!F111</f>
        <v>Yes, for most or all of the applications</v>
      </c>
      <c r="G78" s="52">
        <f>IFERROR(VLOOKUP(F78,AnsFTBL,2,0),0)</f>
        <v>1</v>
      </c>
      <c r="H78" s="203"/>
      <c r="I78" s="494"/>
      <c r="J78" s="270">
        <f>Interview!J111</f>
        <v>0</v>
      </c>
      <c r="K78" s="52">
        <f>IFERROR(VLOOKUP(J78,AnsFTBL,2,0),0)</f>
        <v>0</v>
      </c>
      <c r="L78" s="203"/>
      <c r="M78" s="494"/>
      <c r="N78" s="270" t="str">
        <f>Interview!M111</f>
        <v>very confident</v>
      </c>
      <c r="O78" s="52">
        <f>IFERROR(VLOOKUP(N78,AnsFTBL,2,0),0)</f>
        <v>0</v>
      </c>
      <c r="P78" s="203"/>
      <c r="Q78" s="494"/>
      <c r="R78" s="264" t="str">
        <f>N78</f>
        <v>very confident</v>
      </c>
      <c r="S78" s="52">
        <f>IFERROR(VLOOKUP(R78,AnsFTBL,2,0),0)</f>
        <v>0</v>
      </c>
      <c r="T78" s="203"/>
      <c r="U78" s="494"/>
      <c r="V78" s="264" t="str">
        <f>R78</f>
        <v>very confident</v>
      </c>
      <c r="W78" s="52">
        <f>IFERROR(VLOOKUP(V78,AnsFTBL,2,0),0)</f>
        <v>0</v>
      </c>
      <c r="X78" s="203"/>
      <c r="Y78" s="494"/>
    </row>
    <row r="79" spans="1:25">
      <c r="A79" s="47" t="str">
        <f>Interview!A113</f>
        <v>I-SB-B-2-1</v>
      </c>
      <c r="B79" s="493"/>
      <c r="C79" s="297">
        <f>VLOOKUP(A79,'imp-questions'!A:H,5,0)</f>
        <v>2</v>
      </c>
      <c r="D79" s="49" t="str">
        <f>VLOOKUP(A79,'imp-questions'!A:H,6,0)</f>
        <v>Do you handle 3rd party dependency risk by a formal process?</v>
      </c>
      <c r="E79" s="50" t="str">
        <f>CHAR(65+VLOOKUP(A79,'imp-questions'!A:H,8,0))</f>
        <v>F</v>
      </c>
      <c r="F79" s="270" t="str">
        <f>Interview!F113</f>
        <v>Yes, for most or all of the applications</v>
      </c>
      <c r="G79" s="52">
        <f>IFERROR(VLOOKUP(F79,AnsFTBL,2,0),0)</f>
        <v>1</v>
      </c>
      <c r="H79" s="203"/>
      <c r="I79" s="494"/>
      <c r="J79" s="270">
        <f>Interview!J113</f>
        <v>0</v>
      </c>
      <c r="K79" s="52">
        <f>IFERROR(VLOOKUP(J79,AnsFTBL,2,0),0)</f>
        <v>0</v>
      </c>
      <c r="L79" s="203"/>
      <c r="M79" s="494"/>
      <c r="N79" s="270">
        <f>Interview!M113</f>
        <v>0</v>
      </c>
      <c r="O79" s="52">
        <f>IFERROR(VLOOKUP(N79,AnsFTBL,2,0),0)</f>
        <v>0</v>
      </c>
      <c r="P79" s="203"/>
      <c r="Q79" s="494"/>
      <c r="R79" s="264">
        <f>N79</f>
        <v>0</v>
      </c>
      <c r="S79" s="52">
        <f>IFERROR(VLOOKUP(R79,AnsFTBL,2,0),0)</f>
        <v>0</v>
      </c>
      <c r="T79" s="203"/>
      <c r="U79" s="494"/>
      <c r="V79" s="264">
        <f>R79</f>
        <v>0</v>
      </c>
      <c r="W79" s="52">
        <f>IFERROR(VLOOKUP(V79,AnsFTBL,2,0),0)</f>
        <v>0</v>
      </c>
      <c r="X79" s="203"/>
      <c r="Y79" s="494"/>
    </row>
    <row r="80" spans="1:25" ht="28">
      <c r="A80" s="47" t="str">
        <f>Interview!A115</f>
        <v>I-SB-B-3-1</v>
      </c>
      <c r="B80" s="493"/>
      <c r="C80" s="297">
        <f>VLOOKUP(A80,'imp-questions'!A:H,5,0)</f>
        <v>3</v>
      </c>
      <c r="D80" s="265" t="str">
        <f>VLOOKUP(A80,'imp-questions'!A:H,6,0)</f>
        <v>Do you prevent build of software if it's affected by vulnerabilities in dependencies?</v>
      </c>
      <c r="E80" s="50" t="str">
        <f>CHAR(65+VLOOKUP(A80,'imp-questions'!A:H,8,0))</f>
        <v>F</v>
      </c>
      <c r="F80" s="270" t="str">
        <f>Interview!F115</f>
        <v>No</v>
      </c>
      <c r="G80" s="52">
        <f>IFERROR(VLOOKUP(F80,AnsFTBL,2,0),0)</f>
        <v>0</v>
      </c>
      <c r="H80" s="203"/>
      <c r="I80" s="494"/>
      <c r="J80" s="270">
        <f>Interview!J115</f>
        <v>0</v>
      </c>
      <c r="K80" s="52">
        <f>IFERROR(VLOOKUP(J80,AnsFTBL,2,0),0)</f>
        <v>0</v>
      </c>
      <c r="L80" s="203"/>
      <c r="M80" s="494"/>
      <c r="N80" s="270">
        <f>Interview!M115</f>
        <v>0</v>
      </c>
      <c r="O80" s="52">
        <f>IFERROR(VLOOKUP(N80,AnsFTBL,2,0),0)</f>
        <v>0</v>
      </c>
      <c r="P80" s="203"/>
      <c r="Q80" s="494"/>
      <c r="R80" s="264">
        <f>N80</f>
        <v>0</v>
      </c>
      <c r="S80" s="52">
        <f>IFERROR(VLOOKUP(R80,AnsFTBL,2,0),0)</f>
        <v>0</v>
      </c>
      <c r="T80" s="203"/>
      <c r="U80" s="494"/>
      <c r="V80" s="264">
        <f>R80</f>
        <v>0</v>
      </c>
      <c r="W80" s="52">
        <f>IFERROR(VLOOKUP(V80,AnsFTBL,2,0),0)</f>
        <v>0</v>
      </c>
      <c r="X80" s="203"/>
      <c r="Y80" s="494"/>
    </row>
    <row r="81" spans="1:25" ht="13">
      <c r="A81" s="47"/>
      <c r="B81" s="267"/>
      <c r="C81" s="268"/>
      <c r="D81" s="269"/>
      <c r="E81" s="269"/>
      <c r="F81" s="269"/>
      <c r="G81" s="269"/>
      <c r="H81" s="269"/>
      <c r="I81" s="269"/>
      <c r="J81" s="269"/>
      <c r="K81" s="269"/>
      <c r="L81" s="269"/>
      <c r="M81" s="269"/>
      <c r="N81" s="269"/>
      <c r="O81" s="269"/>
      <c r="P81" s="269"/>
      <c r="Q81" s="269"/>
      <c r="R81" s="269"/>
      <c r="S81" s="269"/>
      <c r="T81" s="269"/>
      <c r="U81" s="269"/>
      <c r="V81" s="269"/>
      <c r="W81" s="269"/>
      <c r="X81" s="269"/>
      <c r="Y81" s="269"/>
    </row>
    <row r="82" spans="1:25">
      <c r="A82" s="47"/>
      <c r="B82" s="132" t="s">
        <v>49</v>
      </c>
      <c r="C82" s="292" t="s">
        <v>50</v>
      </c>
      <c r="D82" s="143" t="s">
        <v>119</v>
      </c>
      <c r="E82" s="125"/>
      <c r="F82" s="124" t="s">
        <v>52</v>
      </c>
      <c r="G82" s="124"/>
      <c r="H82" s="126"/>
      <c r="I82" s="296" t="s">
        <v>54</v>
      </c>
      <c r="J82" s="124" t="s">
        <v>52</v>
      </c>
      <c r="K82" s="124"/>
      <c r="L82" s="126"/>
      <c r="M82" s="296" t="s">
        <v>54</v>
      </c>
      <c r="N82" s="124" t="s">
        <v>52</v>
      </c>
      <c r="O82" s="124"/>
      <c r="P82" s="126"/>
      <c r="Q82" s="296" t="s">
        <v>54</v>
      </c>
      <c r="R82" s="124" t="s">
        <v>52</v>
      </c>
      <c r="S82" s="124"/>
      <c r="T82" s="126"/>
      <c r="U82" s="296" t="s">
        <v>54</v>
      </c>
      <c r="V82" s="124" t="s">
        <v>52</v>
      </c>
      <c r="W82" s="124"/>
      <c r="X82" s="126"/>
      <c r="Y82" s="296" t="s">
        <v>54</v>
      </c>
    </row>
    <row r="83" spans="1:25">
      <c r="A83" s="47" t="str">
        <f>Interview!A118</f>
        <v>I-SD-A-1-1</v>
      </c>
      <c r="B83" s="493" t="str">
        <f>VLOOKUP(A83,'imp-questions'!A:H,4,0)</f>
        <v>Deployment Process</v>
      </c>
      <c r="C83" s="297">
        <f>VLOOKUP(A83,'imp-questions'!A:H,5,0)</f>
        <v>1</v>
      </c>
      <c r="D83" s="49" t="str">
        <f>VLOOKUP(A83,'imp-questions'!A:H,6,0)</f>
        <v>Do you use repeatable deployment processes?</v>
      </c>
      <c r="E83" s="50" t="str">
        <f>CHAR(65+VLOOKUP(A83,'imp-questions'!A:H,8,0))</f>
        <v>F</v>
      </c>
      <c r="F83" s="270">
        <f>Interview!F118</f>
        <v>0</v>
      </c>
      <c r="G83" s="52">
        <f>IFERROR(VLOOKUP(F83,AnsFTBL,2,0),0)</f>
        <v>0</v>
      </c>
      <c r="H83" s="276">
        <f>IFERROR(AVERAGE(G83,G87),0)</f>
        <v>0.5</v>
      </c>
      <c r="I83" s="494">
        <f>SUM(H83:H85)</f>
        <v>1</v>
      </c>
      <c r="J83" s="270">
        <f>Interview!J118</f>
        <v>1</v>
      </c>
      <c r="K83" s="52">
        <f>IFERROR(VLOOKUP(J83,AnsFTBL,2,0),0)</f>
        <v>0</v>
      </c>
      <c r="L83" s="276">
        <f>IFERROR(AVERAGE(K83,K87),0)</f>
        <v>0</v>
      </c>
      <c r="M83" s="494">
        <f>SUM(L83:L85)</f>
        <v>0</v>
      </c>
      <c r="N83" s="270">
        <f>Interview!M118</f>
        <v>0</v>
      </c>
      <c r="O83" s="52">
        <f>IFERROR(VLOOKUP(N83,AnsFTBL,2,0),0)</f>
        <v>0</v>
      </c>
      <c r="P83" s="276">
        <f>IFERROR(AVERAGE(O83,O87),0)</f>
        <v>0</v>
      </c>
      <c r="Q83" s="494">
        <f>SUM(P83:P85)</f>
        <v>0</v>
      </c>
      <c r="R83" s="264">
        <f>N83</f>
        <v>0</v>
      </c>
      <c r="S83" s="52">
        <f>IFERROR(VLOOKUP(R83,AnsFTBL,2,0),0)</f>
        <v>0</v>
      </c>
      <c r="T83" s="276">
        <f>IFERROR(AVERAGE(S83,S87),0)</f>
        <v>0</v>
      </c>
      <c r="U83" s="494">
        <f>SUM(T83:T85)</f>
        <v>0</v>
      </c>
      <c r="V83" s="264">
        <f>R83</f>
        <v>0</v>
      </c>
      <c r="W83" s="52">
        <f>IFERROR(VLOOKUP(V83,AnsFTBL,2,0),0)</f>
        <v>0</v>
      </c>
      <c r="X83" s="276">
        <f>IFERROR(AVERAGE(W83,W87),0)</f>
        <v>0</v>
      </c>
      <c r="Y83" s="494">
        <f>SUM(X83:X85)</f>
        <v>0</v>
      </c>
    </row>
    <row r="84" spans="1:25">
      <c r="A84" s="47" t="str">
        <f>Interview!A120</f>
        <v>I-SD-A-2-1</v>
      </c>
      <c r="B84" s="493"/>
      <c r="C84" s="297">
        <f>VLOOKUP(A84,'imp-questions'!A:H,5,0)</f>
        <v>2</v>
      </c>
      <c r="D84" s="49" t="str">
        <f>VLOOKUP(A84,'imp-questions'!A:H,6,0)</f>
        <v>Are deployment processes automated and employing security checks?</v>
      </c>
      <c r="E84" s="50" t="str">
        <f>CHAR(65+VLOOKUP(A84,'imp-questions'!A:H,8,0))</f>
        <v>F</v>
      </c>
      <c r="F84" s="270">
        <f>Interview!F120</f>
        <v>0</v>
      </c>
      <c r="G84" s="52">
        <f>IFERROR(VLOOKUP(F84,AnsFTBL,2,0),0)</f>
        <v>0</v>
      </c>
      <c r="H84" s="276">
        <f>IFERROR(AVERAGE(G84,G88),0)</f>
        <v>0</v>
      </c>
      <c r="I84" s="494"/>
      <c r="J84" s="270">
        <f>Interview!J120</f>
        <v>0</v>
      </c>
      <c r="K84" s="52">
        <f>IFERROR(VLOOKUP(J84,AnsFTBL,2,0),0)</f>
        <v>0</v>
      </c>
      <c r="L84" s="276">
        <f>IFERROR(AVERAGE(K84,K88),0)</f>
        <v>0</v>
      </c>
      <c r="M84" s="494"/>
      <c r="N84" s="270">
        <f>Interview!M120</f>
        <v>0</v>
      </c>
      <c r="O84" s="52">
        <f>IFERROR(VLOOKUP(N84,AnsFTBL,2,0),0)</f>
        <v>0</v>
      </c>
      <c r="P84" s="276">
        <f>IFERROR(AVERAGE(O84,O88),0)</f>
        <v>0</v>
      </c>
      <c r="Q84" s="494"/>
      <c r="R84" s="264">
        <f>N84</f>
        <v>0</v>
      </c>
      <c r="S84" s="52">
        <f>IFERROR(VLOOKUP(R84,AnsFTBL,2,0),0)</f>
        <v>0</v>
      </c>
      <c r="T84" s="276">
        <f>IFERROR(AVERAGE(S84,S88),0)</f>
        <v>0</v>
      </c>
      <c r="U84" s="494"/>
      <c r="V84" s="264">
        <f>R84</f>
        <v>0</v>
      </c>
      <c r="W84" s="52">
        <f>IFERROR(VLOOKUP(V84,AnsFTBL,2,0),0)</f>
        <v>0</v>
      </c>
      <c r="X84" s="276">
        <f>IFERROR(AVERAGE(W84,W88),0)</f>
        <v>0</v>
      </c>
      <c r="Y84" s="494"/>
    </row>
    <row r="85" spans="1:25">
      <c r="A85" s="47" t="str">
        <f>Interview!A122</f>
        <v>I-SD-A-3-1</v>
      </c>
      <c r="B85" s="493"/>
      <c r="C85" s="297">
        <f>VLOOKUP(A85,'imp-questions'!A:H,5,0)</f>
        <v>3</v>
      </c>
      <c r="D85" s="265" t="str">
        <f>VLOOKUP(A85,'imp-questions'!A:H,6,0)</f>
        <v>Do you consistently validate the integrity of deployed artifacts?</v>
      </c>
      <c r="E85" s="50" t="str">
        <f>CHAR(65+VLOOKUP(A85,'imp-questions'!A:H,8,0))</f>
        <v>F</v>
      </c>
      <c r="F85" s="270">
        <f>Interview!F122</f>
        <v>0</v>
      </c>
      <c r="G85" s="52">
        <f>IFERROR(VLOOKUP(F85,AnsFTBL,2,0),0)</f>
        <v>0</v>
      </c>
      <c r="H85" s="276">
        <f>IFERROR(AVERAGE(G85,G89),0)</f>
        <v>0.5</v>
      </c>
      <c r="I85" s="494"/>
      <c r="J85" s="270">
        <f>Interview!J122</f>
        <v>0</v>
      </c>
      <c r="K85" s="52">
        <f>IFERROR(VLOOKUP(J85,AnsFTBL,2,0),0)</f>
        <v>0</v>
      </c>
      <c r="L85" s="276">
        <f>IFERROR(AVERAGE(K85,K89),0)</f>
        <v>0</v>
      </c>
      <c r="M85" s="494"/>
      <c r="N85" s="270">
        <f>Interview!M122</f>
        <v>0</v>
      </c>
      <c r="O85" s="52">
        <f>IFERROR(VLOOKUP(N85,AnsFTBL,2,0),0)</f>
        <v>0</v>
      </c>
      <c r="P85" s="276">
        <f>IFERROR(AVERAGE(O85,O89),0)</f>
        <v>0</v>
      </c>
      <c r="Q85" s="494"/>
      <c r="R85" s="264">
        <f>N85</f>
        <v>0</v>
      </c>
      <c r="S85" s="52">
        <f>IFERROR(VLOOKUP(R85,AnsFTBL,2,0),0)</f>
        <v>0</v>
      </c>
      <c r="T85" s="276">
        <f>IFERROR(AVERAGE(S85,S89),0)</f>
        <v>0</v>
      </c>
      <c r="U85" s="494"/>
      <c r="V85" s="264">
        <f>R85</f>
        <v>0</v>
      </c>
      <c r="W85" s="52">
        <f>IFERROR(VLOOKUP(V85,AnsFTBL,2,0),0)</f>
        <v>0</v>
      </c>
      <c r="X85" s="276">
        <f>IFERROR(AVERAGE(W85,W89),0)</f>
        <v>0</v>
      </c>
      <c r="Y85" s="494"/>
    </row>
    <row r="86" spans="1:25" ht="13">
      <c r="A86" s="47"/>
      <c r="B86" s="267"/>
      <c r="C86" s="268"/>
      <c r="D86" s="269"/>
      <c r="E86" s="269"/>
      <c r="F86" s="269"/>
      <c r="G86" s="269"/>
      <c r="H86" s="269"/>
      <c r="I86" s="494"/>
      <c r="J86" s="269"/>
      <c r="K86" s="269"/>
      <c r="L86" s="269"/>
      <c r="M86" s="494"/>
      <c r="N86" s="269"/>
      <c r="O86" s="269"/>
      <c r="P86" s="269"/>
      <c r="Q86" s="494"/>
      <c r="R86" s="269"/>
      <c r="S86" s="269"/>
      <c r="T86" s="269"/>
      <c r="U86" s="494"/>
      <c r="V86" s="269"/>
      <c r="W86" s="269"/>
      <c r="X86" s="269"/>
      <c r="Y86" s="494"/>
    </row>
    <row r="87" spans="1:25" ht="28">
      <c r="A87" s="47" t="str">
        <f>Interview!A125</f>
        <v>I-SD-B-1-1</v>
      </c>
      <c r="B87" s="493" t="str">
        <f>VLOOKUP(A87,'imp-questions'!A:H,4,0)</f>
        <v>Secret Management</v>
      </c>
      <c r="C87" s="297">
        <f>VLOOKUP(A87,'imp-questions'!A:H,5,0)</f>
        <v>1</v>
      </c>
      <c r="D87" s="49" t="str">
        <f>VLOOKUP(A87,'imp-questions'!A:H,6,0)</f>
        <v>Do you limit access to application secrets according to the least privilege principle?</v>
      </c>
      <c r="E87" s="50" t="str">
        <f>CHAR(65+VLOOKUP(A87,'imp-questions'!A:H,8,0))</f>
        <v>F</v>
      </c>
      <c r="F87" s="270" t="str">
        <f>Interview!F125</f>
        <v>Yes, for most or all of the applications</v>
      </c>
      <c r="G87" s="52">
        <f>IFERROR(VLOOKUP(F87,AnsFTBL,2,0),0)</f>
        <v>1</v>
      </c>
      <c r="H87" s="203"/>
      <c r="I87" s="494"/>
      <c r="J87" s="270">
        <f>Interview!J125</f>
        <v>0</v>
      </c>
      <c r="K87" s="52">
        <f>IFERROR(VLOOKUP(J87,AnsFTBL,2,0),0)</f>
        <v>0</v>
      </c>
      <c r="L87" s="203"/>
      <c r="M87" s="494"/>
      <c r="N87" s="270" t="str">
        <f>Interview!M125</f>
        <v>confident</v>
      </c>
      <c r="O87" s="52">
        <f>IFERROR(VLOOKUP(N87,AnsFTBL,2,0),0)</f>
        <v>0</v>
      </c>
      <c r="P87" s="203"/>
      <c r="Q87" s="494"/>
      <c r="R87" s="264" t="str">
        <f>N87</f>
        <v>confident</v>
      </c>
      <c r="S87" s="52">
        <f>IFERROR(VLOOKUP(R87,AnsFTBL,2,0),0)</f>
        <v>0</v>
      </c>
      <c r="T87" s="203"/>
      <c r="U87" s="494"/>
      <c r="V87" s="264" t="str">
        <f>R87</f>
        <v>confident</v>
      </c>
      <c r="W87" s="52">
        <f>IFERROR(VLOOKUP(V87,AnsFTBL,2,0),0)</f>
        <v>0</v>
      </c>
      <c r="X87" s="203"/>
      <c r="Y87" s="494"/>
    </row>
    <row r="88" spans="1:25">
      <c r="A88" s="47" t="str">
        <f>Interview!A127</f>
        <v>I-SD-B-2-1</v>
      </c>
      <c r="B88" s="493"/>
      <c r="C88" s="297">
        <f>VLOOKUP(A88,'imp-questions'!A:H,5,0)</f>
        <v>2</v>
      </c>
      <c r="D88" s="49" t="str">
        <f>VLOOKUP(A88,'imp-questions'!A:H,6,0)</f>
        <v>Do you inject production secrets into configuration files during deployment?</v>
      </c>
      <c r="E88" s="50" t="str">
        <f>CHAR(65+VLOOKUP(A88,'imp-questions'!A:H,8,0))</f>
        <v>F</v>
      </c>
      <c r="F88" s="270" t="str">
        <f>Interview!F127</f>
        <v>No</v>
      </c>
      <c r="G88" s="52">
        <f>IFERROR(VLOOKUP(F88,AnsFTBL,2,0),0)</f>
        <v>0</v>
      </c>
      <c r="H88" s="203"/>
      <c r="I88" s="494"/>
      <c r="J88" s="270">
        <f>Interview!J127</f>
        <v>0</v>
      </c>
      <c r="K88" s="52">
        <f>IFERROR(VLOOKUP(J88,AnsFTBL,2,0),0)</f>
        <v>0</v>
      </c>
      <c r="L88" s="203"/>
      <c r="M88" s="494"/>
      <c r="N88" s="270">
        <f>Interview!M127</f>
        <v>0</v>
      </c>
      <c r="O88" s="52">
        <f>IFERROR(VLOOKUP(N88,AnsFTBL,2,0),0)</f>
        <v>0</v>
      </c>
      <c r="P88" s="203"/>
      <c r="Q88" s="494"/>
      <c r="R88" s="264">
        <f>N88</f>
        <v>0</v>
      </c>
      <c r="S88" s="52">
        <f>IFERROR(VLOOKUP(R88,AnsFTBL,2,0),0)</f>
        <v>0</v>
      </c>
      <c r="T88" s="203"/>
      <c r="U88" s="494"/>
      <c r="V88" s="264">
        <f>R88</f>
        <v>0</v>
      </c>
      <c r="W88" s="52">
        <f>IFERROR(VLOOKUP(V88,AnsFTBL,2,0),0)</f>
        <v>0</v>
      </c>
      <c r="X88" s="203"/>
      <c r="Y88" s="494"/>
    </row>
    <row r="89" spans="1:25">
      <c r="A89" s="47" t="str">
        <f>Interview!A129</f>
        <v>I-SD-B-3-1</v>
      </c>
      <c r="B89" s="493"/>
      <c r="C89" s="297">
        <f>VLOOKUP(A89,'imp-questions'!A:H,5,0)</f>
        <v>3</v>
      </c>
      <c r="D89" s="265" t="str">
        <f>VLOOKUP(A89,'imp-questions'!A:H,6,0)</f>
        <v>Do you practice proper lifecycle management for application secrets?</v>
      </c>
      <c r="E89" s="50" t="str">
        <f>CHAR(65+VLOOKUP(A89,'imp-questions'!A:H,8,0))</f>
        <v>F</v>
      </c>
      <c r="F89" s="270" t="str">
        <f>Interview!F129</f>
        <v>Yes, for most or all of the applications</v>
      </c>
      <c r="G89" s="52">
        <f>IFERROR(VLOOKUP(F89,AnsFTBL,2,0),0)</f>
        <v>1</v>
      </c>
      <c r="H89" s="203"/>
      <c r="I89" s="494"/>
      <c r="J89" s="270">
        <f>Interview!J129</f>
        <v>0</v>
      </c>
      <c r="K89" s="52">
        <f>IFERROR(VLOOKUP(J89,AnsFTBL,2,0),0)</f>
        <v>0</v>
      </c>
      <c r="L89" s="203"/>
      <c r="M89" s="494"/>
      <c r="N89" s="270">
        <f>Interview!M129</f>
        <v>0</v>
      </c>
      <c r="O89" s="52">
        <f>IFERROR(VLOOKUP(N89,AnsFTBL,2,0),0)</f>
        <v>0</v>
      </c>
      <c r="P89" s="203"/>
      <c r="Q89" s="494"/>
      <c r="R89" s="264">
        <f>N89</f>
        <v>0</v>
      </c>
      <c r="S89" s="52">
        <f>IFERROR(VLOOKUP(R89,AnsFTBL,2,0),0)</f>
        <v>0</v>
      </c>
      <c r="T89" s="203"/>
      <c r="U89" s="494"/>
      <c r="V89" s="264">
        <f>R89</f>
        <v>0</v>
      </c>
      <c r="W89" s="52">
        <f>IFERROR(VLOOKUP(V89,AnsFTBL,2,0),0)</f>
        <v>0</v>
      </c>
      <c r="X89" s="203"/>
      <c r="Y89" s="494"/>
    </row>
    <row r="90" spans="1:25" ht="13">
      <c r="A90" s="47"/>
      <c r="B90" s="267"/>
      <c r="C90" s="268"/>
      <c r="D90" s="269"/>
      <c r="E90" s="269"/>
      <c r="F90" s="269"/>
      <c r="G90" s="269"/>
      <c r="H90" s="269"/>
      <c r="I90" s="269"/>
      <c r="J90" s="269"/>
      <c r="K90" s="269"/>
      <c r="L90" s="269"/>
      <c r="M90" s="269"/>
      <c r="N90" s="269"/>
      <c r="O90" s="269"/>
      <c r="P90" s="269"/>
      <c r="Q90" s="269"/>
      <c r="R90" s="269"/>
      <c r="S90" s="269"/>
      <c r="T90" s="269"/>
      <c r="U90" s="269"/>
      <c r="V90" s="269"/>
      <c r="W90" s="269"/>
      <c r="X90" s="269"/>
      <c r="Y90" s="269"/>
    </row>
    <row r="91" spans="1:25">
      <c r="A91" s="47"/>
      <c r="B91" s="132" t="s">
        <v>49</v>
      </c>
      <c r="C91" s="292" t="s">
        <v>50</v>
      </c>
      <c r="D91" s="143" t="s">
        <v>126</v>
      </c>
      <c r="E91" s="125"/>
      <c r="F91" s="124" t="s">
        <v>52</v>
      </c>
      <c r="G91" s="124"/>
      <c r="H91" s="126"/>
      <c r="I91" s="296" t="s">
        <v>54</v>
      </c>
      <c r="J91" s="124" t="s">
        <v>52</v>
      </c>
      <c r="K91" s="124"/>
      <c r="L91" s="126"/>
      <c r="M91" s="296" t="s">
        <v>54</v>
      </c>
      <c r="N91" s="124" t="s">
        <v>52</v>
      </c>
      <c r="O91" s="124"/>
      <c r="P91" s="126"/>
      <c r="Q91" s="296" t="s">
        <v>54</v>
      </c>
      <c r="R91" s="124" t="s">
        <v>52</v>
      </c>
      <c r="S91" s="124"/>
      <c r="T91" s="126"/>
      <c r="U91" s="296" t="s">
        <v>54</v>
      </c>
      <c r="V91" s="124" t="s">
        <v>52</v>
      </c>
      <c r="W91" s="124"/>
      <c r="X91" s="126"/>
      <c r="Y91" s="296" t="s">
        <v>54</v>
      </c>
    </row>
    <row r="92" spans="1:25">
      <c r="A92" s="47" t="str">
        <f>Interview!A132</f>
        <v>I-DM-A-1-1</v>
      </c>
      <c r="B92" s="493" t="str">
        <f>VLOOKUP(A92,'imp-questions'!A:H,4,0)</f>
        <v>Defect Tracking</v>
      </c>
      <c r="C92" s="297">
        <f>VLOOKUP(A92,'imp-questions'!A:H,5,0)</f>
        <v>1</v>
      </c>
      <c r="D92" s="49" t="str">
        <f>VLOOKUP(A92,'imp-questions'!A:H,6,0)</f>
        <v>Do you track all known security defects in accessible locations?</v>
      </c>
      <c r="E92" s="50" t="str">
        <f>CHAR(65+VLOOKUP(A92,'imp-questions'!A:H,8,0))</f>
        <v>F</v>
      </c>
      <c r="F92" s="270">
        <f>Interview!F132</f>
        <v>0</v>
      </c>
      <c r="G92" s="52">
        <f>IFERROR(VLOOKUP(F92,AnsFTBL,2,0),0)</f>
        <v>0</v>
      </c>
      <c r="H92" s="276">
        <f>IFERROR(AVERAGE(G92,G96),0)</f>
        <v>0.5</v>
      </c>
      <c r="I92" s="495">
        <f>SUM(H92:H94)</f>
        <v>0.5</v>
      </c>
      <c r="J92" s="270">
        <f>Interview!J132</f>
        <v>0.5</v>
      </c>
      <c r="K92" s="52">
        <f>IFERROR(VLOOKUP(J92,AnsFTBL,2,0),0)</f>
        <v>0</v>
      </c>
      <c r="L92" s="276">
        <f>IFERROR(AVERAGE(K92,K96),0)</f>
        <v>0</v>
      </c>
      <c r="M92" s="495">
        <f>SUM(L92:L94)</f>
        <v>0</v>
      </c>
      <c r="N92" s="270">
        <f>Interview!M132</f>
        <v>0</v>
      </c>
      <c r="O92" s="52">
        <f>IFERROR(VLOOKUP(N92,AnsFTBL,2,0),0)</f>
        <v>0</v>
      </c>
      <c r="P92" s="276">
        <f>IFERROR(AVERAGE(O92,O96),0)</f>
        <v>0</v>
      </c>
      <c r="Q92" s="495">
        <f>SUM(P92:P94)</f>
        <v>0</v>
      </c>
      <c r="R92" s="264">
        <f>N92</f>
        <v>0</v>
      </c>
      <c r="S92" s="52">
        <f>IFERROR(VLOOKUP(R92,AnsFTBL,2,0),0)</f>
        <v>0</v>
      </c>
      <c r="T92" s="276">
        <f>IFERROR(AVERAGE(S92,S96),0)</f>
        <v>0</v>
      </c>
      <c r="U92" s="495">
        <f>SUM(T92:T94)</f>
        <v>0</v>
      </c>
      <c r="V92" s="264">
        <f>R92</f>
        <v>0</v>
      </c>
      <c r="W92" s="52">
        <f>IFERROR(VLOOKUP(V92,AnsFTBL,2,0),0)</f>
        <v>0</v>
      </c>
      <c r="X92" s="276">
        <f>IFERROR(AVERAGE(W92,W96),0)</f>
        <v>0</v>
      </c>
      <c r="Y92" s="495">
        <f>SUM(X92:X94)</f>
        <v>0</v>
      </c>
    </row>
    <row r="93" spans="1:25" ht="28">
      <c r="A93" s="47" t="str">
        <f>Interview!A134</f>
        <v>I-DM-A-2-1</v>
      </c>
      <c r="B93" s="493"/>
      <c r="C93" s="297">
        <f>VLOOKUP(A93,'imp-questions'!A:H,5,0)</f>
        <v>2</v>
      </c>
      <c r="D93" s="49" t="str">
        <f>VLOOKUP(A93,'imp-questions'!A:H,6,0)</f>
        <v>Do you keep an overview of the state of security defects across the organization?</v>
      </c>
      <c r="E93" s="50" t="str">
        <f>CHAR(65+VLOOKUP(A93,'imp-questions'!A:H,8,0))</f>
        <v>F</v>
      </c>
      <c r="F93" s="270">
        <f>Interview!F134</f>
        <v>0</v>
      </c>
      <c r="G93" s="52">
        <f>IFERROR(VLOOKUP(F93,AnsFTBL,2,0),0)</f>
        <v>0</v>
      </c>
      <c r="H93" s="276">
        <f>IFERROR(AVERAGE(G93,G97),0)</f>
        <v>0</v>
      </c>
      <c r="I93" s="495"/>
      <c r="J93" s="270">
        <f>Interview!J134</f>
        <v>0</v>
      </c>
      <c r="K93" s="52">
        <f>IFERROR(VLOOKUP(J93,AnsFTBL,2,0),0)</f>
        <v>0</v>
      </c>
      <c r="L93" s="276">
        <f>IFERROR(AVERAGE(K93,K97),0)</f>
        <v>0</v>
      </c>
      <c r="M93" s="495"/>
      <c r="N93" s="270">
        <f>Interview!M134</f>
        <v>0</v>
      </c>
      <c r="O93" s="52">
        <f>IFERROR(VLOOKUP(N93,AnsFTBL,2,0),0)</f>
        <v>0</v>
      </c>
      <c r="P93" s="276">
        <f>IFERROR(AVERAGE(O93,O97),0)</f>
        <v>0</v>
      </c>
      <c r="Q93" s="495"/>
      <c r="R93" s="264">
        <f>N93</f>
        <v>0</v>
      </c>
      <c r="S93" s="52">
        <f>IFERROR(VLOOKUP(R93,AnsFTBL,2,0),0)</f>
        <v>0</v>
      </c>
      <c r="T93" s="276">
        <f>IFERROR(AVERAGE(S93,S97),0)</f>
        <v>0</v>
      </c>
      <c r="U93" s="495"/>
      <c r="V93" s="264">
        <f>R93</f>
        <v>0</v>
      </c>
      <c r="W93" s="52">
        <f>IFERROR(VLOOKUP(V93,AnsFTBL,2,0),0)</f>
        <v>0</v>
      </c>
      <c r="X93" s="276">
        <f>IFERROR(AVERAGE(W93,W97),0)</f>
        <v>0</v>
      </c>
      <c r="Y93" s="495"/>
    </row>
    <row r="94" spans="1:25">
      <c r="A94" s="47" t="str">
        <f>Interview!A136</f>
        <v>I-DM-A-3-1</v>
      </c>
      <c r="B94" s="493"/>
      <c r="C94" s="297">
        <f>VLOOKUP(A94,'imp-questions'!A:H,5,0)</f>
        <v>3</v>
      </c>
      <c r="D94" s="265" t="str">
        <f>VLOOKUP(A94,'imp-questions'!A:H,6,0)</f>
        <v>Do you enforce SLAs for fixing security defects?</v>
      </c>
      <c r="E94" s="50" t="str">
        <f>CHAR(65+VLOOKUP(A94,'imp-questions'!A:H,8,0))</f>
        <v>F</v>
      </c>
      <c r="F94" s="270">
        <f>Interview!F136</f>
        <v>0</v>
      </c>
      <c r="G94" s="52">
        <f>IFERROR(VLOOKUP(F94,AnsFTBL,2,0),0)</f>
        <v>0</v>
      </c>
      <c r="H94" s="276">
        <f>IFERROR(AVERAGE(G94,G98),0)</f>
        <v>0</v>
      </c>
      <c r="I94" s="495"/>
      <c r="J94" s="270">
        <f>Interview!J136</f>
        <v>0</v>
      </c>
      <c r="K94" s="52">
        <f>IFERROR(VLOOKUP(J94,AnsFTBL,2,0),0)</f>
        <v>0</v>
      </c>
      <c r="L94" s="276">
        <f>IFERROR(AVERAGE(K94,K98),0)</f>
        <v>0</v>
      </c>
      <c r="M94" s="495"/>
      <c r="N94" s="270">
        <f>Interview!M136</f>
        <v>0</v>
      </c>
      <c r="O94" s="52">
        <f>IFERROR(VLOOKUP(N94,AnsFTBL,2,0),0)</f>
        <v>0</v>
      </c>
      <c r="P94" s="276">
        <f>IFERROR(AVERAGE(O94,O98),0)</f>
        <v>0</v>
      </c>
      <c r="Q94" s="495"/>
      <c r="R94" s="264">
        <f>N94</f>
        <v>0</v>
      </c>
      <c r="S94" s="52">
        <f>IFERROR(VLOOKUP(R94,AnsFTBL,2,0),0)</f>
        <v>0</v>
      </c>
      <c r="T94" s="276">
        <f>IFERROR(AVERAGE(S94,S98),0)</f>
        <v>0</v>
      </c>
      <c r="U94" s="495"/>
      <c r="V94" s="264">
        <f>R94</f>
        <v>0</v>
      </c>
      <c r="W94" s="52">
        <f>IFERROR(VLOOKUP(V94,AnsFTBL,2,0),0)</f>
        <v>0</v>
      </c>
      <c r="X94" s="276">
        <f>IFERROR(AVERAGE(W94,W98),0)</f>
        <v>0</v>
      </c>
      <c r="Y94" s="495"/>
    </row>
    <row r="95" spans="1:25" ht="13">
      <c r="A95" s="47"/>
      <c r="B95" s="267"/>
      <c r="C95" s="268"/>
      <c r="D95" s="269"/>
      <c r="E95" s="269"/>
      <c r="F95" s="269"/>
      <c r="G95" s="269"/>
      <c r="H95" s="269"/>
      <c r="I95" s="495"/>
      <c r="J95" s="269"/>
      <c r="K95" s="269"/>
      <c r="L95" s="269"/>
      <c r="M95" s="495"/>
      <c r="N95" s="269"/>
      <c r="O95" s="269"/>
      <c r="P95" s="269"/>
      <c r="Q95" s="495"/>
      <c r="R95" s="269"/>
      <c r="S95" s="269"/>
      <c r="T95" s="269"/>
      <c r="U95" s="495"/>
      <c r="V95" s="269"/>
      <c r="W95" s="269"/>
      <c r="X95" s="269"/>
      <c r="Y95" s="495"/>
    </row>
    <row r="96" spans="1:25" ht="28">
      <c r="A96" s="47" t="str">
        <f>Interview!A139</f>
        <v>I-DM-B-1-1</v>
      </c>
      <c r="B96" s="493" t="str">
        <f>VLOOKUP(A96,'imp-questions'!A:H,4,0)</f>
        <v>Metrics and Feedback</v>
      </c>
      <c r="C96" s="297">
        <f>VLOOKUP(A96,'imp-questions'!A:H,5,0)</f>
        <v>1</v>
      </c>
      <c r="D96" s="49" t="str">
        <f>VLOOKUP(A96,'imp-questions'!A:H,6,0)</f>
        <v>Do you use basic metrics about recorded security defects to carry out quick win improvement activities?</v>
      </c>
      <c r="E96" s="50" t="str">
        <f>CHAR(65+VLOOKUP(A96,'imp-questions'!A:H,8,0))</f>
        <v>F</v>
      </c>
      <c r="F96" s="270" t="str">
        <f>Interview!F139</f>
        <v>Yes, for most or all of the applications</v>
      </c>
      <c r="G96" s="52">
        <f>IFERROR(VLOOKUP(F96,AnsFTBL,2,0),0)</f>
        <v>1</v>
      </c>
      <c r="H96" s="203"/>
      <c r="I96" s="495"/>
      <c r="J96" s="270">
        <f>Interview!J139</f>
        <v>0</v>
      </c>
      <c r="K96" s="52">
        <f>IFERROR(VLOOKUP(J96,AnsFTBL,2,0),0)</f>
        <v>0</v>
      </c>
      <c r="L96" s="203"/>
      <c r="M96" s="495"/>
      <c r="N96" s="270" t="str">
        <f>Interview!M139</f>
        <v>confident</v>
      </c>
      <c r="O96" s="52">
        <f>IFERROR(VLOOKUP(N96,AnsFTBL,2,0),0)</f>
        <v>0</v>
      </c>
      <c r="P96" s="203"/>
      <c r="Q96" s="495"/>
      <c r="R96" s="264" t="str">
        <f>N96</f>
        <v>confident</v>
      </c>
      <c r="S96" s="52">
        <f>IFERROR(VLOOKUP(R96,AnsFTBL,2,0),0)</f>
        <v>0</v>
      </c>
      <c r="T96" s="203"/>
      <c r="U96" s="495"/>
      <c r="V96" s="264" t="str">
        <f>R96</f>
        <v>confident</v>
      </c>
      <c r="W96" s="52">
        <f>IFERROR(VLOOKUP(V96,AnsFTBL,2,0),0)</f>
        <v>0</v>
      </c>
      <c r="X96" s="203"/>
      <c r="Y96" s="495"/>
    </row>
    <row r="97" spans="1:25">
      <c r="A97" s="47" t="str">
        <f>Interview!A141</f>
        <v>I-DM-B-2-1</v>
      </c>
      <c r="B97" s="493"/>
      <c r="C97" s="297">
        <f>VLOOKUP(A97,'imp-questions'!A:H,5,0)</f>
        <v>2</v>
      </c>
      <c r="D97" s="49" t="str">
        <f>VLOOKUP(A97,'imp-questions'!A:H,6,0)</f>
        <v>Do you improve your security assurance program upon standardized metrics?</v>
      </c>
      <c r="E97" s="50" t="str">
        <f>CHAR(65+VLOOKUP(A97,'imp-questions'!A:H,8,0))</f>
        <v>F</v>
      </c>
      <c r="F97" s="270">
        <f>Interview!F141</f>
        <v>0</v>
      </c>
      <c r="G97" s="52">
        <f>IFERROR(VLOOKUP(F97,AnsFTBL,2,0),0)</f>
        <v>0</v>
      </c>
      <c r="H97" s="203"/>
      <c r="I97" s="495"/>
      <c r="J97" s="270">
        <f>Interview!J141</f>
        <v>0</v>
      </c>
      <c r="K97" s="52">
        <f>IFERROR(VLOOKUP(J97,AnsFTBL,2,0),0)</f>
        <v>0</v>
      </c>
      <c r="L97" s="203"/>
      <c r="M97" s="495"/>
      <c r="N97" s="270">
        <f>Interview!M141</f>
        <v>0</v>
      </c>
      <c r="O97" s="52">
        <f>IFERROR(VLOOKUP(N97,AnsFTBL,2,0),0)</f>
        <v>0</v>
      </c>
      <c r="P97" s="203"/>
      <c r="Q97" s="495"/>
      <c r="R97" s="264">
        <f>N97</f>
        <v>0</v>
      </c>
      <c r="S97" s="52">
        <f>IFERROR(VLOOKUP(R97,AnsFTBL,2,0),0)</f>
        <v>0</v>
      </c>
      <c r="T97" s="203"/>
      <c r="U97" s="495"/>
      <c r="V97" s="264">
        <f>R97</f>
        <v>0</v>
      </c>
      <c r="W97" s="52">
        <f>IFERROR(VLOOKUP(V97,AnsFTBL,2,0),0)</f>
        <v>0</v>
      </c>
      <c r="X97" s="203"/>
      <c r="Y97" s="495"/>
    </row>
    <row r="98" spans="1:25" ht="28">
      <c r="A98" s="47" t="str">
        <f>Interview!A143</f>
        <v>I-DM-B-3-1</v>
      </c>
      <c r="B98" s="493"/>
      <c r="C98" s="297">
        <f>VLOOKUP(A98,'imp-questions'!A:H,5,0)</f>
        <v>3</v>
      </c>
      <c r="D98" s="265" t="str">
        <f>VLOOKUP(A98,'imp-questions'!A:H,6,0)</f>
        <v>Do you regularly evaluate the effectiveness of your security metrics so that its input helps drive your security strategy?</v>
      </c>
      <c r="E98" s="50" t="str">
        <f>CHAR(65+VLOOKUP(A98,'imp-questions'!A:H,8,0))</f>
        <v>F</v>
      </c>
      <c r="F98" s="270">
        <f>Interview!F143</f>
        <v>0</v>
      </c>
      <c r="G98" s="52">
        <f>IFERROR(VLOOKUP(F98,AnsFTBL,2,0),0)</f>
        <v>0</v>
      </c>
      <c r="H98" s="203"/>
      <c r="I98" s="495"/>
      <c r="J98" s="270">
        <f>Interview!J143</f>
        <v>0</v>
      </c>
      <c r="K98" s="52">
        <f>IFERROR(VLOOKUP(J98,AnsFTBL,2,0),0)</f>
        <v>0</v>
      </c>
      <c r="L98" s="203"/>
      <c r="M98" s="495"/>
      <c r="N98" s="270">
        <f>Interview!M143</f>
        <v>0</v>
      </c>
      <c r="O98" s="52">
        <f>IFERROR(VLOOKUP(N98,AnsFTBL,2,0),0)</f>
        <v>0</v>
      </c>
      <c r="P98" s="203"/>
      <c r="Q98" s="495"/>
      <c r="R98" s="264">
        <f>N98</f>
        <v>0</v>
      </c>
      <c r="S98" s="52">
        <f>IFERROR(VLOOKUP(R98,AnsFTBL,2,0),0)</f>
        <v>0</v>
      </c>
      <c r="T98" s="203"/>
      <c r="U98" s="495"/>
      <c r="V98" s="264">
        <f>R98</f>
        <v>0</v>
      </c>
      <c r="W98" s="52">
        <f>IFERROR(VLOOKUP(V98,AnsFTBL,2,0),0)</f>
        <v>0</v>
      </c>
      <c r="X98" s="203"/>
      <c r="Y98" s="495"/>
    </row>
    <row r="99" spans="1:25" ht="13">
      <c r="A99" s="47"/>
      <c r="B99" s="267"/>
      <c r="C99" s="268"/>
      <c r="D99" s="269"/>
      <c r="E99" s="269"/>
      <c r="F99" s="269"/>
      <c r="G99" s="269"/>
      <c r="H99" s="269"/>
      <c r="I99" s="269"/>
      <c r="J99" s="269"/>
      <c r="K99" s="269"/>
      <c r="L99" s="269"/>
      <c r="M99" s="269"/>
      <c r="N99" s="269"/>
      <c r="O99" s="269"/>
      <c r="P99" s="269"/>
      <c r="Q99" s="269"/>
      <c r="R99" s="269"/>
      <c r="S99" s="269"/>
      <c r="T99" s="269"/>
      <c r="U99" s="269"/>
      <c r="V99" s="269"/>
      <c r="W99" s="269"/>
      <c r="X99" s="269"/>
      <c r="Y99" s="269"/>
    </row>
    <row r="100" spans="1:25" ht="12.75" customHeight="1">
      <c r="A100" s="47"/>
      <c r="B100" s="298" t="s">
        <v>133</v>
      </c>
      <c r="C100" s="298"/>
      <c r="D100" s="150"/>
      <c r="E100" s="150"/>
      <c r="F100" s="491" t="s">
        <v>183</v>
      </c>
      <c r="G100" s="491"/>
      <c r="H100" s="491"/>
      <c r="I100" s="491"/>
      <c r="J100" s="492" t="s">
        <v>194</v>
      </c>
      <c r="K100" s="492"/>
      <c r="L100" s="492"/>
      <c r="M100" s="492"/>
      <c r="N100" s="492" t="s">
        <v>195</v>
      </c>
      <c r="O100" s="492"/>
      <c r="P100" s="492"/>
      <c r="Q100" s="492"/>
      <c r="R100" s="492" t="s">
        <v>196</v>
      </c>
      <c r="S100" s="492"/>
      <c r="T100" s="492"/>
      <c r="U100" s="492"/>
      <c r="V100" s="492" t="s">
        <v>197</v>
      </c>
      <c r="W100" s="492"/>
      <c r="X100" s="492"/>
      <c r="Y100" s="492"/>
    </row>
    <row r="101" spans="1:25">
      <c r="A101" s="47"/>
      <c r="B101" s="299" t="s">
        <v>49</v>
      </c>
      <c r="C101" s="300" t="s">
        <v>50</v>
      </c>
      <c r="D101" s="301" t="s">
        <v>134</v>
      </c>
      <c r="E101" s="152"/>
      <c r="F101" s="151" t="s">
        <v>52</v>
      </c>
      <c r="G101" s="151"/>
      <c r="H101" s="153"/>
      <c r="I101" s="302" t="s">
        <v>54</v>
      </c>
      <c r="J101" s="151" t="s">
        <v>52</v>
      </c>
      <c r="K101" s="151"/>
      <c r="L101" s="153"/>
      <c r="M101" s="302" t="s">
        <v>54</v>
      </c>
      <c r="N101" s="151" t="s">
        <v>52</v>
      </c>
      <c r="O101" s="151"/>
      <c r="P101" s="153"/>
      <c r="Q101" s="302" t="s">
        <v>54</v>
      </c>
      <c r="R101" s="151" t="s">
        <v>52</v>
      </c>
      <c r="S101" s="151"/>
      <c r="T101" s="153"/>
      <c r="U101" s="302" t="s">
        <v>54</v>
      </c>
      <c r="V101" s="151" t="s">
        <v>52</v>
      </c>
      <c r="W101" s="151"/>
      <c r="X101" s="153"/>
      <c r="Y101" s="302" t="s">
        <v>54</v>
      </c>
    </row>
    <row r="102" spans="1:25" ht="28">
      <c r="A102" s="47" t="str">
        <f>Interview!A147</f>
        <v>V-AA-A-1-1</v>
      </c>
      <c r="B102" s="488" t="str">
        <f>VLOOKUP(A102,'imp-questions'!A:H,4,0)</f>
        <v>Architecture Validation</v>
      </c>
      <c r="C102" s="303">
        <f>VLOOKUP(A102,'imp-questions'!A:H,5,0)</f>
        <v>1</v>
      </c>
      <c r="D102" s="49" t="str">
        <f>VLOOKUP(A102,'imp-questions'!A:H,6,0)</f>
        <v>Do you review the application architecture for key security objectives on an ad-hoc basis?</v>
      </c>
      <c r="E102" s="160" t="str">
        <f>CHAR(65+VLOOKUP(A102,'imp-questions'!A:H,8,0))</f>
        <v>F</v>
      </c>
      <c r="F102" s="270">
        <f>Interview!F147</f>
        <v>0</v>
      </c>
      <c r="G102" s="52">
        <f>IFERROR(VLOOKUP(F102,AnsFTBL,2,0),0)</f>
        <v>0</v>
      </c>
      <c r="H102" s="276">
        <f>IFERROR(AVERAGE(G102,G106),0)</f>
        <v>0</v>
      </c>
      <c r="I102" s="489">
        <f>SUM(H102:H104)</f>
        <v>0</v>
      </c>
      <c r="J102" s="264">
        <f>F102</f>
        <v>0</v>
      </c>
      <c r="K102" s="52">
        <f>IFERROR(VLOOKUP(J102,AnsFTBL,2,0),0)</f>
        <v>0</v>
      </c>
      <c r="L102" s="276">
        <f>IFERROR(AVERAGE(K102,K106),0)</f>
        <v>0</v>
      </c>
      <c r="M102" s="489">
        <f>SUM(L102:L104)</f>
        <v>0</v>
      </c>
      <c r="N102" s="264">
        <f>J102</f>
        <v>0</v>
      </c>
      <c r="O102" s="52">
        <f>IFERROR(VLOOKUP(N102,AnsFTBL,2,0),0)</f>
        <v>0</v>
      </c>
      <c r="P102" s="276">
        <f>IFERROR(AVERAGE(O102,O106),0)</f>
        <v>0</v>
      </c>
      <c r="Q102" s="489">
        <f>SUM(P102:P104)</f>
        <v>0</v>
      </c>
      <c r="R102" s="264">
        <f>N102</f>
        <v>0</v>
      </c>
      <c r="S102" s="52">
        <f>IFERROR(VLOOKUP(R102,AnsFTBL,2,0),0)</f>
        <v>0</v>
      </c>
      <c r="T102" s="276">
        <f>IFERROR(AVERAGE(S102,S106),0)</f>
        <v>0</v>
      </c>
      <c r="U102" s="489">
        <f>SUM(T102:T104)</f>
        <v>0</v>
      </c>
      <c r="V102" s="264">
        <f>R102</f>
        <v>0</v>
      </c>
      <c r="W102" s="52">
        <f>IFERROR(VLOOKUP(V102,AnsFTBL,2,0),0)</f>
        <v>0</v>
      </c>
      <c r="X102" s="276">
        <f>IFERROR(AVERAGE(W102,W106),0)</f>
        <v>0</v>
      </c>
      <c r="Y102" s="489">
        <f>SUM(X102:X104)</f>
        <v>0</v>
      </c>
    </row>
    <row r="103" spans="1:25">
      <c r="A103" s="47" t="str">
        <f>Interview!A149</f>
        <v>V-AA-A-2-1</v>
      </c>
      <c r="B103" s="488"/>
      <c r="C103" s="303">
        <f>VLOOKUP(A103,'imp-questions'!A:H,5,0)</f>
        <v>2</v>
      </c>
      <c r="D103" s="49" t="str">
        <f>VLOOKUP(A103,'imp-questions'!A:H,6,0)</f>
        <v>Do you regularly review the security mechanisms of your architecture?</v>
      </c>
      <c r="E103" s="160" t="str">
        <f>CHAR(65+VLOOKUP(A103,'imp-questions'!A:H,8,0))</f>
        <v>F</v>
      </c>
      <c r="F103" s="270">
        <f>Interview!F149</f>
        <v>0</v>
      </c>
      <c r="G103" s="52">
        <f>IFERROR(VLOOKUP(F103,AnsFTBL,2,0),0)</f>
        <v>0</v>
      </c>
      <c r="H103" s="276">
        <f>IFERROR(AVERAGE(G103,G107),0)</f>
        <v>0</v>
      </c>
      <c r="I103" s="489"/>
      <c r="J103" s="264">
        <f>F103</f>
        <v>0</v>
      </c>
      <c r="K103" s="52">
        <f>IFERROR(VLOOKUP(J103,AnsFTBL,2,0),0)</f>
        <v>0</v>
      </c>
      <c r="L103" s="276">
        <f>IFERROR(AVERAGE(K103,K107),0)</f>
        <v>0</v>
      </c>
      <c r="M103" s="489"/>
      <c r="N103" s="264">
        <f>J103</f>
        <v>0</v>
      </c>
      <c r="O103" s="52">
        <f>IFERROR(VLOOKUP(N103,AnsFTBL,2,0),0)</f>
        <v>0</v>
      </c>
      <c r="P103" s="276">
        <f>IFERROR(AVERAGE(O103,O107),0)</f>
        <v>0</v>
      </c>
      <c r="Q103" s="489"/>
      <c r="R103" s="264">
        <f>N103</f>
        <v>0</v>
      </c>
      <c r="S103" s="52">
        <f>IFERROR(VLOOKUP(R103,AnsFTBL,2,0),0)</f>
        <v>0</v>
      </c>
      <c r="T103" s="276">
        <f>IFERROR(AVERAGE(S103,S107),0)</f>
        <v>0</v>
      </c>
      <c r="U103" s="489"/>
      <c r="V103" s="264">
        <f>R103</f>
        <v>0</v>
      </c>
      <c r="W103" s="52">
        <f>IFERROR(VLOOKUP(V103,AnsFTBL,2,0),0)</f>
        <v>0</v>
      </c>
      <c r="X103" s="276">
        <f>IFERROR(AVERAGE(W103,W107),0)</f>
        <v>0</v>
      </c>
      <c r="Y103" s="489"/>
    </row>
    <row r="104" spans="1:25">
      <c r="A104" s="47" t="str">
        <f>Interview!A151</f>
        <v>V-AA-A-3-1</v>
      </c>
      <c r="B104" s="488"/>
      <c r="C104" s="303">
        <f>VLOOKUP(A104,'imp-questions'!A:H,5,0)</f>
        <v>3</v>
      </c>
      <c r="D104" s="265" t="str">
        <f>VLOOKUP(A104,'imp-questions'!A:H,6,0)</f>
        <v>Do you regularly review the effectiveness of the security controls?</v>
      </c>
      <c r="E104" s="160" t="str">
        <f>CHAR(65+VLOOKUP(A104,'imp-questions'!A:H,8,0))</f>
        <v>F</v>
      </c>
      <c r="F104" s="270">
        <f>Interview!F151</f>
        <v>0</v>
      </c>
      <c r="G104" s="52">
        <f>IFERROR(VLOOKUP(F104,AnsFTBL,2,0),0)</f>
        <v>0</v>
      </c>
      <c r="H104" s="276">
        <f>IFERROR(AVERAGE(G104,G108),0)</f>
        <v>0</v>
      </c>
      <c r="I104" s="489"/>
      <c r="J104" s="264">
        <f>F104</f>
        <v>0</v>
      </c>
      <c r="K104" s="52">
        <f>IFERROR(VLOOKUP(J104,AnsFTBL,2,0),0)</f>
        <v>0</v>
      </c>
      <c r="L104" s="276">
        <f>IFERROR(AVERAGE(K104,K108),0)</f>
        <v>0</v>
      </c>
      <c r="M104" s="489"/>
      <c r="N104" s="264">
        <f>J104</f>
        <v>0</v>
      </c>
      <c r="O104" s="52">
        <f>IFERROR(VLOOKUP(N104,AnsFTBL,2,0),0)</f>
        <v>0</v>
      </c>
      <c r="P104" s="276">
        <f>IFERROR(AVERAGE(O104,O108),0)</f>
        <v>0</v>
      </c>
      <c r="Q104" s="489"/>
      <c r="R104" s="264">
        <f>N104</f>
        <v>0</v>
      </c>
      <c r="S104" s="52">
        <f>IFERROR(VLOOKUP(R104,AnsFTBL,2,0),0)</f>
        <v>0</v>
      </c>
      <c r="T104" s="276">
        <f>IFERROR(AVERAGE(S104,S108),0)</f>
        <v>0</v>
      </c>
      <c r="U104" s="489"/>
      <c r="V104" s="264">
        <f>R104</f>
        <v>0</v>
      </c>
      <c r="W104" s="52">
        <f>IFERROR(VLOOKUP(V104,AnsFTBL,2,0),0)</f>
        <v>0</v>
      </c>
      <c r="X104" s="276">
        <f>IFERROR(AVERAGE(W104,W108),0)</f>
        <v>0</v>
      </c>
      <c r="Y104" s="489"/>
    </row>
    <row r="105" spans="1:25" ht="13">
      <c r="A105" s="47"/>
      <c r="B105" s="267"/>
      <c r="C105" s="268"/>
      <c r="D105" s="304"/>
      <c r="E105" s="304"/>
      <c r="F105" s="304"/>
      <c r="G105" s="304"/>
      <c r="H105" s="304"/>
      <c r="I105" s="489"/>
      <c r="J105" s="304"/>
      <c r="K105" s="304"/>
      <c r="L105" s="304"/>
      <c r="M105" s="489"/>
      <c r="N105" s="304"/>
      <c r="O105" s="304"/>
      <c r="P105" s="304"/>
      <c r="Q105" s="489"/>
      <c r="R105" s="304"/>
      <c r="S105" s="304"/>
      <c r="T105" s="304"/>
      <c r="U105" s="489"/>
      <c r="V105" s="304"/>
      <c r="W105" s="304"/>
      <c r="X105" s="304"/>
      <c r="Y105" s="489"/>
    </row>
    <row r="106" spans="1:25" ht="28">
      <c r="A106" s="47" t="str">
        <f>Interview!A154</f>
        <v>V-AA-B-1-1</v>
      </c>
      <c r="B106" s="488" t="str">
        <f>VLOOKUP(A106,'imp-questions'!A:H,4,0)</f>
        <v>Architecture Mitigation</v>
      </c>
      <c r="C106" s="303">
        <f>VLOOKUP(A106,'imp-questions'!A:H,5,0)</f>
        <v>1</v>
      </c>
      <c r="D106" s="49" t="str">
        <f>VLOOKUP(A106,'imp-questions'!A:H,6,0)</f>
        <v>Do you review the application architecture for mitigations of typical threats on an ad-hoc basis?</v>
      </c>
      <c r="E106" s="160" t="str">
        <f>CHAR(65+VLOOKUP(A106,'imp-questions'!A:H,8,0))</f>
        <v>F</v>
      </c>
      <c r="F106" s="305">
        <f>Interview!F154</f>
        <v>0</v>
      </c>
      <c r="G106" s="52">
        <f>IFERROR(VLOOKUP(F106,AnsFTBL,2,0),0)</f>
        <v>0</v>
      </c>
      <c r="H106" s="306"/>
      <c r="I106" s="489"/>
      <c r="J106" s="264">
        <f>F106</f>
        <v>0</v>
      </c>
      <c r="K106" s="52">
        <f>IFERROR(VLOOKUP(J106,AnsFTBL,2,0),0)</f>
        <v>0</v>
      </c>
      <c r="L106" s="306"/>
      <c r="M106" s="489"/>
      <c r="N106" s="264">
        <f>J106</f>
        <v>0</v>
      </c>
      <c r="O106" s="52">
        <f>IFERROR(VLOOKUP(N106,AnsFTBL,2,0),0)</f>
        <v>0</v>
      </c>
      <c r="P106" s="306"/>
      <c r="Q106" s="489"/>
      <c r="R106" s="264">
        <f>N106</f>
        <v>0</v>
      </c>
      <c r="S106" s="52">
        <f>IFERROR(VLOOKUP(R106,AnsFTBL,2,0),0)</f>
        <v>0</v>
      </c>
      <c r="T106" s="306"/>
      <c r="U106" s="489"/>
      <c r="V106" s="264">
        <f>R106</f>
        <v>0</v>
      </c>
      <c r="W106" s="52">
        <f>IFERROR(VLOOKUP(V106,AnsFTBL,2,0),0)</f>
        <v>0</v>
      </c>
      <c r="X106" s="306"/>
      <c r="Y106" s="489"/>
    </row>
    <row r="107" spans="1:25">
      <c r="A107" s="47" t="str">
        <f>Interview!A156</f>
        <v>V-AA-B-2-1</v>
      </c>
      <c r="B107" s="488"/>
      <c r="C107" s="303">
        <f>VLOOKUP(A107,'imp-questions'!A:H,5,0)</f>
        <v>2</v>
      </c>
      <c r="D107" s="49" t="str">
        <f>VLOOKUP(A107,'imp-questions'!A:H,6,0)</f>
        <v>Do you regularly evaluate the threats to your architecture?</v>
      </c>
      <c r="E107" s="160" t="str">
        <f>CHAR(65+VLOOKUP(A107,'imp-questions'!A:H,8,0))</f>
        <v>F</v>
      </c>
      <c r="F107" s="307">
        <f>Interview!F156</f>
        <v>0</v>
      </c>
      <c r="G107" s="52">
        <f>IFERROR(VLOOKUP(F107,AnsFTBL,2,0),0)</f>
        <v>0</v>
      </c>
      <c r="H107" s="306"/>
      <c r="I107" s="489"/>
      <c r="J107" s="264">
        <f>F107</f>
        <v>0</v>
      </c>
      <c r="K107" s="52">
        <f>IFERROR(VLOOKUP(J107,AnsFTBL,2,0),0)</f>
        <v>0</v>
      </c>
      <c r="L107" s="306"/>
      <c r="M107" s="489"/>
      <c r="N107" s="264">
        <f>J107</f>
        <v>0</v>
      </c>
      <c r="O107" s="52">
        <f>IFERROR(VLOOKUP(N107,AnsFTBL,2,0),0)</f>
        <v>0</v>
      </c>
      <c r="P107" s="306"/>
      <c r="Q107" s="489"/>
      <c r="R107" s="264">
        <f>N107</f>
        <v>0</v>
      </c>
      <c r="S107" s="52">
        <f>IFERROR(VLOOKUP(R107,AnsFTBL,2,0),0)</f>
        <v>0</v>
      </c>
      <c r="T107" s="306"/>
      <c r="U107" s="489"/>
      <c r="V107" s="264">
        <f>R107</f>
        <v>0</v>
      </c>
      <c r="W107" s="52">
        <f>IFERROR(VLOOKUP(V107,AnsFTBL,2,0),0)</f>
        <v>0</v>
      </c>
      <c r="X107" s="306"/>
      <c r="Y107" s="489"/>
    </row>
    <row r="108" spans="1:25" ht="28">
      <c r="A108" s="47" t="str">
        <f>Interview!A158</f>
        <v>V-AA-B-3-1</v>
      </c>
      <c r="B108" s="488"/>
      <c r="C108" s="303">
        <f>VLOOKUP(A108,'imp-questions'!A:H,5,0)</f>
        <v>3</v>
      </c>
      <c r="D108" s="265" t="str">
        <f>VLOOKUP(A108,'imp-questions'!A:H,6,0)</f>
        <v>Do you regularly update your reference architectures based on architecture assessment findings?</v>
      </c>
      <c r="E108" s="160" t="str">
        <f>CHAR(65+VLOOKUP(A108,'imp-questions'!A:H,8,0))</f>
        <v>F</v>
      </c>
      <c r="F108" s="307">
        <f>Interview!F158</f>
        <v>0</v>
      </c>
      <c r="G108" s="52">
        <f>IFERROR(VLOOKUP(F108,AnsFTBL,2,0),0)</f>
        <v>0</v>
      </c>
      <c r="H108" s="306"/>
      <c r="I108" s="489"/>
      <c r="J108" s="264">
        <f>F108</f>
        <v>0</v>
      </c>
      <c r="K108" s="52">
        <f>IFERROR(VLOOKUP(J108,AnsFTBL,2,0),0)</f>
        <v>0</v>
      </c>
      <c r="L108" s="306"/>
      <c r="M108" s="489"/>
      <c r="N108" s="264">
        <f>J108</f>
        <v>0</v>
      </c>
      <c r="O108" s="52">
        <f>IFERROR(VLOOKUP(N108,AnsFTBL,2,0),0)</f>
        <v>0</v>
      </c>
      <c r="P108" s="306"/>
      <c r="Q108" s="489"/>
      <c r="R108" s="264">
        <f>N108</f>
        <v>0</v>
      </c>
      <c r="S108" s="52">
        <f>IFERROR(VLOOKUP(R108,AnsFTBL,2,0),0)</f>
        <v>0</v>
      </c>
      <c r="T108" s="306"/>
      <c r="U108" s="489"/>
      <c r="V108" s="264">
        <f>R108</f>
        <v>0</v>
      </c>
      <c r="W108" s="52">
        <f>IFERROR(VLOOKUP(V108,AnsFTBL,2,0),0)</f>
        <v>0</v>
      </c>
      <c r="X108" s="306"/>
      <c r="Y108" s="489"/>
    </row>
    <row r="109" spans="1:25" ht="13">
      <c r="A109" s="47"/>
      <c r="B109" s="267"/>
      <c r="C109" s="268"/>
      <c r="D109" s="304"/>
      <c r="E109" s="304"/>
      <c r="F109" s="304"/>
      <c r="G109" s="304"/>
      <c r="H109" s="304"/>
      <c r="I109" s="304"/>
      <c r="J109" s="304"/>
      <c r="K109" s="304"/>
      <c r="L109" s="304"/>
      <c r="M109" s="269"/>
      <c r="N109" s="304"/>
      <c r="O109" s="304"/>
      <c r="P109" s="304"/>
      <c r="Q109" s="269"/>
      <c r="R109" s="304"/>
      <c r="S109" s="304"/>
      <c r="T109" s="304"/>
      <c r="U109" s="269"/>
      <c r="V109" s="304"/>
      <c r="W109" s="304"/>
      <c r="X109" s="304"/>
      <c r="Y109" s="269"/>
    </row>
    <row r="110" spans="1:25">
      <c r="A110" s="47"/>
      <c r="B110" s="299" t="s">
        <v>49</v>
      </c>
      <c r="C110" s="300" t="s">
        <v>50</v>
      </c>
      <c r="D110" s="308" t="s">
        <v>141</v>
      </c>
      <c r="E110" s="309"/>
      <c r="F110" s="310" t="s">
        <v>52</v>
      </c>
      <c r="G110" s="310"/>
      <c r="H110" s="311"/>
      <c r="I110" s="302" t="s">
        <v>54</v>
      </c>
      <c r="J110" s="310" t="s">
        <v>52</v>
      </c>
      <c r="K110" s="310"/>
      <c r="L110" s="311"/>
      <c r="M110" s="302" t="s">
        <v>54</v>
      </c>
      <c r="N110" s="310" t="s">
        <v>52</v>
      </c>
      <c r="O110" s="310"/>
      <c r="P110" s="311"/>
      <c r="Q110" s="302" t="s">
        <v>54</v>
      </c>
      <c r="R110" s="310" t="s">
        <v>52</v>
      </c>
      <c r="S110" s="310"/>
      <c r="T110" s="311"/>
      <c r="U110" s="302" t="s">
        <v>54</v>
      </c>
      <c r="V110" s="310" t="s">
        <v>52</v>
      </c>
      <c r="W110" s="310"/>
      <c r="X110" s="311"/>
      <c r="Y110" s="302" t="s">
        <v>54</v>
      </c>
    </row>
    <row r="111" spans="1:25" ht="28">
      <c r="A111" s="47" t="str">
        <f>Interview!A161</f>
        <v>V-RT-A-1-1</v>
      </c>
      <c r="B111" s="488" t="str">
        <f>VLOOKUP(A111,'imp-questions'!A:H,4,0)</f>
        <v>Control Verification</v>
      </c>
      <c r="C111" s="303">
        <f>VLOOKUP(A111,'imp-questions'!A:H,5,0)</f>
        <v>1</v>
      </c>
      <c r="D111" s="49" t="str">
        <f>VLOOKUP(A111,'imp-questions'!A:H,6,0)</f>
        <v>Do you test applications for the correct functioning of standard security controls?</v>
      </c>
      <c r="E111" s="50" t="str">
        <f>CHAR(65+VLOOKUP(A111,'imp-questions'!A:H,8,0))</f>
        <v>C</v>
      </c>
      <c r="F111" s="270">
        <f>Interview!F161</f>
        <v>0</v>
      </c>
      <c r="G111" s="52">
        <f>IFERROR(VLOOKUP(F111,AnsCTBL,2,0),0)</f>
        <v>0</v>
      </c>
      <c r="H111" s="276">
        <f>IFERROR(AVERAGE(G111,G115),0)</f>
        <v>0</v>
      </c>
      <c r="I111" s="489">
        <f>SUM(H111:H113)</f>
        <v>0</v>
      </c>
      <c r="J111" s="264">
        <f>F111</f>
        <v>0</v>
      </c>
      <c r="K111" s="52">
        <f>IFERROR(VLOOKUP(J111,AnsCTBL,2,0),0)</f>
        <v>0</v>
      </c>
      <c r="L111" s="276">
        <f>IFERROR(AVERAGE(K111,K115),0)</f>
        <v>0</v>
      </c>
      <c r="M111" s="489">
        <f>SUM(L111:L113)</f>
        <v>0</v>
      </c>
      <c r="N111" s="264">
        <f>J111</f>
        <v>0</v>
      </c>
      <c r="O111" s="52">
        <f>IFERROR(VLOOKUP(N111,AnsCTBL,2,0),0)</f>
        <v>0</v>
      </c>
      <c r="P111" s="276">
        <f>IFERROR(AVERAGE(O111,O115),0)</f>
        <v>0</v>
      </c>
      <c r="Q111" s="489">
        <f>SUM(P111:P113)</f>
        <v>0</v>
      </c>
      <c r="R111" s="264">
        <f>N111</f>
        <v>0</v>
      </c>
      <c r="S111" s="52">
        <f>IFERROR(VLOOKUP(R111,AnsCTBL,2,0),0)</f>
        <v>0</v>
      </c>
      <c r="T111" s="276">
        <f>IFERROR(AVERAGE(S111,S115),0)</f>
        <v>0</v>
      </c>
      <c r="U111" s="489">
        <f>SUM(T111:T113)</f>
        <v>0</v>
      </c>
      <c r="V111" s="264">
        <f>R111</f>
        <v>0</v>
      </c>
      <c r="W111" s="52">
        <f>IFERROR(VLOOKUP(V111,AnsCTBL,2,0),0)</f>
        <v>0</v>
      </c>
      <c r="X111" s="276">
        <f>IFERROR(AVERAGE(W111,W115),0)</f>
        <v>0</v>
      </c>
      <c r="Y111" s="489">
        <f>SUM(X111:X113)</f>
        <v>0</v>
      </c>
    </row>
    <row r="112" spans="1:25" ht="28">
      <c r="A112" s="47" t="str">
        <f>Interview!A163</f>
        <v>V-RT-A-2-1</v>
      </c>
      <c r="B112" s="488"/>
      <c r="C112" s="303">
        <f>VLOOKUP(A112,'imp-questions'!A:H,5,0)</f>
        <v>2</v>
      </c>
      <c r="D112" s="49" t="str">
        <f>VLOOKUP(A112,'imp-questions'!A:H,6,0)</f>
        <v>Do you consistently write and execute test scripts to verify the functionality of security requirements?</v>
      </c>
      <c r="E112" s="50" t="str">
        <f>CHAR(65+VLOOKUP(A112,'imp-questions'!A:H,8,0))</f>
        <v>C</v>
      </c>
      <c r="F112" s="266">
        <f>Interview!F163</f>
        <v>0</v>
      </c>
      <c r="G112" s="52">
        <f>IFERROR(VLOOKUP(F112,AnsCTBL,2,0),0)</f>
        <v>0</v>
      </c>
      <c r="H112" s="276">
        <f>IFERROR(AVERAGE(G112,G116),0)</f>
        <v>0</v>
      </c>
      <c r="I112" s="489"/>
      <c r="J112" s="264">
        <f>F112</f>
        <v>0</v>
      </c>
      <c r="K112" s="52">
        <f>IFERROR(VLOOKUP(J112,AnsCTBL,2,0),0)</f>
        <v>0</v>
      </c>
      <c r="L112" s="276">
        <f>IFERROR(AVERAGE(K112,K116),0)</f>
        <v>0</v>
      </c>
      <c r="M112" s="489"/>
      <c r="N112" s="264">
        <f>J112</f>
        <v>0</v>
      </c>
      <c r="O112" s="52">
        <f>IFERROR(VLOOKUP(N112,AnsCTBL,2,0),0)</f>
        <v>0</v>
      </c>
      <c r="P112" s="276">
        <f>IFERROR(AVERAGE(O112,O116),0)</f>
        <v>0</v>
      </c>
      <c r="Q112" s="489"/>
      <c r="R112" s="264">
        <f>N112</f>
        <v>0</v>
      </c>
      <c r="S112" s="52">
        <f>IFERROR(VLOOKUP(R112,AnsCTBL,2,0),0)</f>
        <v>0</v>
      </c>
      <c r="T112" s="276">
        <f>IFERROR(AVERAGE(S112,S116),0)</f>
        <v>0</v>
      </c>
      <c r="U112" s="489"/>
      <c r="V112" s="264">
        <f>R112</f>
        <v>0</v>
      </c>
      <c r="W112" s="52">
        <f>IFERROR(VLOOKUP(V112,AnsCTBL,2,0),0)</f>
        <v>0</v>
      </c>
      <c r="X112" s="276">
        <f>IFERROR(AVERAGE(W112,W116),0)</f>
        <v>0</v>
      </c>
      <c r="Y112" s="489"/>
    </row>
    <row r="113" spans="1:25">
      <c r="A113" s="47" t="str">
        <f>Interview!A165</f>
        <v>V-RT-A-3-1</v>
      </c>
      <c r="B113" s="488"/>
      <c r="C113" s="303">
        <f>VLOOKUP(A113,'imp-questions'!A:H,5,0)</f>
        <v>3</v>
      </c>
      <c r="D113" s="265" t="str">
        <f>VLOOKUP(A113,'imp-questions'!A:H,6,0)</f>
        <v>Do you automatically test applications for security regressions?</v>
      </c>
      <c r="E113" s="50" t="str">
        <f>CHAR(65+VLOOKUP(A113,'imp-questions'!A:H,8,0))</f>
        <v>F</v>
      </c>
      <c r="F113" s="266">
        <f>Interview!F165</f>
        <v>0</v>
      </c>
      <c r="G113" s="52">
        <f>IFERROR(VLOOKUP(F113,AnsFTBL,2,0),0)</f>
        <v>0</v>
      </c>
      <c r="H113" s="276">
        <f>IFERROR(AVERAGE(G113,G117),0)</f>
        <v>0</v>
      </c>
      <c r="I113" s="489"/>
      <c r="J113" s="264">
        <f>F113</f>
        <v>0</v>
      </c>
      <c r="K113" s="52">
        <f>IFERROR(VLOOKUP(J113,AnsFTBL,2,0),0)</f>
        <v>0</v>
      </c>
      <c r="L113" s="276">
        <f>IFERROR(AVERAGE(K113,K117),0)</f>
        <v>0</v>
      </c>
      <c r="M113" s="489"/>
      <c r="N113" s="264">
        <f>J113</f>
        <v>0</v>
      </c>
      <c r="O113" s="52">
        <f>IFERROR(VLOOKUP(N113,AnsFTBL,2,0),0)</f>
        <v>0</v>
      </c>
      <c r="P113" s="276">
        <f>IFERROR(AVERAGE(O113,O117),0)</f>
        <v>0</v>
      </c>
      <c r="Q113" s="489"/>
      <c r="R113" s="264">
        <f>N113</f>
        <v>0</v>
      </c>
      <c r="S113" s="52">
        <f>IFERROR(VLOOKUP(R113,AnsFTBL,2,0),0)</f>
        <v>0</v>
      </c>
      <c r="T113" s="276">
        <f>IFERROR(AVERAGE(S113,S117),0)</f>
        <v>0</v>
      </c>
      <c r="U113" s="489"/>
      <c r="V113" s="264">
        <f>R113</f>
        <v>0</v>
      </c>
      <c r="W113" s="52">
        <f>IFERROR(VLOOKUP(V113,AnsFTBL,2,0),0)</f>
        <v>0</v>
      </c>
      <c r="X113" s="276">
        <f>IFERROR(AVERAGE(W113,W117),0)</f>
        <v>0</v>
      </c>
      <c r="Y113" s="489"/>
    </row>
    <row r="114" spans="1:25" ht="13">
      <c r="A114" s="47"/>
      <c r="B114" s="267"/>
      <c r="C114" s="268"/>
      <c r="D114" s="269"/>
      <c r="E114" s="269"/>
      <c r="F114" s="269"/>
      <c r="G114" s="269"/>
      <c r="H114" s="269"/>
      <c r="I114" s="489"/>
      <c r="J114" s="269"/>
      <c r="K114" s="269"/>
      <c r="L114" s="269"/>
      <c r="M114" s="489"/>
      <c r="N114" s="269"/>
      <c r="O114" s="269"/>
      <c r="P114" s="269"/>
      <c r="Q114" s="489"/>
      <c r="R114" s="269"/>
      <c r="S114" s="269"/>
      <c r="T114" s="269"/>
      <c r="U114" s="489"/>
      <c r="V114" s="269"/>
      <c r="W114" s="269"/>
      <c r="X114" s="269"/>
      <c r="Y114" s="489"/>
    </row>
    <row r="115" spans="1:25">
      <c r="A115" s="47" t="str">
        <f>Interview!A168</f>
        <v>V-RT-B-1-1</v>
      </c>
      <c r="B115" s="488" t="str">
        <f>VLOOKUP(A115,'imp-questions'!A:H,4,0)</f>
        <v>Misuse/Abuse Testing</v>
      </c>
      <c r="C115" s="303">
        <f>VLOOKUP(A115,'imp-questions'!A:H,5,0)</f>
        <v>1</v>
      </c>
      <c r="D115" s="49" t="str">
        <f>VLOOKUP(A115,'imp-questions'!A:H,6,0)</f>
        <v>Do you test applications using randomization or fuzzing techniques?</v>
      </c>
      <c r="E115" s="50" t="str">
        <f>CHAR(65+VLOOKUP(A115,'imp-questions'!A:H,8,0))</f>
        <v>F</v>
      </c>
      <c r="F115" s="270">
        <f>Interview!F168</f>
        <v>0</v>
      </c>
      <c r="G115" s="52">
        <f>IFERROR(VLOOKUP(F115,AnsFTBL,2,0),0)</f>
        <v>0</v>
      </c>
      <c r="H115" s="203"/>
      <c r="I115" s="489"/>
      <c r="J115" s="264">
        <f>F115</f>
        <v>0</v>
      </c>
      <c r="K115" s="52">
        <f>IFERROR(VLOOKUP(J115,AnsFTBL,2,0),0)</f>
        <v>0</v>
      </c>
      <c r="L115" s="203"/>
      <c r="M115" s="489"/>
      <c r="N115" s="264">
        <f>J115</f>
        <v>0</v>
      </c>
      <c r="O115" s="52">
        <f>IFERROR(VLOOKUP(N115,AnsFTBL,2,0),0)</f>
        <v>0</v>
      </c>
      <c r="P115" s="203"/>
      <c r="Q115" s="489"/>
      <c r="R115" s="264">
        <f>N115</f>
        <v>0</v>
      </c>
      <c r="S115" s="52">
        <f>IFERROR(VLOOKUP(R115,AnsFTBL,2,0),0)</f>
        <v>0</v>
      </c>
      <c r="T115" s="203"/>
      <c r="U115" s="489"/>
      <c r="V115" s="264">
        <f>R115</f>
        <v>0</v>
      </c>
      <c r="W115" s="52">
        <f>IFERROR(VLOOKUP(V115,AnsFTBL,2,0),0)</f>
        <v>0</v>
      </c>
      <c r="X115" s="203"/>
      <c r="Y115" s="489"/>
    </row>
    <row r="116" spans="1:25" ht="28">
      <c r="A116" s="47" t="str">
        <f>Interview!A170</f>
        <v>V-RT-B-2-1</v>
      </c>
      <c r="B116" s="488"/>
      <c r="C116" s="303">
        <f>VLOOKUP(A116,'imp-questions'!A:H,5,0)</f>
        <v>2</v>
      </c>
      <c r="D116" s="49" t="str">
        <f>VLOOKUP(A116,'imp-questions'!A:H,6,0)</f>
        <v>Do you create abuse cases from functional requirements and use them to drive security tests?</v>
      </c>
      <c r="E116" s="50" t="str">
        <f>CHAR(65+VLOOKUP(A116,'imp-questions'!A:H,8,0))</f>
        <v>H</v>
      </c>
      <c r="F116" s="266">
        <f>Interview!F170</f>
        <v>0</v>
      </c>
      <c r="G116" s="52">
        <f>IFERROR(VLOOKUP(F116,AnsHTBL,2,0),0)</f>
        <v>0</v>
      </c>
      <c r="H116" s="203"/>
      <c r="I116" s="489"/>
      <c r="J116" s="264">
        <f>F116</f>
        <v>0</v>
      </c>
      <c r="K116" s="52">
        <f>IFERROR(VLOOKUP(J116,AnsHTBL,2,0),0)</f>
        <v>0</v>
      </c>
      <c r="L116" s="203"/>
      <c r="M116" s="489"/>
      <c r="N116" s="264">
        <f>J116</f>
        <v>0</v>
      </c>
      <c r="O116" s="52">
        <f>IFERROR(VLOOKUP(N116,AnsHTBL,2,0),0)</f>
        <v>0</v>
      </c>
      <c r="P116" s="203"/>
      <c r="Q116" s="489"/>
      <c r="R116" s="264">
        <f>N116</f>
        <v>0</v>
      </c>
      <c r="S116" s="52">
        <f>IFERROR(VLOOKUP(R116,AnsHTBL,2,0),0)</f>
        <v>0</v>
      </c>
      <c r="T116" s="203"/>
      <c r="U116" s="489"/>
      <c r="V116" s="264">
        <f>R116</f>
        <v>0</v>
      </c>
      <c r="W116" s="52">
        <f>IFERROR(VLOOKUP(V116,AnsHTBL,2,0),0)</f>
        <v>0</v>
      </c>
      <c r="X116" s="203"/>
      <c r="Y116" s="489"/>
    </row>
    <row r="117" spans="1:25">
      <c r="A117" s="47" t="str">
        <f>Interview!A172</f>
        <v>V-RT-B-3-1</v>
      </c>
      <c r="B117" s="488"/>
      <c r="C117" s="303">
        <f>VLOOKUP(A117,'imp-questions'!A:H,5,0)</f>
        <v>3</v>
      </c>
      <c r="D117" s="265" t="str">
        <f>VLOOKUP(A117,'imp-questions'!A:H,6,0)</f>
        <v>Do you perform denial of service and security stress testing?</v>
      </c>
      <c r="E117" s="50" t="str">
        <f>CHAR(65+VLOOKUP(A117,'imp-questions'!A:H,8,0))</f>
        <v>H</v>
      </c>
      <c r="F117" s="266">
        <f>Interview!F172</f>
        <v>0</v>
      </c>
      <c r="G117" s="52">
        <f>IFERROR(VLOOKUP(F117,AnsHTBL,2,0),0)</f>
        <v>0</v>
      </c>
      <c r="H117" s="203"/>
      <c r="I117" s="489"/>
      <c r="J117" s="264">
        <f>F117</f>
        <v>0</v>
      </c>
      <c r="K117" s="52">
        <f>IFERROR(VLOOKUP(J117,AnsHTBL,2,0),0)</f>
        <v>0</v>
      </c>
      <c r="L117" s="203"/>
      <c r="M117" s="489"/>
      <c r="N117" s="264">
        <f>J117</f>
        <v>0</v>
      </c>
      <c r="O117" s="52">
        <f>IFERROR(VLOOKUP(N117,AnsHTBL,2,0),0)</f>
        <v>0</v>
      </c>
      <c r="P117" s="203"/>
      <c r="Q117" s="489"/>
      <c r="R117" s="264">
        <f>N117</f>
        <v>0</v>
      </c>
      <c r="S117" s="52">
        <f>IFERROR(VLOOKUP(R117,AnsHTBL,2,0),0)</f>
        <v>0</v>
      </c>
      <c r="T117" s="203"/>
      <c r="U117" s="489"/>
      <c r="V117" s="264">
        <f>R117</f>
        <v>0</v>
      </c>
      <c r="W117" s="52">
        <f>IFERROR(VLOOKUP(V117,AnsHTBL,2,0),0)</f>
        <v>0</v>
      </c>
      <c r="X117" s="203"/>
      <c r="Y117" s="489"/>
    </row>
    <row r="118" spans="1:25" ht="13">
      <c r="A118" s="47"/>
      <c r="B118" s="267"/>
      <c r="C118" s="268"/>
      <c r="D118" s="304"/>
      <c r="E118" s="304"/>
      <c r="F118" s="304"/>
      <c r="G118" s="304"/>
      <c r="H118" s="304"/>
      <c r="I118" s="269"/>
      <c r="J118" s="304"/>
      <c r="K118" s="304"/>
      <c r="L118" s="304"/>
      <c r="M118" s="269"/>
      <c r="N118" s="304"/>
      <c r="O118" s="304"/>
      <c r="P118" s="304"/>
      <c r="Q118" s="269"/>
      <c r="R118" s="304"/>
      <c r="S118" s="304"/>
      <c r="T118" s="304"/>
      <c r="U118" s="269"/>
      <c r="V118" s="304"/>
      <c r="W118" s="304"/>
      <c r="X118" s="304"/>
      <c r="Y118" s="269"/>
    </row>
    <row r="119" spans="1:25">
      <c r="A119" s="47"/>
      <c r="B119" s="299" t="s">
        <v>49</v>
      </c>
      <c r="C119" s="300" t="s">
        <v>50</v>
      </c>
      <c r="D119" s="308" t="s">
        <v>148</v>
      </c>
      <c r="E119" s="309"/>
      <c r="F119" s="310" t="s">
        <v>52</v>
      </c>
      <c r="G119" s="310"/>
      <c r="H119" s="311"/>
      <c r="I119" s="302" t="s">
        <v>54</v>
      </c>
      <c r="J119" s="310" t="s">
        <v>52</v>
      </c>
      <c r="K119" s="310"/>
      <c r="L119" s="311"/>
      <c r="M119" s="302" t="s">
        <v>54</v>
      </c>
      <c r="N119" s="310" t="s">
        <v>52</v>
      </c>
      <c r="O119" s="310"/>
      <c r="P119" s="311"/>
      <c r="Q119" s="302" t="s">
        <v>54</v>
      </c>
      <c r="R119" s="310" t="s">
        <v>52</v>
      </c>
      <c r="S119" s="310"/>
      <c r="T119" s="311"/>
      <c r="U119" s="302" t="s">
        <v>54</v>
      </c>
      <c r="V119" s="310" t="s">
        <v>52</v>
      </c>
      <c r="W119" s="310"/>
      <c r="X119" s="311"/>
      <c r="Y119" s="302" t="s">
        <v>54</v>
      </c>
    </row>
    <row r="120" spans="1:25">
      <c r="A120" s="47" t="str">
        <f>Interview!A175</f>
        <v>V-ST-A-1-1</v>
      </c>
      <c r="B120" s="488" t="str">
        <f>VLOOKUP(A120,'imp-questions'!A:H,4,0)</f>
        <v>Scalable Baseline</v>
      </c>
      <c r="C120" s="303">
        <f>VLOOKUP(A120,'imp-questions'!A:H,5,0)</f>
        <v>1</v>
      </c>
      <c r="D120" s="49" t="str">
        <f>VLOOKUP(A120,'imp-questions'!A:H,6,0)</f>
        <v>Do you scan applications with automated security testing tools?</v>
      </c>
      <c r="E120" s="50" t="str">
        <f>CHAR(65+VLOOKUP(A120,'imp-questions'!A:H,8,0))</f>
        <v>C</v>
      </c>
      <c r="F120" s="270">
        <f>Interview!F175</f>
        <v>0</v>
      </c>
      <c r="G120" s="52">
        <f>IFERROR(VLOOKUP(F120,AnsCTBL,2,0),0)</f>
        <v>0</v>
      </c>
      <c r="H120" s="276">
        <f>IFERROR(AVERAGE(G120,G124),0)</f>
        <v>0</v>
      </c>
      <c r="I120" s="490">
        <f>SUM(H120:H122)</f>
        <v>0</v>
      </c>
      <c r="J120" s="264">
        <f>F120</f>
        <v>0</v>
      </c>
      <c r="K120" s="52">
        <f>IFERROR(VLOOKUP(J120,AnsCTBL,2,0),0)</f>
        <v>0</v>
      </c>
      <c r="L120" s="276">
        <f>IFERROR(AVERAGE(K120,K124),0)</f>
        <v>0</v>
      </c>
      <c r="M120" s="490">
        <f>SUM(L120:L122)</f>
        <v>0</v>
      </c>
      <c r="N120" s="264">
        <f>J120</f>
        <v>0</v>
      </c>
      <c r="O120" s="52">
        <f>IFERROR(VLOOKUP(N120,AnsCTBL,2,0),0)</f>
        <v>0</v>
      </c>
      <c r="P120" s="276">
        <f>IFERROR(AVERAGE(O120,O124),0)</f>
        <v>0</v>
      </c>
      <c r="Q120" s="490">
        <f>SUM(P120:P122)</f>
        <v>0</v>
      </c>
      <c r="R120" s="264">
        <f>N120</f>
        <v>0</v>
      </c>
      <c r="S120" s="52">
        <f>IFERROR(VLOOKUP(R120,AnsCTBL,2,0),0)</f>
        <v>0</v>
      </c>
      <c r="T120" s="276">
        <f>IFERROR(AVERAGE(S120,S124),0)</f>
        <v>0</v>
      </c>
      <c r="U120" s="490">
        <f>SUM(T120:T122)</f>
        <v>0</v>
      </c>
      <c r="V120" s="264">
        <f>R120</f>
        <v>0</v>
      </c>
      <c r="W120" s="52">
        <f>IFERROR(VLOOKUP(V120,AnsCTBL,2,0),0)</f>
        <v>0</v>
      </c>
      <c r="X120" s="276">
        <f>IFERROR(AVERAGE(W120,W124),0)</f>
        <v>0</v>
      </c>
      <c r="Y120" s="490">
        <f>SUM(X120:X122)</f>
        <v>0</v>
      </c>
    </row>
    <row r="121" spans="1:25" ht="28">
      <c r="A121" s="47" t="str">
        <f>Interview!A177</f>
        <v>V-ST-A-2-1</v>
      </c>
      <c r="B121" s="488"/>
      <c r="C121" s="303">
        <f>VLOOKUP(A121,'imp-questions'!A:H,5,0)</f>
        <v>2</v>
      </c>
      <c r="D121" s="49" t="str">
        <f>VLOOKUP(A121,'imp-questions'!A:H,6,0)</f>
        <v>Do you customize the automated security tools to your applications and technology stacks?</v>
      </c>
      <c r="E121" s="50" t="str">
        <f>CHAR(65+VLOOKUP(A121,'imp-questions'!A:H,8,0))</f>
        <v>C</v>
      </c>
      <c r="F121" s="266">
        <f>Interview!F177</f>
        <v>0</v>
      </c>
      <c r="G121" s="52">
        <f>IFERROR(VLOOKUP(F121,AnsCTBL,2,0),0)</f>
        <v>0</v>
      </c>
      <c r="H121" s="276">
        <f>IFERROR(AVERAGE(G121,G125),0)</f>
        <v>0</v>
      </c>
      <c r="I121" s="490"/>
      <c r="J121" s="264">
        <f>F121</f>
        <v>0</v>
      </c>
      <c r="K121" s="52">
        <f>IFERROR(VLOOKUP(J121,AnsCTBL,2,0),0)</f>
        <v>0</v>
      </c>
      <c r="L121" s="276">
        <f>IFERROR(AVERAGE(K121,K125),0)</f>
        <v>0</v>
      </c>
      <c r="M121" s="490"/>
      <c r="N121" s="264">
        <f>J121</f>
        <v>0</v>
      </c>
      <c r="O121" s="52">
        <f>IFERROR(VLOOKUP(N121,AnsCTBL,2,0),0)</f>
        <v>0</v>
      </c>
      <c r="P121" s="276">
        <f>IFERROR(AVERAGE(O121,O125),0)</f>
        <v>0</v>
      </c>
      <c r="Q121" s="490"/>
      <c r="R121" s="264">
        <f>N121</f>
        <v>0</v>
      </c>
      <c r="S121" s="52">
        <f>IFERROR(VLOOKUP(R121,AnsCTBL,2,0),0)</f>
        <v>0</v>
      </c>
      <c r="T121" s="276">
        <f>IFERROR(AVERAGE(S121,S125),0)</f>
        <v>0</v>
      </c>
      <c r="U121" s="490"/>
      <c r="V121" s="264">
        <f>R121</f>
        <v>0</v>
      </c>
      <c r="W121" s="52">
        <f>IFERROR(VLOOKUP(V121,AnsCTBL,2,0),0)</f>
        <v>0</v>
      </c>
      <c r="X121" s="276">
        <f>IFERROR(AVERAGE(W121,W125),0)</f>
        <v>0</v>
      </c>
      <c r="Y121" s="490"/>
    </row>
    <row r="122" spans="1:25">
      <c r="A122" s="47" t="str">
        <f>Interview!A179</f>
        <v>V-ST-A-3-1</v>
      </c>
      <c r="B122" s="488"/>
      <c r="C122" s="303">
        <f>VLOOKUP(A122,'imp-questions'!A:H,5,0)</f>
        <v>3</v>
      </c>
      <c r="D122" s="265" t="str">
        <f>VLOOKUP(A122,'imp-questions'!A:H,6,0)</f>
        <v>Do you integrate automated security testing into the build and deploy process?</v>
      </c>
      <c r="E122" s="50" t="str">
        <f>CHAR(65+VLOOKUP(A122,'imp-questions'!A:H,8,0))</f>
        <v>X</v>
      </c>
      <c r="F122" s="266">
        <f>Interview!F179</f>
        <v>0</v>
      </c>
      <c r="G122" s="52">
        <f>IFERROR(VLOOKUP(F122,AnsXTBL,2,0),0)</f>
        <v>0</v>
      </c>
      <c r="H122" s="276">
        <f>IFERROR(AVERAGE(G122,G126),0)</f>
        <v>0</v>
      </c>
      <c r="I122" s="490"/>
      <c r="J122" s="264">
        <f>F122</f>
        <v>0</v>
      </c>
      <c r="K122" s="52">
        <f>IFERROR(VLOOKUP(J122,AnsXTBL,2,0),0)</f>
        <v>0</v>
      </c>
      <c r="L122" s="276">
        <f>IFERROR(AVERAGE(K122,K126),0)</f>
        <v>0</v>
      </c>
      <c r="M122" s="490"/>
      <c r="N122" s="264">
        <f>J122</f>
        <v>0</v>
      </c>
      <c r="O122" s="52">
        <f>IFERROR(VLOOKUP(N122,AnsXTBL,2,0),0)</f>
        <v>0</v>
      </c>
      <c r="P122" s="276">
        <f>IFERROR(AVERAGE(O122,O126),0)</f>
        <v>0</v>
      </c>
      <c r="Q122" s="490"/>
      <c r="R122" s="264">
        <f>N122</f>
        <v>0</v>
      </c>
      <c r="S122" s="52">
        <f>IFERROR(VLOOKUP(R122,AnsXTBL,2,0),0)</f>
        <v>0</v>
      </c>
      <c r="T122" s="276">
        <f>IFERROR(AVERAGE(S122,S126),0)</f>
        <v>0</v>
      </c>
      <c r="U122" s="490"/>
      <c r="V122" s="264">
        <f>R122</f>
        <v>0</v>
      </c>
      <c r="W122" s="52">
        <f>IFERROR(VLOOKUP(V122,AnsXTBL,2,0),0)</f>
        <v>0</v>
      </c>
      <c r="X122" s="276">
        <f>IFERROR(AVERAGE(W122,W126),0)</f>
        <v>0</v>
      </c>
      <c r="Y122" s="490"/>
    </row>
    <row r="123" spans="1:25" ht="13">
      <c r="A123" s="47"/>
      <c r="B123" s="267"/>
      <c r="C123" s="268"/>
      <c r="D123" s="269"/>
      <c r="E123" s="269"/>
      <c r="F123" s="269"/>
      <c r="G123" s="269"/>
      <c r="H123" s="269"/>
      <c r="I123" s="490"/>
      <c r="J123" s="269"/>
      <c r="K123" s="269"/>
      <c r="L123" s="269"/>
      <c r="M123" s="490"/>
      <c r="N123" s="269"/>
      <c r="O123" s="269"/>
      <c r="P123" s="269"/>
      <c r="Q123" s="490"/>
      <c r="R123" s="269"/>
      <c r="S123" s="269"/>
      <c r="T123" s="269"/>
      <c r="U123" s="490"/>
      <c r="V123" s="269"/>
      <c r="W123" s="269"/>
      <c r="X123" s="269"/>
      <c r="Y123" s="490"/>
    </row>
    <row r="124" spans="1:25">
      <c r="A124" s="47" t="str">
        <f>Interview!A182</f>
        <v>V-ST-B-1-1</v>
      </c>
      <c r="B124" s="488" t="str">
        <f>VLOOKUP(A124,'imp-questions'!A:H,4,0)</f>
        <v>Deep Understanding</v>
      </c>
      <c r="C124" s="303">
        <f>VLOOKUP(A124,'imp-questions'!A:H,5,0)</f>
        <v>1</v>
      </c>
      <c r="D124" s="49" t="str">
        <f>VLOOKUP(A124,'imp-questions'!A:H,6,0)</f>
        <v>Do you manually review the security quality of selected high-risk components?</v>
      </c>
      <c r="E124" s="50" t="str">
        <f>CHAR(65+VLOOKUP(A124,'imp-questions'!A:H,8,0))</f>
        <v>M</v>
      </c>
      <c r="F124" s="270">
        <f>Interview!F182</f>
        <v>0</v>
      </c>
      <c r="G124" s="52">
        <f>IFERROR(VLOOKUP(F124,AnsMTBL,2,0),0)</f>
        <v>0</v>
      </c>
      <c r="H124" s="203"/>
      <c r="I124" s="490"/>
      <c r="J124" s="264">
        <f>F124</f>
        <v>0</v>
      </c>
      <c r="K124" s="52">
        <f>IFERROR(VLOOKUP(J124,AnsMTBL,2,0),0)</f>
        <v>0</v>
      </c>
      <c r="L124" s="203"/>
      <c r="M124" s="490"/>
      <c r="N124" s="264">
        <f>J124</f>
        <v>0</v>
      </c>
      <c r="O124" s="52">
        <f>IFERROR(VLOOKUP(N124,AnsMTBL,2,0),0)</f>
        <v>0</v>
      </c>
      <c r="P124" s="203"/>
      <c r="Q124" s="490"/>
      <c r="R124" s="264">
        <f>N124</f>
        <v>0</v>
      </c>
      <c r="S124" s="52">
        <f>IFERROR(VLOOKUP(R124,AnsMTBL,2,0),0)</f>
        <v>0</v>
      </c>
      <c r="T124" s="203"/>
      <c r="U124" s="490"/>
      <c r="V124" s="264">
        <f>R124</f>
        <v>0</v>
      </c>
      <c r="W124" s="52">
        <f>IFERROR(VLOOKUP(V124,AnsMTBL,2,0),0)</f>
        <v>0</v>
      </c>
      <c r="X124" s="203"/>
      <c r="Y124" s="490"/>
    </row>
    <row r="125" spans="1:25">
      <c r="A125" s="47" t="str">
        <f>Interview!A184</f>
        <v>V-ST-B-2-1</v>
      </c>
      <c r="B125" s="488"/>
      <c r="C125" s="303">
        <f>VLOOKUP(A125,'imp-questions'!A:H,5,0)</f>
        <v>2</v>
      </c>
      <c r="D125" s="49" t="str">
        <f>VLOOKUP(A125,'imp-questions'!A:H,6,0)</f>
        <v>Do you perform penetration testing for your applications at regular intervals?</v>
      </c>
      <c r="E125" s="50" t="str">
        <f>CHAR(65+VLOOKUP(A125,'imp-questions'!A:H,8,0))</f>
        <v>F</v>
      </c>
      <c r="F125" s="266">
        <f>Interview!F184</f>
        <v>0</v>
      </c>
      <c r="G125" s="52">
        <f>IFERROR(VLOOKUP(F125,AnsFTBL,2,0),0)</f>
        <v>0</v>
      </c>
      <c r="H125" s="203"/>
      <c r="I125" s="490"/>
      <c r="J125" s="264">
        <f>F125</f>
        <v>0</v>
      </c>
      <c r="K125" s="52">
        <f>IFERROR(VLOOKUP(J125,AnsFTBL,2,0),0)</f>
        <v>0</v>
      </c>
      <c r="L125" s="203"/>
      <c r="M125" s="490"/>
      <c r="N125" s="264">
        <f>J125</f>
        <v>0</v>
      </c>
      <c r="O125" s="52">
        <f>IFERROR(VLOOKUP(N125,AnsFTBL,2,0),0)</f>
        <v>0</v>
      </c>
      <c r="P125" s="203"/>
      <c r="Q125" s="490"/>
      <c r="R125" s="264">
        <f>N125</f>
        <v>0</v>
      </c>
      <c r="S125" s="52">
        <f>IFERROR(VLOOKUP(R125,AnsFTBL,2,0),0)</f>
        <v>0</v>
      </c>
      <c r="T125" s="203"/>
      <c r="U125" s="490"/>
      <c r="V125" s="264">
        <f>R125</f>
        <v>0</v>
      </c>
      <c r="W125" s="52">
        <f>IFERROR(VLOOKUP(V125,AnsFTBL,2,0),0)</f>
        <v>0</v>
      </c>
      <c r="X125" s="203"/>
      <c r="Y125" s="490"/>
    </row>
    <row r="126" spans="1:25" ht="28">
      <c r="A126" s="47" t="str">
        <f>Interview!A186</f>
        <v>V-ST-B-3-1</v>
      </c>
      <c r="B126" s="488"/>
      <c r="C126" s="303">
        <f>VLOOKUP(A126,'imp-questions'!A:H,5,0)</f>
        <v>3</v>
      </c>
      <c r="D126" s="265" t="str">
        <f>VLOOKUP(A126,'imp-questions'!A:H,6,0)</f>
        <v>Do you use the results of security testing to improve the development lifecycle?</v>
      </c>
      <c r="E126" s="50" t="str">
        <f>CHAR(65+VLOOKUP(A126,'imp-questions'!A:H,8,0))</f>
        <v>T</v>
      </c>
      <c r="F126" s="266">
        <f>Interview!F186</f>
        <v>0</v>
      </c>
      <c r="G126" s="52">
        <f>IFERROR(VLOOKUP(F126,AnsTTBL,2,0),0)</f>
        <v>0</v>
      </c>
      <c r="H126" s="203"/>
      <c r="I126" s="490"/>
      <c r="J126" s="264">
        <f>F126</f>
        <v>0</v>
      </c>
      <c r="K126" s="52">
        <f>IFERROR(VLOOKUP(J126,AnsTTBL,2,0),0)</f>
        <v>0</v>
      </c>
      <c r="L126" s="203"/>
      <c r="M126" s="490"/>
      <c r="N126" s="264">
        <f>J126</f>
        <v>0</v>
      </c>
      <c r="O126" s="52">
        <f>IFERROR(VLOOKUP(N126,AnsTTBL,2,0),0)</f>
        <v>0</v>
      </c>
      <c r="P126" s="203"/>
      <c r="Q126" s="490"/>
      <c r="R126" s="264">
        <f>N126</f>
        <v>0</v>
      </c>
      <c r="S126" s="52">
        <f>IFERROR(VLOOKUP(R126,AnsTTBL,2,0),0)</f>
        <v>0</v>
      </c>
      <c r="T126" s="203"/>
      <c r="U126" s="490"/>
      <c r="V126" s="264">
        <f>R126</f>
        <v>0</v>
      </c>
      <c r="W126" s="52">
        <f>IFERROR(VLOOKUP(V126,AnsTTBL,2,0),0)</f>
        <v>0</v>
      </c>
      <c r="X126" s="203"/>
      <c r="Y126" s="490"/>
    </row>
    <row r="127" spans="1:25" ht="13">
      <c r="A127" s="47"/>
      <c r="B127" s="267"/>
      <c r="C127" s="268"/>
      <c r="D127" s="269"/>
      <c r="E127" s="269"/>
      <c r="F127" s="269"/>
      <c r="G127" s="269"/>
      <c r="H127" s="269"/>
      <c r="I127" s="269"/>
      <c r="J127" s="269"/>
      <c r="K127" s="269"/>
      <c r="L127" s="269"/>
      <c r="M127" s="269"/>
      <c r="N127" s="269"/>
      <c r="O127" s="269"/>
      <c r="P127" s="269"/>
      <c r="Q127" s="269"/>
      <c r="R127" s="269"/>
      <c r="S127" s="269"/>
      <c r="T127" s="269"/>
      <c r="U127" s="269"/>
      <c r="V127" s="269"/>
      <c r="W127" s="269"/>
      <c r="X127" s="269"/>
      <c r="Y127" s="269"/>
    </row>
    <row r="128" spans="1:25" ht="12.75" customHeight="1">
      <c r="A128" s="47"/>
      <c r="B128" s="312" t="s">
        <v>155</v>
      </c>
      <c r="C128" s="312"/>
      <c r="D128" s="313"/>
      <c r="E128" s="313"/>
      <c r="F128" s="486" t="s">
        <v>183</v>
      </c>
      <c r="G128" s="486"/>
      <c r="H128" s="486"/>
      <c r="I128" s="486"/>
      <c r="J128" s="487" t="s">
        <v>194</v>
      </c>
      <c r="K128" s="487"/>
      <c r="L128" s="487"/>
      <c r="M128" s="487"/>
      <c r="N128" s="487" t="s">
        <v>195</v>
      </c>
      <c r="O128" s="487"/>
      <c r="P128" s="487"/>
      <c r="Q128" s="487"/>
      <c r="R128" s="487" t="s">
        <v>196</v>
      </c>
      <c r="S128" s="487"/>
      <c r="T128" s="487"/>
      <c r="U128" s="487"/>
      <c r="V128" s="487" t="s">
        <v>197</v>
      </c>
      <c r="W128" s="487"/>
      <c r="X128" s="487"/>
      <c r="Y128" s="487"/>
    </row>
    <row r="129" spans="1:25">
      <c r="A129" s="47"/>
      <c r="B129" s="190" t="s">
        <v>49</v>
      </c>
      <c r="C129" s="314" t="s">
        <v>50</v>
      </c>
      <c r="D129" s="315" t="s">
        <v>156</v>
      </c>
      <c r="E129" s="316"/>
      <c r="F129" s="317" t="s">
        <v>52</v>
      </c>
      <c r="G129" s="317"/>
      <c r="H129" s="318"/>
      <c r="I129" s="319" t="s">
        <v>54</v>
      </c>
      <c r="J129" s="317" t="s">
        <v>52</v>
      </c>
      <c r="K129" s="317"/>
      <c r="L129" s="318"/>
      <c r="M129" s="319" t="s">
        <v>54</v>
      </c>
      <c r="N129" s="317" t="s">
        <v>52</v>
      </c>
      <c r="O129" s="317"/>
      <c r="P129" s="318"/>
      <c r="Q129" s="319" t="s">
        <v>54</v>
      </c>
      <c r="R129" s="317" t="s">
        <v>52</v>
      </c>
      <c r="S129" s="317"/>
      <c r="T129" s="318"/>
      <c r="U129" s="319" t="s">
        <v>54</v>
      </c>
      <c r="V129" s="317" t="s">
        <v>52</v>
      </c>
      <c r="W129" s="317"/>
      <c r="X129" s="318"/>
      <c r="Y129" s="319" t="s">
        <v>54</v>
      </c>
    </row>
    <row r="130" spans="1:25">
      <c r="A130" s="47" t="str">
        <f>Interview!A190</f>
        <v>O-IM-A-1-1</v>
      </c>
      <c r="B130" s="481" t="str">
        <f>VLOOKUP(A130,'imp-questions'!A:H,4,0)</f>
        <v>Incident Detection</v>
      </c>
      <c r="C130" s="320">
        <f>VLOOKUP(A130,'imp-questions'!A:H,5,0)</f>
        <v>1</v>
      </c>
      <c r="D130" s="49" t="str">
        <f>VLOOKUP(A130,'imp-questions'!A:H,6,0)</f>
        <v>Do you analyze log data for security incidents periodically?</v>
      </c>
      <c r="E130" s="50" t="str">
        <f>CHAR(65+VLOOKUP(A130,'imp-questions'!A:H,8,0))</f>
        <v>F</v>
      </c>
      <c r="F130" s="270">
        <f>Interview!F190</f>
        <v>0</v>
      </c>
      <c r="G130" s="52">
        <f>IFERROR(VLOOKUP(F130,AnsFTBL,2,0),0)</f>
        <v>0</v>
      </c>
      <c r="H130" s="276">
        <f>IFERROR(AVERAGE(G130,G134),0)</f>
        <v>0</v>
      </c>
      <c r="I130" s="482">
        <f>SUM(H130:H132)</f>
        <v>0</v>
      </c>
      <c r="J130" s="264">
        <f>F130</f>
        <v>0</v>
      </c>
      <c r="K130" s="52">
        <f>IFERROR(VLOOKUP(J130,AnsFTBL,2,0),0)</f>
        <v>0</v>
      </c>
      <c r="L130" s="276">
        <f>IFERROR(AVERAGE(K130,K134),0)</f>
        <v>0</v>
      </c>
      <c r="M130" s="482">
        <f>SUM(L130:L132)</f>
        <v>0</v>
      </c>
      <c r="N130" s="264">
        <f>J130</f>
        <v>0</v>
      </c>
      <c r="O130" s="52">
        <f>IFERROR(VLOOKUP(N130,AnsFTBL,2,0),0)</f>
        <v>0</v>
      </c>
      <c r="P130" s="276">
        <f>IFERROR(AVERAGE(O130,O134),0)</f>
        <v>0</v>
      </c>
      <c r="Q130" s="482">
        <f>SUM(P130:P132)</f>
        <v>0</v>
      </c>
      <c r="R130" s="264">
        <f>N130</f>
        <v>0</v>
      </c>
      <c r="S130" s="52">
        <f>IFERROR(VLOOKUP(R130,AnsFTBL,2,0),0)</f>
        <v>0</v>
      </c>
      <c r="T130" s="276">
        <f>IFERROR(AVERAGE(S130,S134),0)</f>
        <v>0</v>
      </c>
      <c r="U130" s="482">
        <f>SUM(T130:T132)</f>
        <v>0</v>
      </c>
      <c r="V130" s="264">
        <f>R130</f>
        <v>0</v>
      </c>
      <c r="W130" s="52">
        <f>IFERROR(VLOOKUP(V130,AnsFTBL,2,0),0)</f>
        <v>0</v>
      </c>
      <c r="X130" s="276">
        <f>IFERROR(AVERAGE(W130,W134),0)</f>
        <v>0</v>
      </c>
      <c r="Y130" s="482">
        <f>SUM(X130:X132)</f>
        <v>0</v>
      </c>
    </row>
    <row r="131" spans="1:25">
      <c r="A131" s="47" t="str">
        <f>Interview!A192</f>
        <v>O-IM-A-2-1</v>
      </c>
      <c r="B131" s="481"/>
      <c r="C131" s="320">
        <f>VLOOKUP(A131,'imp-questions'!A:H,5,0)</f>
        <v>2</v>
      </c>
      <c r="D131" s="49" t="str">
        <f>VLOOKUP(A131,'imp-questions'!A:H,6,0)</f>
        <v>Do you follow a documented process for incident detection?</v>
      </c>
      <c r="E131" s="50" t="str">
        <f>CHAR(65+VLOOKUP(A131,'imp-questions'!A:H,8,0))</f>
        <v>F</v>
      </c>
      <c r="F131" s="270">
        <f>Interview!F192</f>
        <v>0</v>
      </c>
      <c r="G131" s="52">
        <f>IFERROR(VLOOKUP(F131,AnsFTBL,2,0),0)</f>
        <v>0</v>
      </c>
      <c r="H131" s="276">
        <f>IFERROR(AVERAGE(G131,G135),0)</f>
        <v>0</v>
      </c>
      <c r="I131" s="482"/>
      <c r="J131" s="264">
        <f>F131</f>
        <v>0</v>
      </c>
      <c r="K131" s="52">
        <f>IFERROR(VLOOKUP(J131,AnsFTBL,2,0),0)</f>
        <v>0</v>
      </c>
      <c r="L131" s="276">
        <f>IFERROR(AVERAGE(K131,K135),0)</f>
        <v>0</v>
      </c>
      <c r="M131" s="482"/>
      <c r="N131" s="264">
        <f>J131</f>
        <v>0</v>
      </c>
      <c r="O131" s="52">
        <f>IFERROR(VLOOKUP(N131,AnsFTBL,2,0),0)</f>
        <v>0</v>
      </c>
      <c r="P131" s="276">
        <f>IFERROR(AVERAGE(O131,O135),0)</f>
        <v>0</v>
      </c>
      <c r="Q131" s="482"/>
      <c r="R131" s="264">
        <f>N131</f>
        <v>0</v>
      </c>
      <c r="S131" s="52">
        <f>IFERROR(VLOOKUP(R131,AnsFTBL,2,0),0)</f>
        <v>0</v>
      </c>
      <c r="T131" s="276">
        <f>IFERROR(AVERAGE(S131,S135),0)</f>
        <v>0</v>
      </c>
      <c r="U131" s="482"/>
      <c r="V131" s="264">
        <f>R131</f>
        <v>0</v>
      </c>
      <c r="W131" s="52">
        <f>IFERROR(VLOOKUP(V131,AnsFTBL,2,0),0)</f>
        <v>0</v>
      </c>
      <c r="X131" s="276">
        <f>IFERROR(AVERAGE(W131,W135),0)</f>
        <v>0</v>
      </c>
      <c r="Y131" s="482"/>
    </row>
    <row r="132" spans="1:25">
      <c r="A132" s="47" t="str">
        <f>Interview!A194</f>
        <v>O-IM-A-3-1</v>
      </c>
      <c r="B132" s="481"/>
      <c r="C132" s="320">
        <f>VLOOKUP(A132,'imp-questions'!A:H,5,0)</f>
        <v>3</v>
      </c>
      <c r="D132" s="265" t="str">
        <f>VLOOKUP(A132,'imp-questions'!A:H,6,0)</f>
        <v>Do you review and update the incident detection process regularly?</v>
      </c>
      <c r="E132" s="50" t="str">
        <f>CHAR(65+VLOOKUP(A132,'imp-questions'!A:H,8,0))</f>
        <v>F</v>
      </c>
      <c r="F132" s="270">
        <f>Interview!F194</f>
        <v>0</v>
      </c>
      <c r="G132" s="52">
        <f>IFERROR(VLOOKUP(F132,AnsFTBL,2,0),0)</f>
        <v>0</v>
      </c>
      <c r="H132" s="276">
        <f>IFERROR(AVERAGE(G132,G136),0)</f>
        <v>0</v>
      </c>
      <c r="I132" s="482"/>
      <c r="J132" s="264">
        <f>F132</f>
        <v>0</v>
      </c>
      <c r="K132" s="52">
        <f>IFERROR(VLOOKUP(J132,AnsFTBL,2,0),0)</f>
        <v>0</v>
      </c>
      <c r="L132" s="276">
        <f>IFERROR(AVERAGE(K132,K136),0)</f>
        <v>0</v>
      </c>
      <c r="M132" s="482"/>
      <c r="N132" s="264">
        <f>J132</f>
        <v>0</v>
      </c>
      <c r="O132" s="52">
        <f>IFERROR(VLOOKUP(N132,AnsFTBL,2,0),0)</f>
        <v>0</v>
      </c>
      <c r="P132" s="276">
        <f>IFERROR(AVERAGE(O132,O136),0)</f>
        <v>0</v>
      </c>
      <c r="Q132" s="482"/>
      <c r="R132" s="264">
        <f>N132</f>
        <v>0</v>
      </c>
      <c r="S132" s="52">
        <f>IFERROR(VLOOKUP(R132,AnsFTBL,2,0),0)</f>
        <v>0</v>
      </c>
      <c r="T132" s="276">
        <f>IFERROR(AVERAGE(S132,S136),0)</f>
        <v>0</v>
      </c>
      <c r="U132" s="482"/>
      <c r="V132" s="264">
        <f>R132</f>
        <v>0</v>
      </c>
      <c r="W132" s="52">
        <f>IFERROR(VLOOKUP(V132,AnsFTBL,2,0),0)</f>
        <v>0</v>
      </c>
      <c r="X132" s="276">
        <f>IFERROR(AVERAGE(W132,W136),0)</f>
        <v>0</v>
      </c>
      <c r="Y132" s="482"/>
    </row>
    <row r="133" spans="1:25" ht="13">
      <c r="A133" s="47"/>
      <c r="B133" s="289"/>
      <c r="C133" s="268"/>
      <c r="D133" s="269"/>
      <c r="E133" s="269"/>
      <c r="F133" s="269"/>
      <c r="G133" s="269"/>
      <c r="H133" s="269"/>
      <c r="I133" s="482"/>
      <c r="J133" s="269"/>
      <c r="K133" s="269"/>
      <c r="L133" s="269"/>
      <c r="M133" s="482"/>
      <c r="N133" s="269"/>
      <c r="O133" s="269"/>
      <c r="P133" s="269"/>
      <c r="Q133" s="482"/>
      <c r="R133" s="269"/>
      <c r="S133" s="269"/>
      <c r="T133" s="269"/>
      <c r="U133" s="482"/>
      <c r="V133" s="269"/>
      <c r="W133" s="269"/>
      <c r="X133" s="269"/>
      <c r="Y133" s="482"/>
    </row>
    <row r="134" spans="1:25">
      <c r="A134" s="47" t="str">
        <f>Interview!A197</f>
        <v>O-IM-B-1-1</v>
      </c>
      <c r="B134" s="483" t="str">
        <f>VLOOKUP(A134,'imp-questions'!A:H,4,0)</f>
        <v>Incident Response</v>
      </c>
      <c r="C134" s="320">
        <f>VLOOKUP(A134,'imp-questions'!A:H,5,0)</f>
        <v>1</v>
      </c>
      <c r="D134" s="49" t="str">
        <f>VLOOKUP(A134,'imp-questions'!A:H,6,0)</f>
        <v>Do you respond to detected incidents?</v>
      </c>
      <c r="E134" s="50" t="str">
        <f>CHAR(65+VLOOKUP(A134,'imp-questions'!A:H,8,0))</f>
        <v>R</v>
      </c>
      <c r="F134" s="270">
        <f>Interview!F197</f>
        <v>0</v>
      </c>
      <c r="G134" s="52">
        <f>IFERROR(VLOOKUP(F134,AnsRTBL,2,0),0)</f>
        <v>0</v>
      </c>
      <c r="H134" s="203"/>
      <c r="I134" s="482"/>
      <c r="J134" s="264">
        <f>F134</f>
        <v>0</v>
      </c>
      <c r="K134" s="52">
        <f>IFERROR(VLOOKUP(J134,AnsRTBL,2,0),0)</f>
        <v>0</v>
      </c>
      <c r="L134" s="203"/>
      <c r="M134" s="482"/>
      <c r="N134" s="264">
        <f>J134</f>
        <v>0</v>
      </c>
      <c r="O134" s="52">
        <f>IFERROR(VLOOKUP(N134,AnsRTBL,2,0),0)</f>
        <v>0</v>
      </c>
      <c r="P134" s="203"/>
      <c r="Q134" s="482"/>
      <c r="R134" s="264">
        <f>N134</f>
        <v>0</v>
      </c>
      <c r="S134" s="52">
        <f>IFERROR(VLOOKUP(R134,AnsRTBL,2,0),0)</f>
        <v>0</v>
      </c>
      <c r="T134" s="203"/>
      <c r="U134" s="482"/>
      <c r="V134" s="264">
        <f>R134</f>
        <v>0</v>
      </c>
      <c r="W134" s="52">
        <f>IFERROR(VLOOKUP(V134,AnsRTBL,2,0),0)</f>
        <v>0</v>
      </c>
      <c r="X134" s="203"/>
      <c r="Y134" s="482"/>
    </row>
    <row r="135" spans="1:25">
      <c r="A135" s="47" t="str">
        <f>Interview!A199</f>
        <v>O-IM-B-2-1</v>
      </c>
      <c r="B135" s="483"/>
      <c r="C135" s="320">
        <f>VLOOKUP(A135,'imp-questions'!A:H,5,0)</f>
        <v>2</v>
      </c>
      <c r="D135" s="49" t="str">
        <f>VLOOKUP(A135,'imp-questions'!A:H,6,0)</f>
        <v>Do you use a repeatable process for incident handling?</v>
      </c>
      <c r="E135" s="50" t="str">
        <f>CHAR(65+VLOOKUP(A135,'imp-questions'!A:H,8,0))</f>
        <v>Q</v>
      </c>
      <c r="F135" s="266">
        <f>Interview!F199</f>
        <v>0</v>
      </c>
      <c r="G135" s="52">
        <f>IFERROR(VLOOKUP(F135,AnsQTBL,2,0),0)</f>
        <v>0</v>
      </c>
      <c r="H135" s="203"/>
      <c r="I135" s="482"/>
      <c r="J135" s="264">
        <f>F135</f>
        <v>0</v>
      </c>
      <c r="K135" s="52">
        <f>IFERROR(VLOOKUP(J135,AnsQTBL,2,0),0)</f>
        <v>0</v>
      </c>
      <c r="L135" s="203"/>
      <c r="M135" s="482"/>
      <c r="N135" s="264">
        <f>J135</f>
        <v>0</v>
      </c>
      <c r="O135" s="52">
        <f>IFERROR(VLOOKUP(N135,AnsQTBL,2,0),0)</f>
        <v>0</v>
      </c>
      <c r="P135" s="203"/>
      <c r="Q135" s="482"/>
      <c r="R135" s="264">
        <f>N135</f>
        <v>0</v>
      </c>
      <c r="S135" s="52">
        <f>IFERROR(VLOOKUP(R135,AnsQTBL,2,0),0)</f>
        <v>0</v>
      </c>
      <c r="T135" s="203"/>
      <c r="U135" s="482"/>
      <c r="V135" s="264">
        <f>R135</f>
        <v>0</v>
      </c>
      <c r="W135" s="52">
        <f>IFERROR(VLOOKUP(V135,AnsQTBL,2,0),0)</f>
        <v>0</v>
      </c>
      <c r="X135" s="203"/>
      <c r="Y135" s="482"/>
    </row>
    <row r="136" spans="1:25">
      <c r="A136" s="47" t="str">
        <f>Interview!A201</f>
        <v>O-IM-B-3-1</v>
      </c>
      <c r="B136" s="483"/>
      <c r="C136" s="320">
        <f>VLOOKUP(A136,'imp-questions'!A:H,5,0)</f>
        <v>3</v>
      </c>
      <c r="D136" s="265" t="str">
        <f>VLOOKUP(A136,'imp-questions'!A:H,6,0)</f>
        <v>Do you have a dedicated incident response team available?</v>
      </c>
      <c r="E136" s="50" t="str">
        <f>CHAR(65+VLOOKUP(A136,'imp-questions'!A:H,8,0))</f>
        <v>H</v>
      </c>
      <c r="F136" s="266">
        <f>Interview!F201</f>
        <v>0</v>
      </c>
      <c r="G136" s="52">
        <f>IFERROR(VLOOKUP(F136,AnsHTBL,2,0),0)</f>
        <v>0</v>
      </c>
      <c r="H136" s="203"/>
      <c r="I136" s="482"/>
      <c r="J136" s="264">
        <f>F136</f>
        <v>0</v>
      </c>
      <c r="K136" s="52">
        <f>IFERROR(VLOOKUP(J136,AnsHTBL,2,0),0)</f>
        <v>0</v>
      </c>
      <c r="L136" s="203"/>
      <c r="M136" s="482"/>
      <c r="N136" s="264">
        <f>J136</f>
        <v>0</v>
      </c>
      <c r="O136" s="52">
        <f>IFERROR(VLOOKUP(N136,AnsHTBL,2,0),0)</f>
        <v>0</v>
      </c>
      <c r="P136" s="203"/>
      <c r="Q136" s="482"/>
      <c r="R136" s="264">
        <f>N136</f>
        <v>0</v>
      </c>
      <c r="S136" s="52">
        <f>IFERROR(VLOOKUP(R136,AnsHTBL,2,0),0)</f>
        <v>0</v>
      </c>
      <c r="T136" s="203"/>
      <c r="U136" s="482"/>
      <c r="V136" s="264">
        <f>R136</f>
        <v>0</v>
      </c>
      <c r="W136" s="52">
        <f>IFERROR(VLOOKUP(V136,AnsHTBL,2,0),0)</f>
        <v>0</v>
      </c>
      <c r="X136" s="203"/>
      <c r="Y136" s="482"/>
    </row>
    <row r="137" spans="1:25" ht="13">
      <c r="A137" s="47"/>
      <c r="B137" s="289"/>
      <c r="C137" s="268"/>
      <c r="D137" s="269"/>
      <c r="E137" s="269"/>
      <c r="F137" s="269"/>
      <c r="G137" s="269"/>
      <c r="H137" s="269"/>
      <c r="I137" s="269"/>
      <c r="J137" s="269"/>
      <c r="K137" s="269"/>
      <c r="L137" s="269"/>
      <c r="M137" s="269"/>
      <c r="N137" s="269"/>
      <c r="O137" s="269"/>
      <c r="P137" s="269"/>
      <c r="Q137" s="269"/>
      <c r="R137" s="269"/>
      <c r="S137" s="269"/>
      <c r="T137" s="269"/>
      <c r="U137" s="269"/>
      <c r="V137" s="269"/>
      <c r="W137" s="269"/>
      <c r="X137" s="269"/>
      <c r="Y137" s="269"/>
    </row>
    <row r="138" spans="1:25">
      <c r="A138" s="47"/>
      <c r="B138" s="190" t="s">
        <v>49</v>
      </c>
      <c r="C138" s="314" t="s">
        <v>50</v>
      </c>
      <c r="D138" s="321" t="s">
        <v>163</v>
      </c>
      <c r="E138" s="183"/>
      <c r="F138" s="182" t="s">
        <v>52</v>
      </c>
      <c r="G138" s="182"/>
      <c r="H138" s="184"/>
      <c r="I138" s="319" t="s">
        <v>54</v>
      </c>
      <c r="J138" s="182" t="s">
        <v>52</v>
      </c>
      <c r="K138" s="182"/>
      <c r="L138" s="184"/>
      <c r="M138" s="319" t="s">
        <v>54</v>
      </c>
      <c r="N138" s="182" t="s">
        <v>52</v>
      </c>
      <c r="O138" s="182"/>
      <c r="P138" s="184"/>
      <c r="Q138" s="319" t="s">
        <v>54</v>
      </c>
      <c r="R138" s="182" t="s">
        <v>52</v>
      </c>
      <c r="S138" s="182"/>
      <c r="T138" s="184"/>
      <c r="U138" s="319" t="s">
        <v>54</v>
      </c>
      <c r="V138" s="182" t="s">
        <v>52</v>
      </c>
      <c r="W138" s="182"/>
      <c r="X138" s="184"/>
      <c r="Y138" s="319" t="s">
        <v>54</v>
      </c>
    </row>
    <row r="139" spans="1:25">
      <c r="A139" s="47" t="str">
        <f>Interview!A204</f>
        <v>O-EM-A-1-1</v>
      </c>
      <c r="B139" s="481" t="str">
        <f>VLOOKUP(A139,'imp-questions'!A:H,4,0)</f>
        <v>Configuration Hardening</v>
      </c>
      <c r="C139" s="320">
        <f>VLOOKUP(A139,'imp-questions'!A:H,5,0)</f>
        <v>1</v>
      </c>
      <c r="D139" s="49" t="str">
        <f>VLOOKUP(A139,'imp-questions'!A:H,6,0)</f>
        <v>Do you harden configurations for key components of your technology stacks?</v>
      </c>
      <c r="E139" s="50" t="str">
        <f>CHAR(65+VLOOKUP(A139,'imp-questions'!A:H,8,0))</f>
        <v>M</v>
      </c>
      <c r="F139" s="270">
        <f>Interview!F204</f>
        <v>0</v>
      </c>
      <c r="G139" s="52">
        <f>IFERROR(VLOOKUP(F139,AnsMTBL,2,0),0)</f>
        <v>0</v>
      </c>
      <c r="H139" s="276">
        <f>IFERROR(AVERAGE(G139,G143),0)</f>
        <v>0</v>
      </c>
      <c r="I139" s="482">
        <f>SUM(H139:H141)</f>
        <v>0</v>
      </c>
      <c r="J139" s="264">
        <f>F139</f>
        <v>0</v>
      </c>
      <c r="K139" s="52">
        <f>IFERROR(VLOOKUP(J139,AnsMTBL,2,0),0)</f>
        <v>0</v>
      </c>
      <c r="L139" s="276">
        <f>IFERROR(AVERAGE(K139,K143),0)</f>
        <v>0</v>
      </c>
      <c r="M139" s="482">
        <f>SUM(L139:L141)</f>
        <v>0</v>
      </c>
      <c r="N139" s="264">
        <f>J139</f>
        <v>0</v>
      </c>
      <c r="O139" s="52">
        <f>IFERROR(VLOOKUP(N139,AnsMTBL,2,0),0)</f>
        <v>0</v>
      </c>
      <c r="P139" s="276">
        <f>IFERROR(AVERAGE(O139,O143),0)</f>
        <v>0</v>
      </c>
      <c r="Q139" s="482">
        <f>SUM(P139:P141)</f>
        <v>0</v>
      </c>
      <c r="R139" s="264">
        <f>N139</f>
        <v>0</v>
      </c>
      <c r="S139" s="52">
        <f>IFERROR(VLOOKUP(R139,AnsMTBL,2,0),0)</f>
        <v>0</v>
      </c>
      <c r="T139" s="276">
        <f>IFERROR(AVERAGE(S139,S143),0)</f>
        <v>0</v>
      </c>
      <c r="U139" s="482">
        <f>SUM(T139:T141)</f>
        <v>0</v>
      </c>
      <c r="V139" s="264">
        <f>R139</f>
        <v>0</v>
      </c>
      <c r="W139" s="52">
        <f>IFERROR(VLOOKUP(V139,AnsMTBL,2,0),0)</f>
        <v>0</v>
      </c>
      <c r="X139" s="276">
        <f>IFERROR(AVERAGE(W139,W143),0)</f>
        <v>0</v>
      </c>
      <c r="Y139" s="482">
        <f>SUM(X139:X141)</f>
        <v>0</v>
      </c>
    </row>
    <row r="140" spans="1:25">
      <c r="A140" s="47" t="str">
        <f>Interview!A206</f>
        <v>O-EM-A-2-1</v>
      </c>
      <c r="B140" s="481"/>
      <c r="C140" s="320">
        <f>VLOOKUP(A140,'imp-questions'!A:H,5,0)</f>
        <v>2</v>
      </c>
      <c r="D140" s="49" t="str">
        <f>VLOOKUP(A140,'imp-questions'!A:H,6,0)</f>
        <v>Do you have hardening baselines for your components?</v>
      </c>
      <c r="E140" s="50" t="str">
        <f>CHAR(65+VLOOKUP(A140,'imp-questions'!A:H,8,0))</f>
        <v>M</v>
      </c>
      <c r="F140" s="322">
        <f>Interview!F206</f>
        <v>0</v>
      </c>
      <c r="G140" s="52">
        <f>IFERROR(VLOOKUP(F140,AnsMTBL,2,0),0)</f>
        <v>0</v>
      </c>
      <c r="H140" s="276">
        <f>IFERROR(AVERAGE(G140,G144),0)</f>
        <v>0</v>
      </c>
      <c r="I140" s="482"/>
      <c r="J140" s="264">
        <f>F140</f>
        <v>0</v>
      </c>
      <c r="K140" s="52">
        <f>IFERROR(VLOOKUP(J140,AnsMTBL,2,0),0)</f>
        <v>0</v>
      </c>
      <c r="L140" s="276">
        <f>IFERROR(AVERAGE(K140,K144),0)</f>
        <v>0</v>
      </c>
      <c r="M140" s="482"/>
      <c r="N140" s="264">
        <f>J140</f>
        <v>0</v>
      </c>
      <c r="O140" s="52">
        <f>IFERROR(VLOOKUP(N140,AnsMTBL,2,0),0)</f>
        <v>0</v>
      </c>
      <c r="P140" s="276">
        <f>IFERROR(AVERAGE(O140,O144),0)</f>
        <v>0</v>
      </c>
      <c r="Q140" s="482"/>
      <c r="R140" s="264">
        <f>N140</f>
        <v>0</v>
      </c>
      <c r="S140" s="52">
        <f>IFERROR(VLOOKUP(R140,AnsMTBL,2,0),0)</f>
        <v>0</v>
      </c>
      <c r="T140" s="276">
        <f>IFERROR(AVERAGE(S140,S144),0)</f>
        <v>0</v>
      </c>
      <c r="U140" s="482"/>
      <c r="V140" s="264">
        <f>R140</f>
        <v>0</v>
      </c>
      <c r="W140" s="52">
        <f>IFERROR(VLOOKUP(V140,AnsMTBL,2,0),0)</f>
        <v>0</v>
      </c>
      <c r="X140" s="276">
        <f>IFERROR(AVERAGE(W140,W144),0)</f>
        <v>0</v>
      </c>
      <c r="Y140" s="482"/>
    </row>
    <row r="141" spans="1:25">
      <c r="A141" s="47" t="str">
        <f>Interview!A208</f>
        <v>O-EM-A-3-1</v>
      </c>
      <c r="B141" s="481"/>
      <c r="C141" s="320">
        <f>VLOOKUP(A141,'imp-questions'!A:H,5,0)</f>
        <v>3</v>
      </c>
      <c r="D141" s="265" t="str">
        <f>VLOOKUP(A141,'imp-questions'!A:H,6,0)</f>
        <v>Do you monitor and enforce conformity with hardening baselines?</v>
      </c>
      <c r="E141" s="50" t="str">
        <f>CHAR(65+VLOOKUP(A141,'imp-questions'!A:H,8,0))</f>
        <v>M</v>
      </c>
      <c r="F141" s="270">
        <f>Interview!F208</f>
        <v>0</v>
      </c>
      <c r="G141" s="52">
        <f>IFERROR(VLOOKUP(F141,AnsMTBL,2,0),0)</f>
        <v>0</v>
      </c>
      <c r="H141" s="276">
        <f>IFERROR(AVERAGE(G141,G145),0)</f>
        <v>0</v>
      </c>
      <c r="I141" s="482"/>
      <c r="J141" s="264">
        <f>F141</f>
        <v>0</v>
      </c>
      <c r="K141" s="52">
        <f>IFERROR(VLOOKUP(J141,AnsMTBL,2,0),0)</f>
        <v>0</v>
      </c>
      <c r="L141" s="276">
        <f>IFERROR(AVERAGE(K141,K145),0)</f>
        <v>0</v>
      </c>
      <c r="M141" s="482"/>
      <c r="N141" s="264">
        <f>J141</f>
        <v>0</v>
      </c>
      <c r="O141" s="52">
        <f>IFERROR(VLOOKUP(N141,AnsMTBL,2,0),0)</f>
        <v>0</v>
      </c>
      <c r="P141" s="276">
        <f>IFERROR(AVERAGE(O141,O145),0)</f>
        <v>0</v>
      </c>
      <c r="Q141" s="482"/>
      <c r="R141" s="264">
        <f>N141</f>
        <v>0</v>
      </c>
      <c r="S141" s="52">
        <f>IFERROR(VLOOKUP(R141,AnsMTBL,2,0),0)</f>
        <v>0</v>
      </c>
      <c r="T141" s="276">
        <f>IFERROR(AVERAGE(S141,S145),0)</f>
        <v>0</v>
      </c>
      <c r="U141" s="482"/>
      <c r="V141" s="264">
        <f>R141</f>
        <v>0</v>
      </c>
      <c r="W141" s="52">
        <f>IFERROR(VLOOKUP(V141,AnsMTBL,2,0),0)</f>
        <v>0</v>
      </c>
      <c r="X141" s="276">
        <f>IFERROR(AVERAGE(W141,W145),0)</f>
        <v>0</v>
      </c>
      <c r="Y141" s="482"/>
    </row>
    <row r="142" spans="1:25" ht="13">
      <c r="A142" s="47"/>
      <c r="B142" s="289"/>
      <c r="C142" s="268"/>
      <c r="D142" s="269"/>
      <c r="E142" s="269"/>
      <c r="F142" s="269"/>
      <c r="G142" s="269"/>
      <c r="H142" s="269"/>
      <c r="I142" s="482"/>
      <c r="J142" s="269"/>
      <c r="K142" s="269"/>
      <c r="L142" s="269"/>
      <c r="M142" s="482"/>
      <c r="N142" s="269"/>
      <c r="O142" s="269"/>
      <c r="P142" s="269"/>
      <c r="Q142" s="482"/>
      <c r="R142" s="269"/>
      <c r="S142" s="269"/>
      <c r="T142" s="269"/>
      <c r="U142" s="482"/>
      <c r="V142" s="269"/>
      <c r="W142" s="269"/>
      <c r="X142" s="269"/>
      <c r="Y142" s="482"/>
    </row>
    <row r="143" spans="1:25">
      <c r="A143" s="47" t="str">
        <f>Interview!A211</f>
        <v>O-EM-B-1-1</v>
      </c>
      <c r="B143" s="483" t="str">
        <f>VLOOKUP(A143,'imp-questions'!A:H,4,0)</f>
        <v>Patching and Updating</v>
      </c>
      <c r="C143" s="320">
        <f>VLOOKUP(A143,'imp-questions'!A:H,5,0)</f>
        <v>1</v>
      </c>
      <c r="D143" s="49" t="str">
        <f>VLOOKUP(A143,'imp-questions'!A:H,6,0)</f>
        <v>Do you identify and patch vulnerable components?</v>
      </c>
      <c r="E143" s="50" t="str">
        <f>CHAR(65+VLOOKUP(A143,'imp-questions'!A:H,8,0))</f>
        <v>M</v>
      </c>
      <c r="F143" s="270">
        <f>Interview!F211</f>
        <v>0</v>
      </c>
      <c r="G143" s="52">
        <f>IFERROR(VLOOKUP(F143,AnsMTBL,2,0),0)</f>
        <v>0</v>
      </c>
      <c r="H143" s="203"/>
      <c r="I143" s="482"/>
      <c r="J143" s="264">
        <f>F143</f>
        <v>0</v>
      </c>
      <c r="K143" s="52">
        <f>IFERROR(VLOOKUP(J143,AnsMTBL,2,0),0)</f>
        <v>0</v>
      </c>
      <c r="L143" s="203"/>
      <c r="M143" s="482"/>
      <c r="N143" s="264">
        <f>J143</f>
        <v>0</v>
      </c>
      <c r="O143" s="52">
        <f>IFERROR(VLOOKUP(N143,AnsMTBL,2,0),0)</f>
        <v>0</v>
      </c>
      <c r="P143" s="203"/>
      <c r="Q143" s="482"/>
      <c r="R143" s="264">
        <f>N143</f>
        <v>0</v>
      </c>
      <c r="S143" s="52">
        <f>IFERROR(VLOOKUP(R143,AnsMTBL,2,0),0)</f>
        <v>0</v>
      </c>
      <c r="T143" s="203"/>
      <c r="U143" s="482"/>
      <c r="V143" s="264">
        <f>R143</f>
        <v>0</v>
      </c>
      <c r="W143" s="52">
        <f>IFERROR(VLOOKUP(V143,AnsMTBL,2,0),0)</f>
        <v>0</v>
      </c>
      <c r="X143" s="203"/>
      <c r="Y143" s="482"/>
    </row>
    <row r="144" spans="1:25" ht="28">
      <c r="A144" s="47" t="str">
        <f>Interview!A213</f>
        <v>O-EM-B-2-1</v>
      </c>
      <c r="B144" s="483"/>
      <c r="C144" s="320">
        <f>VLOOKUP(A144,'imp-questions'!A:H,5,0)</f>
        <v>2</v>
      </c>
      <c r="D144" s="49" t="str">
        <f>VLOOKUP(A144,'imp-questions'!A:H,6,0)</f>
        <v>Do you follow an established process for updating components of your technology stacks?</v>
      </c>
      <c r="E144" s="50" t="str">
        <f>CHAR(65+VLOOKUP(A144,'imp-questions'!A:H,8,0))</f>
        <v>M</v>
      </c>
      <c r="F144" s="266">
        <f>Interview!F213</f>
        <v>0</v>
      </c>
      <c r="G144" s="52">
        <f>IFERROR(VLOOKUP(F144,AnsMTBL,2,0),0)</f>
        <v>0</v>
      </c>
      <c r="H144" s="203"/>
      <c r="I144" s="482"/>
      <c r="J144" s="264">
        <f>F144</f>
        <v>0</v>
      </c>
      <c r="K144" s="52">
        <f>IFERROR(VLOOKUP(J144,AnsMTBL,2,0),0)</f>
        <v>0</v>
      </c>
      <c r="L144" s="203"/>
      <c r="M144" s="482"/>
      <c r="N144" s="264">
        <f>J144</f>
        <v>0</v>
      </c>
      <c r="O144" s="52">
        <f>IFERROR(VLOOKUP(N144,AnsMTBL,2,0),0)</f>
        <v>0</v>
      </c>
      <c r="P144" s="203"/>
      <c r="Q144" s="482"/>
      <c r="R144" s="264">
        <f>N144</f>
        <v>0</v>
      </c>
      <c r="S144" s="52">
        <f>IFERROR(VLOOKUP(R144,AnsMTBL,2,0),0)</f>
        <v>0</v>
      </c>
      <c r="T144" s="203"/>
      <c r="U144" s="482"/>
      <c r="V144" s="264">
        <f>R144</f>
        <v>0</v>
      </c>
      <c r="W144" s="52">
        <f>IFERROR(VLOOKUP(V144,AnsMTBL,2,0),0)</f>
        <v>0</v>
      </c>
      <c r="X144" s="203"/>
      <c r="Y144" s="482"/>
    </row>
    <row r="145" spans="1:25">
      <c r="A145" s="47" t="str">
        <f>Interview!A215</f>
        <v>O-EM-B-3-1</v>
      </c>
      <c r="B145" s="483"/>
      <c r="C145" s="320">
        <f>VLOOKUP(A145,'imp-questions'!A:H,5,0)</f>
        <v>3</v>
      </c>
      <c r="D145" s="265" t="str">
        <f>VLOOKUP(A145,'imp-questions'!A:H,6,0)</f>
        <v>Do you regularly evaluate components and review patch level status?</v>
      </c>
      <c r="E145" s="50" t="str">
        <f>CHAR(65+VLOOKUP(A145,'imp-questions'!A:H,8,0))</f>
        <v>M</v>
      </c>
      <c r="F145" s="266">
        <f>Interview!F215</f>
        <v>0</v>
      </c>
      <c r="G145" s="52">
        <f>IFERROR(VLOOKUP(F145,AnsMTBL,2,0),0)</f>
        <v>0</v>
      </c>
      <c r="H145" s="203"/>
      <c r="I145" s="482"/>
      <c r="J145" s="264">
        <f>F145</f>
        <v>0</v>
      </c>
      <c r="K145" s="52">
        <f>IFERROR(VLOOKUP(J145,AnsMTBL,2,0),0)</f>
        <v>0</v>
      </c>
      <c r="L145" s="203"/>
      <c r="M145" s="482"/>
      <c r="N145" s="264">
        <f>J145</f>
        <v>0</v>
      </c>
      <c r="O145" s="52">
        <f>IFERROR(VLOOKUP(N145,AnsMTBL,2,0),0)</f>
        <v>0</v>
      </c>
      <c r="P145" s="203"/>
      <c r="Q145" s="482"/>
      <c r="R145" s="264">
        <f>N145</f>
        <v>0</v>
      </c>
      <c r="S145" s="52">
        <f>IFERROR(VLOOKUP(R145,AnsMTBL,2,0),0)</f>
        <v>0</v>
      </c>
      <c r="T145" s="203"/>
      <c r="U145" s="482"/>
      <c r="V145" s="264">
        <f>R145</f>
        <v>0</v>
      </c>
      <c r="W145" s="52">
        <f>IFERROR(VLOOKUP(V145,AnsMTBL,2,0),0)</f>
        <v>0</v>
      </c>
      <c r="X145" s="203"/>
      <c r="Y145" s="482"/>
    </row>
    <row r="146" spans="1:25" ht="13">
      <c r="A146" s="47"/>
      <c r="B146" s="289"/>
      <c r="C146" s="268"/>
      <c r="D146" s="269"/>
      <c r="E146" s="269"/>
      <c r="F146" s="269"/>
      <c r="G146" s="269"/>
      <c r="H146" s="269"/>
      <c r="I146" s="269"/>
      <c r="J146" s="269"/>
      <c r="K146" s="269"/>
      <c r="L146" s="269"/>
      <c r="M146" s="269"/>
      <c r="N146" s="269"/>
      <c r="O146" s="269"/>
      <c r="P146" s="269"/>
      <c r="Q146" s="269"/>
      <c r="R146" s="269"/>
      <c r="S146" s="269"/>
      <c r="T146" s="269"/>
      <c r="U146" s="269"/>
      <c r="V146" s="269"/>
      <c r="W146" s="269"/>
      <c r="X146" s="269"/>
      <c r="Y146" s="269"/>
    </row>
    <row r="147" spans="1:25">
      <c r="A147" s="47"/>
      <c r="B147" s="190" t="s">
        <v>49</v>
      </c>
      <c r="C147" s="314" t="s">
        <v>50</v>
      </c>
      <c r="D147" s="321" t="s">
        <v>170</v>
      </c>
      <c r="E147" s="183"/>
      <c r="F147" s="182" t="s">
        <v>52</v>
      </c>
      <c r="G147" s="182"/>
      <c r="H147" s="184"/>
      <c r="I147" s="319" t="s">
        <v>54</v>
      </c>
      <c r="J147" s="182" t="s">
        <v>52</v>
      </c>
      <c r="K147" s="182"/>
      <c r="L147" s="184"/>
      <c r="M147" s="319" t="s">
        <v>54</v>
      </c>
      <c r="N147" s="182" t="s">
        <v>52</v>
      </c>
      <c r="O147" s="182"/>
      <c r="P147" s="184"/>
      <c r="Q147" s="319" t="s">
        <v>54</v>
      </c>
      <c r="R147" s="182" t="s">
        <v>52</v>
      </c>
      <c r="S147" s="182"/>
      <c r="T147" s="184"/>
      <c r="U147" s="319" t="s">
        <v>54</v>
      </c>
      <c r="V147" s="182" t="s">
        <v>52</v>
      </c>
      <c r="W147" s="182"/>
      <c r="X147" s="184"/>
      <c r="Y147" s="319" t="s">
        <v>54</v>
      </c>
    </row>
    <row r="148" spans="1:25" ht="28">
      <c r="A148" s="47" t="str">
        <f>Interview!A218</f>
        <v>O-OM-A-1-1</v>
      </c>
      <c r="B148" s="481" t="str">
        <f>VLOOKUP(A148,'imp-questions'!A:H,4,0)</f>
        <v>Data Protection</v>
      </c>
      <c r="C148" s="320">
        <f>VLOOKUP(A148,'imp-questions'!A:H,5,0)</f>
        <v>1</v>
      </c>
      <c r="D148" s="49" t="str">
        <f>VLOOKUP(A148,'imp-questions'!A:H,6,0)</f>
        <v>Do you protect and handle information according to protection requirements for data stored and processed on each application?</v>
      </c>
      <c r="E148" s="50" t="str">
        <f>CHAR(65+VLOOKUP(A148,'imp-questions'!A:H,8,0))</f>
        <v>F</v>
      </c>
      <c r="F148" s="270">
        <f>Interview!F218</f>
        <v>0</v>
      </c>
      <c r="G148" s="52">
        <f>IFERROR(VLOOKUP(F148,AnsFTBL,2,0),0)</f>
        <v>0</v>
      </c>
      <c r="H148" s="276">
        <f>IFERROR(AVERAGE(G148,G152),0)</f>
        <v>0</v>
      </c>
      <c r="I148" s="484">
        <f>SUM(H148:H150)</f>
        <v>0</v>
      </c>
      <c r="J148" s="264">
        <f>F148</f>
        <v>0</v>
      </c>
      <c r="K148" s="52">
        <f>IFERROR(VLOOKUP(J148,AnsFTBL,2,0),0)</f>
        <v>0</v>
      </c>
      <c r="L148" s="276">
        <f>IFERROR(AVERAGE(K148,K152),0)</f>
        <v>0</v>
      </c>
      <c r="M148" s="484">
        <f>SUM(L148:L150)</f>
        <v>0</v>
      </c>
      <c r="N148" s="264">
        <f>J148</f>
        <v>0</v>
      </c>
      <c r="O148" s="52">
        <f>IFERROR(VLOOKUP(N148,AnsFTBL,2,0),0)</f>
        <v>0</v>
      </c>
      <c r="P148" s="276">
        <f>IFERROR(AVERAGE(O148,O152),0)</f>
        <v>0</v>
      </c>
      <c r="Q148" s="484">
        <f>SUM(P148:P150)</f>
        <v>0</v>
      </c>
      <c r="R148" s="264">
        <f>N148</f>
        <v>0</v>
      </c>
      <c r="S148" s="52">
        <f>IFERROR(VLOOKUP(R148,AnsFTBL,2,0),0)</f>
        <v>0</v>
      </c>
      <c r="T148" s="276">
        <f>IFERROR(AVERAGE(S148,S152),0)</f>
        <v>0</v>
      </c>
      <c r="U148" s="484">
        <f>SUM(T148:T150)</f>
        <v>0</v>
      </c>
      <c r="V148" s="264">
        <f>R148</f>
        <v>0</v>
      </c>
      <c r="W148" s="52">
        <f>IFERROR(VLOOKUP(V148,AnsFTBL,2,0),0)</f>
        <v>0</v>
      </c>
      <c r="X148" s="276">
        <f>IFERROR(AVERAGE(W148,W152),0)</f>
        <v>0</v>
      </c>
      <c r="Y148" s="484">
        <f>SUM(X148:X150)</f>
        <v>0</v>
      </c>
    </row>
    <row r="149" spans="1:25" ht="28">
      <c r="A149" s="47" t="str">
        <f>Interview!A220</f>
        <v>O-OM-A-2-1</v>
      </c>
      <c r="B149" s="481"/>
      <c r="C149" s="320">
        <f>VLOOKUP(A149,'imp-questions'!A:H,5,0)</f>
        <v>2</v>
      </c>
      <c r="D149" s="49" t="str">
        <f>VLOOKUP(A149,'imp-questions'!A:H,6,0)</f>
        <v>Do you maintain a data catalog, including types, sensitivity levels, and processing and storage locations?</v>
      </c>
      <c r="E149" s="50" t="str">
        <f>CHAR(65+VLOOKUP(A149,'imp-questions'!A:H,8,0))</f>
        <v>O</v>
      </c>
      <c r="F149" s="263">
        <f>Interview!F220</f>
        <v>0</v>
      </c>
      <c r="G149" s="52">
        <f>IFERROR(VLOOKUP(F149,AnsOTBL,2,0),0)</f>
        <v>0</v>
      </c>
      <c r="H149" s="276">
        <f>IFERROR(AVERAGE(G149,G153),0)</f>
        <v>0</v>
      </c>
      <c r="I149" s="484"/>
      <c r="J149" s="264">
        <f>F149</f>
        <v>0</v>
      </c>
      <c r="K149" s="52">
        <f>IFERROR(VLOOKUP(J149,AnsOTBL,2,0),0)</f>
        <v>0</v>
      </c>
      <c r="L149" s="276">
        <f>IFERROR(AVERAGE(K149,K153),0)</f>
        <v>0</v>
      </c>
      <c r="M149" s="484"/>
      <c r="N149" s="264">
        <f>J149</f>
        <v>0</v>
      </c>
      <c r="O149" s="52">
        <f>IFERROR(VLOOKUP(N149,AnsOTBL,2,0),0)</f>
        <v>0</v>
      </c>
      <c r="P149" s="276">
        <f>IFERROR(AVERAGE(O149,O153),0)</f>
        <v>0</v>
      </c>
      <c r="Q149" s="484"/>
      <c r="R149" s="264">
        <f>N149</f>
        <v>0</v>
      </c>
      <c r="S149" s="52">
        <f>IFERROR(VLOOKUP(R149,AnsOTBL,2,0),0)</f>
        <v>0</v>
      </c>
      <c r="T149" s="276">
        <f>IFERROR(AVERAGE(S149,S153),0)</f>
        <v>0</v>
      </c>
      <c r="U149" s="484"/>
      <c r="V149" s="264">
        <f>R149</f>
        <v>0</v>
      </c>
      <c r="W149" s="52">
        <f>IFERROR(VLOOKUP(V149,AnsOTBL,2,0),0)</f>
        <v>0</v>
      </c>
      <c r="X149" s="276">
        <f>IFERROR(AVERAGE(W149,W153),0)</f>
        <v>0</v>
      </c>
      <c r="Y149" s="484"/>
    </row>
    <row r="150" spans="1:25" ht="28">
      <c r="A150" s="47" t="str">
        <f>Interview!A222</f>
        <v>O-OM-A-3-1</v>
      </c>
      <c r="B150" s="481"/>
      <c r="C150" s="320">
        <f>VLOOKUP(A150,'imp-questions'!A:H,5,0)</f>
        <v>3</v>
      </c>
      <c r="D150" s="265" t="str">
        <f>VLOOKUP(A150,'imp-questions'!A:H,6,0)</f>
        <v>Do you regularly review and update the data catalog and your data protection policies and procedures?</v>
      </c>
      <c r="E150" s="50" t="str">
        <f>CHAR(65+VLOOKUP(A150,'imp-questions'!A:H,8,0))</f>
        <v>P</v>
      </c>
      <c r="F150" s="266">
        <f>Interview!F222</f>
        <v>0</v>
      </c>
      <c r="G150" s="52">
        <f>IFERROR(VLOOKUP(F150,AnsPTBL,2,0),0)</f>
        <v>0</v>
      </c>
      <c r="H150" s="276">
        <f>IFERROR(AVERAGE(G150,G154),0)</f>
        <v>0</v>
      </c>
      <c r="I150" s="484"/>
      <c r="J150" s="264">
        <f>F150</f>
        <v>0</v>
      </c>
      <c r="K150" s="52">
        <f>IFERROR(VLOOKUP(J150,AnsPTBL,2,0),0)</f>
        <v>0</v>
      </c>
      <c r="L150" s="276">
        <f>IFERROR(AVERAGE(K150,K154),0)</f>
        <v>0</v>
      </c>
      <c r="M150" s="484"/>
      <c r="N150" s="264">
        <f>J150</f>
        <v>0</v>
      </c>
      <c r="O150" s="52">
        <f>IFERROR(VLOOKUP(N150,AnsPTBL,2,0),0)</f>
        <v>0</v>
      </c>
      <c r="P150" s="276">
        <f>IFERROR(AVERAGE(O150,O154),0)</f>
        <v>0</v>
      </c>
      <c r="Q150" s="484"/>
      <c r="R150" s="264">
        <f>N150</f>
        <v>0</v>
      </c>
      <c r="S150" s="52">
        <f>IFERROR(VLOOKUP(R150,AnsPTBL,2,0),0)</f>
        <v>0</v>
      </c>
      <c r="T150" s="276">
        <f>IFERROR(AVERAGE(S150,S154),0)</f>
        <v>0</v>
      </c>
      <c r="U150" s="484"/>
      <c r="V150" s="264">
        <f>R150</f>
        <v>0</v>
      </c>
      <c r="W150" s="52">
        <f>IFERROR(VLOOKUP(V150,AnsPTBL,2,0),0)</f>
        <v>0</v>
      </c>
      <c r="X150" s="276">
        <f>IFERROR(AVERAGE(W150,W154),0)</f>
        <v>0</v>
      </c>
      <c r="Y150" s="484"/>
    </row>
    <row r="151" spans="1:25" ht="13">
      <c r="A151" s="47"/>
      <c r="B151" s="289"/>
      <c r="C151" s="268"/>
      <c r="D151" s="269"/>
      <c r="E151" s="269"/>
      <c r="F151" s="269"/>
      <c r="G151" s="269"/>
      <c r="H151" s="269"/>
      <c r="I151" s="484"/>
      <c r="J151" s="269"/>
      <c r="K151" s="269"/>
      <c r="L151" s="269"/>
      <c r="M151" s="484"/>
      <c r="N151" s="269"/>
      <c r="O151" s="269"/>
      <c r="P151" s="269"/>
      <c r="Q151" s="484"/>
      <c r="R151" s="269"/>
      <c r="S151" s="269"/>
      <c r="T151" s="269"/>
      <c r="U151" s="484"/>
      <c r="V151" s="269"/>
      <c r="W151" s="269"/>
      <c r="X151" s="269"/>
      <c r="Y151" s="484"/>
    </row>
    <row r="152" spans="1:25" ht="42">
      <c r="A152" s="47" t="str">
        <f>Interview!A225</f>
        <v>O-OM-B-1-1</v>
      </c>
      <c r="B152" s="485" t="str">
        <f>VLOOKUP(A152,'imp-questions'!A:H,4,0)</f>
        <v>System Decomissioning / Legacy Management</v>
      </c>
      <c r="C152" s="320">
        <f>VLOOKUP(A152,'imp-questions'!A:H,5,0)</f>
        <v>1</v>
      </c>
      <c r="D152" s="49" t="str">
        <f>VLOOKUP(A152,'imp-questions'!A:H,6,0)</f>
        <v>Do you identify and remove systems, applications, application dependencies, or services that are no longer used, have reached end of life, or are no longer actively developed or supported?</v>
      </c>
      <c r="E152" s="50" t="str">
        <f>CHAR(65+VLOOKUP(A152,'imp-questions'!A:H,8,0))</f>
        <v>F</v>
      </c>
      <c r="F152" s="270">
        <f>Interview!F225</f>
        <v>0</v>
      </c>
      <c r="G152" s="52">
        <f>IFERROR(VLOOKUP(F152,AnsFTBL,2,0),0)</f>
        <v>0</v>
      </c>
      <c r="H152" s="203"/>
      <c r="I152" s="484"/>
      <c r="J152" s="264">
        <f>F152</f>
        <v>0</v>
      </c>
      <c r="K152" s="52">
        <f>IFERROR(VLOOKUP(J152,AnsFTBL,2,0),0)</f>
        <v>0</v>
      </c>
      <c r="L152" s="203"/>
      <c r="M152" s="484"/>
      <c r="N152" s="264">
        <f>J152</f>
        <v>0</v>
      </c>
      <c r="O152" s="52">
        <f>IFERROR(VLOOKUP(N152,AnsFTBL,2,0),0)</f>
        <v>0</v>
      </c>
      <c r="P152" s="203"/>
      <c r="Q152" s="484"/>
      <c r="R152" s="264">
        <f>N152</f>
        <v>0</v>
      </c>
      <c r="S152" s="52">
        <f>IFERROR(VLOOKUP(R152,AnsFTBL,2,0),0)</f>
        <v>0</v>
      </c>
      <c r="T152" s="203"/>
      <c r="U152" s="484"/>
      <c r="V152" s="264">
        <f>R152</f>
        <v>0</v>
      </c>
      <c r="W152" s="52">
        <f>IFERROR(VLOOKUP(V152,AnsFTBL,2,0),0)</f>
        <v>0</v>
      </c>
      <c r="X152" s="203"/>
      <c r="Y152" s="484"/>
    </row>
    <row r="153" spans="1:25" ht="42">
      <c r="A153" s="47" t="str">
        <f>Interview!A227</f>
        <v>O-OM-B-2-1</v>
      </c>
      <c r="B153" s="485"/>
      <c r="C153" s="320">
        <f>VLOOKUP(A153,'imp-questions'!A:H,5,0)</f>
        <v>2</v>
      </c>
      <c r="D153" s="49" t="str">
        <f>VLOOKUP(A153,'imp-questions'!A:H,6,0)</f>
        <v>Do you follow an established process for removing all associated resources, as part of decommissioning of unused systems, applications, application dependencies, or services?</v>
      </c>
      <c r="E153" s="50" t="str">
        <f>CHAR(65+VLOOKUP(A153,'imp-questions'!A:H,8,0))</f>
        <v>H</v>
      </c>
      <c r="F153" s="263">
        <f>Interview!F227</f>
        <v>0</v>
      </c>
      <c r="G153" s="52">
        <f>IFERROR(VLOOKUP(F153,AnsHTBL,2,0),0)</f>
        <v>0</v>
      </c>
      <c r="H153" s="203"/>
      <c r="I153" s="484"/>
      <c r="J153" s="264">
        <f>F153</f>
        <v>0</v>
      </c>
      <c r="K153" s="52">
        <f>IFERROR(VLOOKUP(J153,AnsHTBL,2,0),0)</f>
        <v>0</v>
      </c>
      <c r="L153" s="203"/>
      <c r="M153" s="484"/>
      <c r="N153" s="264">
        <f>J153</f>
        <v>0</v>
      </c>
      <c r="O153" s="52">
        <f>IFERROR(VLOOKUP(N153,AnsHTBL,2,0),0)</f>
        <v>0</v>
      </c>
      <c r="P153" s="203"/>
      <c r="Q153" s="484"/>
      <c r="R153" s="264">
        <f>N153</f>
        <v>0</v>
      </c>
      <c r="S153" s="52">
        <f>IFERROR(VLOOKUP(R153,AnsHTBL,2,0),0)</f>
        <v>0</v>
      </c>
      <c r="T153" s="203"/>
      <c r="U153" s="484"/>
      <c r="V153" s="264">
        <f>R153</f>
        <v>0</v>
      </c>
      <c r="W153" s="52">
        <f>IFERROR(VLOOKUP(V153,AnsHTBL,2,0),0)</f>
        <v>0</v>
      </c>
      <c r="X153" s="203"/>
      <c r="Y153" s="484"/>
    </row>
    <row r="154" spans="1:25" ht="42">
      <c r="A154" s="47" t="str">
        <f>Interview!A229</f>
        <v>O-OM-B-3-1</v>
      </c>
      <c r="B154" s="485"/>
      <c r="C154" s="320">
        <f>VLOOKUP(A154,'imp-questions'!A:H,5,0)</f>
        <v>3</v>
      </c>
      <c r="D154" s="265" t="str">
        <f>VLOOKUP(A154,'imp-questions'!A:H,6,0)</f>
        <v>Do you regularly evaluate the lifecycle state and support status of every software asset and underlying infrastructure component, and estimate their end of life?</v>
      </c>
      <c r="E154" s="270" t="str">
        <f>CHAR(65+VLOOKUP(A154,'imp-questions'!A:H,8,0))</f>
        <v>S</v>
      </c>
      <c r="F154" s="266">
        <f>Interview!F229</f>
        <v>0</v>
      </c>
      <c r="G154" s="52">
        <f>IFERROR(VLOOKUP(F154,AnsSTBL,2,0),0)</f>
        <v>0</v>
      </c>
      <c r="H154" s="203"/>
      <c r="I154" s="484"/>
      <c r="J154" s="264">
        <f>F154</f>
        <v>0</v>
      </c>
      <c r="K154" s="52">
        <f>IFERROR(VLOOKUP(J154,AnsSTBL,2,0),0)</f>
        <v>0</v>
      </c>
      <c r="L154" s="203"/>
      <c r="M154" s="484"/>
      <c r="N154" s="264">
        <f>J154</f>
        <v>0</v>
      </c>
      <c r="O154" s="52">
        <f>IFERROR(VLOOKUP(N154,AnsSTBL,2,0),0)</f>
        <v>0</v>
      </c>
      <c r="P154" s="203"/>
      <c r="Q154" s="484"/>
      <c r="R154" s="264">
        <f>N154</f>
        <v>0</v>
      </c>
      <c r="S154" s="52">
        <f>IFERROR(VLOOKUP(R154,AnsSTBL,2,0),0)</f>
        <v>0</v>
      </c>
      <c r="T154" s="203"/>
      <c r="U154" s="484"/>
      <c r="V154" s="264">
        <f>R154</f>
        <v>0</v>
      </c>
      <c r="W154" s="52">
        <f>IFERROR(VLOOKUP(V154,AnsSTBL,2,0),0)</f>
        <v>0</v>
      </c>
      <c r="X154" s="203"/>
      <c r="Y154" s="484"/>
    </row>
  </sheetData>
  <mergeCells count="130">
    <mergeCell ref="F16:I16"/>
    <mergeCell ref="J16:M16"/>
    <mergeCell ref="N16:Q16"/>
    <mergeCell ref="R16:U16"/>
    <mergeCell ref="V16:Y16"/>
    <mergeCell ref="B18:B20"/>
    <mergeCell ref="I18:I24"/>
    <mergeCell ref="M18:M24"/>
    <mergeCell ref="Q18:Q24"/>
    <mergeCell ref="U18:U24"/>
    <mergeCell ref="Y18:Y24"/>
    <mergeCell ref="B22:B24"/>
    <mergeCell ref="B27:B29"/>
    <mergeCell ref="I27:I33"/>
    <mergeCell ref="M27:M33"/>
    <mergeCell ref="Q27:Q33"/>
    <mergeCell ref="U27:U33"/>
    <mergeCell ref="Y27:Y33"/>
    <mergeCell ref="B31:B33"/>
    <mergeCell ref="B36:B38"/>
    <mergeCell ref="I36:I42"/>
    <mergeCell ref="M36:M42"/>
    <mergeCell ref="Q36:Q42"/>
    <mergeCell ref="U36:U42"/>
    <mergeCell ref="Y36:Y42"/>
    <mergeCell ref="B40:B42"/>
    <mergeCell ref="F44:I44"/>
    <mergeCell ref="J44:M44"/>
    <mergeCell ref="N44:Q44"/>
    <mergeCell ref="R44:U44"/>
    <mergeCell ref="V44:Y44"/>
    <mergeCell ref="B46:B48"/>
    <mergeCell ref="I46:I52"/>
    <mergeCell ref="M46:M52"/>
    <mergeCell ref="Q46:Q52"/>
    <mergeCell ref="U46:U52"/>
    <mergeCell ref="Y46:Y52"/>
    <mergeCell ref="B50:B52"/>
    <mergeCell ref="B55:B57"/>
    <mergeCell ref="I55:I61"/>
    <mergeCell ref="M55:M61"/>
    <mergeCell ref="Q55:Q61"/>
    <mergeCell ref="U55:U61"/>
    <mergeCell ref="Y55:Y61"/>
    <mergeCell ref="B59:B61"/>
    <mergeCell ref="B64:B66"/>
    <mergeCell ref="I64:I70"/>
    <mergeCell ref="M64:M70"/>
    <mergeCell ref="Q64:Q70"/>
    <mergeCell ref="U64:U70"/>
    <mergeCell ref="Y64:Y70"/>
    <mergeCell ref="B68:B70"/>
    <mergeCell ref="F72:I72"/>
    <mergeCell ref="J72:M72"/>
    <mergeCell ref="N72:Q72"/>
    <mergeCell ref="R72:U72"/>
    <mergeCell ref="V72:Y72"/>
    <mergeCell ref="B74:B76"/>
    <mergeCell ref="I74:I80"/>
    <mergeCell ref="M74:M80"/>
    <mergeCell ref="Q74:Q80"/>
    <mergeCell ref="U74:U80"/>
    <mergeCell ref="Y74:Y80"/>
    <mergeCell ref="B78:B80"/>
    <mergeCell ref="B83:B85"/>
    <mergeCell ref="I83:I89"/>
    <mergeCell ref="M83:M89"/>
    <mergeCell ref="Q83:Q89"/>
    <mergeCell ref="U83:U89"/>
    <mergeCell ref="Y83:Y89"/>
    <mergeCell ref="B87:B89"/>
    <mergeCell ref="B92:B94"/>
    <mergeCell ref="I92:I98"/>
    <mergeCell ref="M92:M98"/>
    <mergeCell ref="Q92:Q98"/>
    <mergeCell ref="U92:U98"/>
    <mergeCell ref="Y92:Y98"/>
    <mergeCell ref="B96:B98"/>
    <mergeCell ref="F100:I100"/>
    <mergeCell ref="J100:M100"/>
    <mergeCell ref="N100:Q100"/>
    <mergeCell ref="R100:U100"/>
    <mergeCell ref="V100:Y100"/>
    <mergeCell ref="B102:B104"/>
    <mergeCell ref="I102:I108"/>
    <mergeCell ref="M102:M108"/>
    <mergeCell ref="Q102:Q108"/>
    <mergeCell ref="U102:U108"/>
    <mergeCell ref="Y102:Y108"/>
    <mergeCell ref="B106:B108"/>
    <mergeCell ref="B111:B113"/>
    <mergeCell ref="I111:I117"/>
    <mergeCell ref="M111:M117"/>
    <mergeCell ref="Q111:Q117"/>
    <mergeCell ref="U111:U117"/>
    <mergeCell ref="Y111:Y117"/>
    <mergeCell ref="B115:B117"/>
    <mergeCell ref="B120:B122"/>
    <mergeCell ref="I120:I126"/>
    <mergeCell ref="M120:M126"/>
    <mergeCell ref="Q120:Q126"/>
    <mergeCell ref="U120:U126"/>
    <mergeCell ref="Y120:Y126"/>
    <mergeCell ref="B124:B126"/>
    <mergeCell ref="F128:I128"/>
    <mergeCell ref="J128:M128"/>
    <mergeCell ref="N128:Q128"/>
    <mergeCell ref="R128:U128"/>
    <mergeCell ref="V128:Y128"/>
    <mergeCell ref="B130:B132"/>
    <mergeCell ref="I130:I136"/>
    <mergeCell ref="M130:M136"/>
    <mergeCell ref="Q130:Q136"/>
    <mergeCell ref="U130:U136"/>
    <mergeCell ref="Y130:Y136"/>
    <mergeCell ref="B134:B136"/>
    <mergeCell ref="B139:B141"/>
    <mergeCell ref="I139:I145"/>
    <mergeCell ref="M139:M145"/>
    <mergeCell ref="Q139:Q145"/>
    <mergeCell ref="U139:U145"/>
    <mergeCell ref="Y139:Y145"/>
    <mergeCell ref="B143:B145"/>
    <mergeCell ref="B148:B150"/>
    <mergeCell ref="I148:I154"/>
    <mergeCell ref="M148:M154"/>
    <mergeCell ref="Q148:Q154"/>
    <mergeCell ref="U148:U154"/>
    <mergeCell ref="Y148:Y154"/>
    <mergeCell ref="B152:B154"/>
  </mergeCells>
  <conditionalFormatting sqref="F15">
    <cfRule type="expression" dxfId="632" priority="2">
      <formula>$H$22=1</formula>
    </cfRule>
  </conditionalFormatting>
  <conditionalFormatting sqref="J20">
    <cfRule type="expression" dxfId="631" priority="3">
      <formula>K20&lt;G20</formula>
    </cfRule>
    <cfRule type="expression" dxfId="630" priority="4">
      <formula>K20&gt;G20</formula>
    </cfRule>
  </conditionalFormatting>
  <conditionalFormatting sqref="J19">
    <cfRule type="expression" dxfId="629" priority="5">
      <formula>K19&lt;G19</formula>
    </cfRule>
    <cfRule type="expression" dxfId="628" priority="6">
      <formula>K19&gt;G19</formula>
    </cfRule>
  </conditionalFormatting>
  <conditionalFormatting sqref="J22:J23">
    <cfRule type="expression" dxfId="627" priority="7">
      <formula>K22&lt;G22</formula>
    </cfRule>
    <cfRule type="expression" dxfId="626" priority="8">
      <formula>K22&gt;G22</formula>
    </cfRule>
  </conditionalFormatting>
  <conditionalFormatting sqref="J24">
    <cfRule type="expression" dxfId="625" priority="9">
      <formula>K24&lt;G24</formula>
    </cfRule>
    <cfRule type="expression" dxfId="624" priority="10">
      <formula>K24&gt;G24</formula>
    </cfRule>
  </conditionalFormatting>
  <conditionalFormatting sqref="J27">
    <cfRule type="expression" dxfId="623" priority="11">
      <formula>K27&lt;G27</formula>
    </cfRule>
    <cfRule type="expression" dxfId="622" priority="12">
      <formula>K27&gt;G27</formula>
    </cfRule>
  </conditionalFormatting>
  <conditionalFormatting sqref="J29">
    <cfRule type="expression" dxfId="621" priority="13">
      <formula>K29&lt;G29</formula>
    </cfRule>
    <cfRule type="expression" dxfId="620" priority="14">
      <formula>K29&gt;G29</formula>
    </cfRule>
  </conditionalFormatting>
  <conditionalFormatting sqref="J28">
    <cfRule type="expression" dxfId="619" priority="15">
      <formula>K28&lt;G28</formula>
    </cfRule>
    <cfRule type="expression" dxfId="618" priority="16">
      <formula>K28&gt;G28</formula>
    </cfRule>
  </conditionalFormatting>
  <conditionalFormatting sqref="J31">
    <cfRule type="expression" dxfId="617" priority="17">
      <formula>K31&lt;G31</formula>
    </cfRule>
    <cfRule type="expression" dxfId="616" priority="18">
      <formula>K31&gt;G31</formula>
    </cfRule>
  </conditionalFormatting>
  <conditionalFormatting sqref="J33">
    <cfRule type="expression" dxfId="615" priority="19">
      <formula>K33&lt;G33</formula>
    </cfRule>
    <cfRule type="expression" dxfId="614" priority="20">
      <formula>K33&gt;G33</formula>
    </cfRule>
  </conditionalFormatting>
  <conditionalFormatting sqref="J32">
    <cfRule type="expression" dxfId="613" priority="21">
      <formula>K32&lt;G32</formula>
    </cfRule>
    <cfRule type="expression" dxfId="612" priority="22">
      <formula>K32&gt;G32</formula>
    </cfRule>
  </conditionalFormatting>
  <conditionalFormatting sqref="J153">
    <cfRule type="expression" dxfId="611" priority="23">
      <formula>K153&lt;G153</formula>
    </cfRule>
    <cfRule type="expression" dxfId="610" priority="24">
      <formula>K153&gt;G153</formula>
    </cfRule>
  </conditionalFormatting>
  <conditionalFormatting sqref="J36">
    <cfRule type="expression" dxfId="609" priority="25">
      <formula>K36&lt;G36</formula>
    </cfRule>
    <cfRule type="expression" dxfId="608" priority="26">
      <formula>K36&gt;G36</formula>
    </cfRule>
  </conditionalFormatting>
  <conditionalFormatting sqref="J38">
    <cfRule type="expression" dxfId="607" priority="27">
      <formula>K38&lt;G38</formula>
    </cfRule>
    <cfRule type="expression" dxfId="606" priority="28">
      <formula>K38&gt;G38</formula>
    </cfRule>
  </conditionalFormatting>
  <conditionalFormatting sqref="J37">
    <cfRule type="expression" dxfId="605" priority="29">
      <formula>K37&lt;G37</formula>
    </cfRule>
    <cfRule type="expression" dxfId="604" priority="30">
      <formula>K37&gt;G37</formula>
    </cfRule>
  </conditionalFormatting>
  <conditionalFormatting sqref="J40">
    <cfRule type="expression" dxfId="603" priority="31">
      <formula>K40&lt;G40</formula>
    </cfRule>
    <cfRule type="expression" dxfId="602" priority="32">
      <formula>K40&gt;G40</formula>
    </cfRule>
  </conditionalFormatting>
  <conditionalFormatting sqref="J42">
    <cfRule type="expression" dxfId="601" priority="33">
      <formula>K42&lt;G42</formula>
    </cfRule>
    <cfRule type="expression" dxfId="600" priority="34">
      <formula>K42&gt;G42</formula>
    </cfRule>
  </conditionalFormatting>
  <conditionalFormatting sqref="J41">
    <cfRule type="expression" dxfId="599" priority="35">
      <formula>K41&lt;G41</formula>
    </cfRule>
    <cfRule type="expression" dxfId="598" priority="36">
      <formula>K41&gt;G41</formula>
    </cfRule>
  </conditionalFormatting>
  <conditionalFormatting sqref="J46">
    <cfRule type="expression" dxfId="597" priority="37">
      <formula>K46&lt;G46</formula>
    </cfRule>
    <cfRule type="expression" dxfId="596" priority="38">
      <formula>K46&gt;G46</formula>
    </cfRule>
  </conditionalFormatting>
  <conditionalFormatting sqref="J48">
    <cfRule type="expression" dxfId="595" priority="39">
      <formula>K48&lt;G48</formula>
    </cfRule>
    <cfRule type="expression" dxfId="594" priority="40">
      <formula>K48&gt;G48</formula>
    </cfRule>
  </conditionalFormatting>
  <conditionalFormatting sqref="J47">
    <cfRule type="expression" dxfId="593" priority="41">
      <formula>K47&lt;G47</formula>
    </cfRule>
    <cfRule type="expression" dxfId="592" priority="42">
      <formula>K47&gt;G47</formula>
    </cfRule>
  </conditionalFormatting>
  <conditionalFormatting sqref="J50">
    <cfRule type="expression" dxfId="591" priority="43">
      <formula>K50&lt;G50</formula>
    </cfRule>
    <cfRule type="expression" dxfId="590" priority="44">
      <formula>K50&gt;G50</formula>
    </cfRule>
  </conditionalFormatting>
  <conditionalFormatting sqref="J52">
    <cfRule type="expression" dxfId="589" priority="45">
      <formula>K52&lt;G52</formula>
    </cfRule>
    <cfRule type="expression" dxfId="588" priority="46">
      <formula>K52&gt;G52</formula>
    </cfRule>
  </conditionalFormatting>
  <conditionalFormatting sqref="J51">
    <cfRule type="expression" dxfId="587" priority="47">
      <formula>K51&lt;G51</formula>
    </cfRule>
    <cfRule type="expression" dxfId="586" priority="48">
      <formula>K51&gt;G51</formula>
    </cfRule>
  </conditionalFormatting>
  <conditionalFormatting sqref="J55:J56">
    <cfRule type="expression" dxfId="585" priority="49">
      <formula>K55&lt;G55</formula>
    </cfRule>
    <cfRule type="expression" dxfId="584" priority="50">
      <formula>K55&gt;G55</formula>
    </cfRule>
  </conditionalFormatting>
  <conditionalFormatting sqref="J57">
    <cfRule type="expression" dxfId="583" priority="51">
      <formula>K57&lt;G57</formula>
    </cfRule>
    <cfRule type="expression" dxfId="582" priority="52">
      <formula>K57&gt;G57</formula>
    </cfRule>
  </conditionalFormatting>
  <conditionalFormatting sqref="J59">
    <cfRule type="expression" dxfId="581" priority="53">
      <formula>K59&lt;G59</formula>
    </cfRule>
    <cfRule type="expression" dxfId="580" priority="54">
      <formula>K59&gt;G59</formula>
    </cfRule>
  </conditionalFormatting>
  <conditionalFormatting sqref="J61">
    <cfRule type="expression" dxfId="579" priority="55">
      <formula>K61&lt;G61</formula>
    </cfRule>
    <cfRule type="expression" dxfId="578" priority="56">
      <formula>K61&gt;G61</formula>
    </cfRule>
  </conditionalFormatting>
  <conditionalFormatting sqref="J60">
    <cfRule type="expression" dxfId="577" priority="57">
      <formula>K60&lt;G60</formula>
    </cfRule>
    <cfRule type="expression" dxfId="576" priority="58">
      <formula>K60&gt;G60</formula>
    </cfRule>
  </conditionalFormatting>
  <conditionalFormatting sqref="J64">
    <cfRule type="expression" dxfId="575" priority="59">
      <formula>K64&lt;G64</formula>
    </cfRule>
    <cfRule type="expression" dxfId="574" priority="60">
      <formula>K64&gt;G64</formula>
    </cfRule>
  </conditionalFormatting>
  <conditionalFormatting sqref="J66">
    <cfRule type="expression" dxfId="573" priority="61">
      <formula>K66&lt;G66</formula>
    </cfRule>
    <cfRule type="expression" dxfId="572" priority="62">
      <formula>K66&gt;G66</formula>
    </cfRule>
  </conditionalFormatting>
  <conditionalFormatting sqref="J65">
    <cfRule type="expression" dxfId="571" priority="63">
      <formula>K65&lt;G65</formula>
    </cfRule>
    <cfRule type="expression" dxfId="570" priority="64">
      <formula>K65&gt;G65</formula>
    </cfRule>
  </conditionalFormatting>
  <conditionalFormatting sqref="J68">
    <cfRule type="expression" dxfId="569" priority="65">
      <formula>K68&lt;G68</formula>
    </cfRule>
    <cfRule type="expression" dxfId="568" priority="66">
      <formula>K68&gt;G68</formula>
    </cfRule>
  </conditionalFormatting>
  <conditionalFormatting sqref="J70">
    <cfRule type="expression" dxfId="567" priority="67">
      <formula>K70&lt;G70</formula>
    </cfRule>
    <cfRule type="expression" dxfId="566" priority="68">
      <formula>K70&gt;G70</formula>
    </cfRule>
  </conditionalFormatting>
  <conditionalFormatting sqref="J69">
    <cfRule type="expression" dxfId="565" priority="69">
      <formula>K69&lt;G69</formula>
    </cfRule>
    <cfRule type="expression" dxfId="564" priority="70">
      <formula>K69&gt;G69</formula>
    </cfRule>
  </conditionalFormatting>
  <conditionalFormatting sqref="J102">
    <cfRule type="expression" dxfId="563" priority="71">
      <formula>K102&lt;G102</formula>
    </cfRule>
    <cfRule type="expression" dxfId="562" priority="72">
      <formula>K102&gt;G102</formula>
    </cfRule>
  </conditionalFormatting>
  <conditionalFormatting sqref="J104">
    <cfRule type="expression" dxfId="561" priority="73">
      <formula>K104&lt;G104</formula>
    </cfRule>
    <cfRule type="expression" dxfId="560" priority="74">
      <formula>K104&gt;G104</formula>
    </cfRule>
  </conditionalFormatting>
  <conditionalFormatting sqref="J103">
    <cfRule type="expression" dxfId="559" priority="75">
      <formula>K103&lt;G103</formula>
    </cfRule>
    <cfRule type="expression" dxfId="558" priority="76">
      <formula>K103&gt;G103</formula>
    </cfRule>
  </conditionalFormatting>
  <conditionalFormatting sqref="J106">
    <cfRule type="expression" dxfId="557" priority="77">
      <formula>K106&lt;G106</formula>
    </cfRule>
    <cfRule type="expression" dxfId="556" priority="78">
      <formula>K106&gt;G106</formula>
    </cfRule>
  </conditionalFormatting>
  <conditionalFormatting sqref="J108">
    <cfRule type="expression" dxfId="555" priority="79">
      <formula>K108&lt;G108</formula>
    </cfRule>
    <cfRule type="expression" dxfId="554" priority="80">
      <formula>K108&gt;G108</formula>
    </cfRule>
  </conditionalFormatting>
  <conditionalFormatting sqref="J107">
    <cfRule type="expression" dxfId="553" priority="81">
      <formula>K107&lt;G107</formula>
    </cfRule>
    <cfRule type="expression" dxfId="552" priority="82">
      <formula>K107&gt;G107</formula>
    </cfRule>
  </conditionalFormatting>
  <conditionalFormatting sqref="J111">
    <cfRule type="expression" dxfId="551" priority="83">
      <formula>K111&lt;G111</formula>
    </cfRule>
    <cfRule type="expression" dxfId="550" priority="84">
      <formula>K111&gt;G111</formula>
    </cfRule>
  </conditionalFormatting>
  <conditionalFormatting sqref="J113">
    <cfRule type="expression" dxfId="549" priority="85">
      <formula>K113&lt;G113</formula>
    </cfRule>
    <cfRule type="expression" dxfId="548" priority="86">
      <formula>K113&gt;G113</formula>
    </cfRule>
  </conditionalFormatting>
  <conditionalFormatting sqref="J112">
    <cfRule type="expression" dxfId="547" priority="87">
      <formula>K112&lt;G112</formula>
    </cfRule>
    <cfRule type="expression" dxfId="546" priority="88">
      <formula>K112&gt;G112</formula>
    </cfRule>
  </conditionalFormatting>
  <conditionalFormatting sqref="J115">
    <cfRule type="expression" dxfId="545" priority="89">
      <formula>K115&lt;G115</formula>
    </cfRule>
    <cfRule type="expression" dxfId="544" priority="90">
      <formula>K115&gt;G115</formula>
    </cfRule>
  </conditionalFormatting>
  <conditionalFormatting sqref="J117">
    <cfRule type="expression" dxfId="543" priority="91">
      <formula>K117&lt;G117</formula>
    </cfRule>
    <cfRule type="expression" dxfId="542" priority="92">
      <formula>K117&gt;G117</formula>
    </cfRule>
  </conditionalFormatting>
  <conditionalFormatting sqref="J116">
    <cfRule type="expression" dxfId="541" priority="93">
      <formula>K116&lt;G116</formula>
    </cfRule>
    <cfRule type="expression" dxfId="540" priority="94">
      <formula>K116&gt;G116</formula>
    </cfRule>
  </conditionalFormatting>
  <conditionalFormatting sqref="J120">
    <cfRule type="expression" dxfId="539" priority="95">
      <formula>K120&lt;G120</formula>
    </cfRule>
    <cfRule type="expression" dxfId="538" priority="96">
      <formula>K120&gt;G120</formula>
    </cfRule>
  </conditionalFormatting>
  <conditionalFormatting sqref="J122">
    <cfRule type="expression" dxfId="537" priority="97">
      <formula>K122&lt;G122</formula>
    </cfRule>
    <cfRule type="expression" dxfId="536" priority="98">
      <formula>K122&gt;G122</formula>
    </cfRule>
  </conditionalFormatting>
  <conditionalFormatting sqref="J121">
    <cfRule type="expression" dxfId="535" priority="99">
      <formula>K121&lt;G121</formula>
    </cfRule>
    <cfRule type="expression" dxfId="534" priority="100">
      <formula>K121&gt;G121</formula>
    </cfRule>
  </conditionalFormatting>
  <conditionalFormatting sqref="J124">
    <cfRule type="expression" dxfId="533" priority="101">
      <formula>K124&lt;G124</formula>
    </cfRule>
    <cfRule type="expression" dxfId="532" priority="102">
      <formula>K124&gt;G124</formula>
    </cfRule>
  </conditionalFormatting>
  <conditionalFormatting sqref="J126">
    <cfRule type="expression" dxfId="531" priority="103">
      <formula>K126&lt;G126</formula>
    </cfRule>
    <cfRule type="expression" dxfId="530" priority="104">
      <formula>K126&gt;G126</formula>
    </cfRule>
  </conditionalFormatting>
  <conditionalFormatting sqref="J125">
    <cfRule type="expression" dxfId="529" priority="105">
      <formula>K125&lt;G125</formula>
    </cfRule>
    <cfRule type="expression" dxfId="528" priority="106">
      <formula>K125&gt;G125</formula>
    </cfRule>
  </conditionalFormatting>
  <conditionalFormatting sqref="J130">
    <cfRule type="expression" dxfId="527" priority="107">
      <formula>K130&lt;G130</formula>
    </cfRule>
    <cfRule type="expression" dxfId="526" priority="108">
      <formula>K130&gt;G130</formula>
    </cfRule>
  </conditionalFormatting>
  <conditionalFormatting sqref="J132">
    <cfRule type="expression" dxfId="525" priority="109">
      <formula>K132&lt;G132</formula>
    </cfRule>
    <cfRule type="expression" dxfId="524" priority="110">
      <formula>K132&gt;G132</formula>
    </cfRule>
  </conditionalFormatting>
  <conditionalFormatting sqref="J131">
    <cfRule type="expression" dxfId="523" priority="111">
      <formula>K131&lt;G131</formula>
    </cfRule>
    <cfRule type="expression" dxfId="522" priority="112">
      <formula>K131&gt;G131</formula>
    </cfRule>
  </conditionalFormatting>
  <conditionalFormatting sqref="J134">
    <cfRule type="expression" dxfId="521" priority="113">
      <formula>K134&lt;G134</formula>
    </cfRule>
    <cfRule type="expression" dxfId="520" priority="114">
      <formula>K134&gt;G134</formula>
    </cfRule>
  </conditionalFormatting>
  <conditionalFormatting sqref="J136">
    <cfRule type="expression" dxfId="519" priority="115">
      <formula>K136&lt;G136</formula>
    </cfRule>
    <cfRule type="expression" dxfId="518" priority="116">
      <formula>K136&gt;G136</formula>
    </cfRule>
  </conditionalFormatting>
  <conditionalFormatting sqref="J135">
    <cfRule type="expression" dxfId="517" priority="117">
      <formula>K135&lt;G135</formula>
    </cfRule>
    <cfRule type="expression" dxfId="516" priority="118">
      <formula>K135&gt;G135</formula>
    </cfRule>
  </conditionalFormatting>
  <conditionalFormatting sqref="J139">
    <cfRule type="expression" dxfId="515" priority="119">
      <formula>K139&lt;G139</formula>
    </cfRule>
    <cfRule type="expression" dxfId="514" priority="120">
      <formula>K139&gt;G139</formula>
    </cfRule>
  </conditionalFormatting>
  <conditionalFormatting sqref="J141">
    <cfRule type="expression" dxfId="513" priority="121">
      <formula>K141&lt;G141</formula>
    </cfRule>
    <cfRule type="expression" dxfId="512" priority="122">
      <formula>K141&gt;G141</formula>
    </cfRule>
  </conditionalFormatting>
  <conditionalFormatting sqref="J140">
    <cfRule type="expression" dxfId="511" priority="123">
      <formula>K140&lt;G140</formula>
    </cfRule>
    <cfRule type="expression" dxfId="510" priority="124">
      <formula>K140&gt;G140</formula>
    </cfRule>
  </conditionalFormatting>
  <conditionalFormatting sqref="J143">
    <cfRule type="expression" dxfId="509" priority="125">
      <formula>K143&lt;G143</formula>
    </cfRule>
    <cfRule type="expression" dxfId="508" priority="126">
      <formula>K143&gt;G143</formula>
    </cfRule>
  </conditionalFormatting>
  <conditionalFormatting sqref="J145">
    <cfRule type="expression" dxfId="507" priority="127">
      <formula>K145&lt;G145</formula>
    </cfRule>
    <cfRule type="expression" dxfId="506" priority="128">
      <formula>K145&gt;G145</formula>
    </cfRule>
  </conditionalFormatting>
  <conditionalFormatting sqref="J144">
    <cfRule type="expression" dxfId="505" priority="129">
      <formula>K144&lt;G144</formula>
    </cfRule>
    <cfRule type="expression" dxfId="504" priority="130">
      <formula>K144&gt;G144</formula>
    </cfRule>
  </conditionalFormatting>
  <conditionalFormatting sqref="J148">
    <cfRule type="expression" dxfId="503" priority="131">
      <formula>K148&lt;G148</formula>
    </cfRule>
    <cfRule type="expression" dxfId="502" priority="132">
      <formula>K148&gt;G148</formula>
    </cfRule>
  </conditionalFormatting>
  <conditionalFormatting sqref="J150">
    <cfRule type="expression" dxfId="501" priority="133">
      <formula>K150&lt;G150</formula>
    </cfRule>
    <cfRule type="expression" dxfId="500" priority="134">
      <formula>K150&gt;G150</formula>
    </cfRule>
  </conditionalFormatting>
  <conditionalFormatting sqref="J149">
    <cfRule type="expression" dxfId="499" priority="135">
      <formula>K149&lt;G149</formula>
    </cfRule>
    <cfRule type="expression" dxfId="498" priority="136">
      <formula>K149&gt;G149</formula>
    </cfRule>
  </conditionalFormatting>
  <conditionalFormatting sqref="J152">
    <cfRule type="expression" dxfId="497" priority="137">
      <formula>K152&lt;G152</formula>
    </cfRule>
    <cfRule type="expression" dxfId="496" priority="138">
      <formula>K152&gt;G152</formula>
    </cfRule>
  </conditionalFormatting>
  <conditionalFormatting sqref="J154">
    <cfRule type="expression" dxfId="495" priority="139">
      <formula>K154&lt;G154</formula>
    </cfRule>
    <cfRule type="expression" dxfId="494" priority="140">
      <formula>K154&gt;G154</formula>
    </cfRule>
  </conditionalFormatting>
  <conditionalFormatting sqref="R74">
    <cfRule type="expression" dxfId="493" priority="141">
      <formula>S74&lt;O74</formula>
    </cfRule>
    <cfRule type="expression" dxfId="492" priority="142">
      <formula>S74&gt;O74</formula>
    </cfRule>
  </conditionalFormatting>
  <conditionalFormatting sqref="R76">
    <cfRule type="expression" dxfId="491" priority="143">
      <formula>S76&lt;O76</formula>
    </cfRule>
    <cfRule type="expression" dxfId="490" priority="144">
      <formula>S76&gt;O76</formula>
    </cfRule>
  </conditionalFormatting>
  <conditionalFormatting sqref="R75">
    <cfRule type="expression" dxfId="489" priority="145">
      <formula>S75&lt;O75</formula>
    </cfRule>
    <cfRule type="expression" dxfId="488" priority="146">
      <formula>S75&gt;O75</formula>
    </cfRule>
  </conditionalFormatting>
  <conditionalFormatting sqref="R78">
    <cfRule type="expression" dxfId="487" priority="147">
      <formula>S78&lt;O78</formula>
    </cfRule>
    <cfRule type="expression" dxfId="486" priority="148">
      <formula>S78&gt;O78</formula>
    </cfRule>
  </conditionalFormatting>
  <conditionalFormatting sqref="R79">
    <cfRule type="expression" dxfId="485" priority="149">
      <formula>S79&lt;O79</formula>
    </cfRule>
    <cfRule type="expression" dxfId="484" priority="150">
      <formula>S79&gt;O79</formula>
    </cfRule>
  </conditionalFormatting>
  <conditionalFormatting sqref="R83">
    <cfRule type="expression" dxfId="483" priority="151">
      <formula>S83&lt;O83</formula>
    </cfRule>
    <cfRule type="expression" dxfId="482" priority="152">
      <formula>S83&gt;O83</formula>
    </cfRule>
  </conditionalFormatting>
  <conditionalFormatting sqref="R85">
    <cfRule type="expression" dxfId="481" priority="153">
      <formula>S85&lt;O85</formula>
    </cfRule>
    <cfRule type="expression" dxfId="480" priority="154">
      <formula>S85&gt;O85</formula>
    </cfRule>
  </conditionalFormatting>
  <conditionalFormatting sqref="R84">
    <cfRule type="expression" dxfId="479" priority="155">
      <formula>S84&lt;O84</formula>
    </cfRule>
    <cfRule type="expression" dxfId="478" priority="156">
      <formula>S84&gt;O84</formula>
    </cfRule>
  </conditionalFormatting>
  <conditionalFormatting sqref="R87">
    <cfRule type="expression" dxfId="477" priority="157">
      <formula>S87&lt;O87</formula>
    </cfRule>
    <cfRule type="expression" dxfId="476" priority="158">
      <formula>S87&gt;O87</formula>
    </cfRule>
  </conditionalFormatting>
  <conditionalFormatting sqref="R89">
    <cfRule type="expression" dxfId="475" priority="159">
      <formula>S89&lt;O89</formula>
    </cfRule>
    <cfRule type="expression" dxfId="474" priority="160">
      <formula>S89&gt;O89</formula>
    </cfRule>
  </conditionalFormatting>
  <conditionalFormatting sqref="R88">
    <cfRule type="expression" dxfId="473" priority="161">
      <formula>S88&lt;O88</formula>
    </cfRule>
    <cfRule type="expression" dxfId="472" priority="162">
      <formula>S88&gt;O88</formula>
    </cfRule>
  </conditionalFormatting>
  <conditionalFormatting sqref="R92">
    <cfRule type="expression" dxfId="471" priority="163">
      <formula>S92&lt;O92</formula>
    </cfRule>
    <cfRule type="expression" dxfId="470" priority="164">
      <formula>S92&gt;O92</formula>
    </cfRule>
  </conditionalFormatting>
  <conditionalFormatting sqref="R94">
    <cfRule type="expression" dxfId="469" priority="165">
      <formula>S94&lt;O94</formula>
    </cfRule>
    <cfRule type="expression" dxfId="468" priority="166">
      <formula>S94&gt;O94</formula>
    </cfRule>
  </conditionalFormatting>
  <conditionalFormatting sqref="R93">
    <cfRule type="expression" dxfId="467" priority="167">
      <formula>S93&lt;O93</formula>
    </cfRule>
    <cfRule type="expression" dxfId="466" priority="168">
      <formula>S93&gt;O93</formula>
    </cfRule>
  </conditionalFormatting>
  <conditionalFormatting sqref="R96">
    <cfRule type="expression" dxfId="465" priority="169">
      <formula>S96&lt;O96</formula>
    </cfRule>
    <cfRule type="expression" dxfId="464" priority="170">
      <formula>S96&gt;O96</formula>
    </cfRule>
  </conditionalFormatting>
  <conditionalFormatting sqref="R97">
    <cfRule type="expression" dxfId="463" priority="171">
      <formula>S97&lt;O97</formula>
    </cfRule>
    <cfRule type="expression" dxfId="462" priority="172">
      <formula>S97&gt;O97</formula>
    </cfRule>
  </conditionalFormatting>
  <conditionalFormatting sqref="R80">
    <cfRule type="expression" dxfId="461" priority="173">
      <formula>S80&lt;O80</formula>
    </cfRule>
    <cfRule type="expression" dxfId="460" priority="174">
      <formula>S80&gt;O80</formula>
    </cfRule>
  </conditionalFormatting>
  <conditionalFormatting sqref="R98">
    <cfRule type="expression" dxfId="459" priority="175">
      <formula>S98&lt;O98</formula>
    </cfRule>
    <cfRule type="expression" dxfId="458" priority="176">
      <formula>S98&gt;O98</formula>
    </cfRule>
  </conditionalFormatting>
  <conditionalFormatting sqref="J18">
    <cfRule type="expression" dxfId="457" priority="177">
      <formula>K18&lt;G18</formula>
    </cfRule>
    <cfRule type="expression" dxfId="456" priority="178">
      <formula>K18&gt;G18</formula>
    </cfRule>
  </conditionalFormatting>
  <conditionalFormatting sqref="N153">
    <cfRule type="expression" dxfId="455" priority="179">
      <formula>O153&lt;K153</formula>
    </cfRule>
    <cfRule type="expression" dxfId="454" priority="180">
      <formula>O153&gt;K153</formula>
    </cfRule>
  </conditionalFormatting>
  <conditionalFormatting sqref="N130">
    <cfRule type="expression" dxfId="453" priority="181">
      <formula>O130&lt;K130</formula>
    </cfRule>
    <cfRule type="expression" dxfId="452" priority="182">
      <formula>O130&gt;K130</formula>
    </cfRule>
  </conditionalFormatting>
  <conditionalFormatting sqref="N132">
    <cfRule type="expression" dxfId="451" priority="183">
      <formula>O132&lt;K132</formula>
    </cfRule>
    <cfRule type="expression" dxfId="450" priority="184">
      <formula>O132&gt;K132</formula>
    </cfRule>
  </conditionalFormatting>
  <conditionalFormatting sqref="N131">
    <cfRule type="expression" dxfId="449" priority="185">
      <formula>O131&lt;K131</formula>
    </cfRule>
    <cfRule type="expression" dxfId="448" priority="186">
      <formula>O131&gt;K131</formula>
    </cfRule>
  </conditionalFormatting>
  <conditionalFormatting sqref="N134">
    <cfRule type="expression" dxfId="447" priority="187">
      <formula>O134&lt;K134</formula>
    </cfRule>
    <cfRule type="expression" dxfId="446" priority="188">
      <formula>O134&gt;K134</formula>
    </cfRule>
  </conditionalFormatting>
  <conditionalFormatting sqref="N136">
    <cfRule type="expression" dxfId="445" priority="189">
      <formula>O136&lt;K136</formula>
    </cfRule>
    <cfRule type="expression" dxfId="444" priority="190">
      <formula>O136&gt;K136</formula>
    </cfRule>
  </conditionalFormatting>
  <conditionalFormatting sqref="N135">
    <cfRule type="expression" dxfId="443" priority="191">
      <formula>O135&lt;K135</formula>
    </cfRule>
    <cfRule type="expression" dxfId="442" priority="192">
      <formula>O135&gt;K135</formula>
    </cfRule>
  </conditionalFormatting>
  <conditionalFormatting sqref="N139">
    <cfRule type="expression" dxfId="441" priority="193">
      <formula>O139&lt;K139</formula>
    </cfRule>
    <cfRule type="expression" dxfId="440" priority="194">
      <formula>O139&gt;K139</formula>
    </cfRule>
  </conditionalFormatting>
  <conditionalFormatting sqref="N141">
    <cfRule type="expression" dxfId="439" priority="195">
      <formula>O141&lt;K141</formula>
    </cfRule>
    <cfRule type="expression" dxfId="438" priority="196">
      <formula>O141&gt;K141</formula>
    </cfRule>
  </conditionalFormatting>
  <conditionalFormatting sqref="N140">
    <cfRule type="expression" dxfId="437" priority="197">
      <formula>O140&lt;K140</formula>
    </cfRule>
    <cfRule type="expression" dxfId="436" priority="198">
      <formula>O140&gt;K140</formula>
    </cfRule>
  </conditionalFormatting>
  <conditionalFormatting sqref="N143">
    <cfRule type="expression" dxfId="435" priority="199">
      <formula>O143&lt;K143</formula>
    </cfRule>
    <cfRule type="expression" dxfId="434" priority="200">
      <formula>O143&gt;K143</formula>
    </cfRule>
  </conditionalFormatting>
  <conditionalFormatting sqref="N145">
    <cfRule type="expression" dxfId="433" priority="201">
      <formula>O145&lt;K145</formula>
    </cfRule>
    <cfRule type="expression" dxfId="432" priority="202">
      <formula>O145&gt;K145</formula>
    </cfRule>
  </conditionalFormatting>
  <conditionalFormatting sqref="N144">
    <cfRule type="expression" dxfId="431" priority="203">
      <formula>O144&lt;K144</formula>
    </cfRule>
    <cfRule type="expression" dxfId="430" priority="204">
      <formula>O144&gt;K144</formula>
    </cfRule>
  </conditionalFormatting>
  <conditionalFormatting sqref="N148">
    <cfRule type="expression" dxfId="429" priority="205">
      <formula>O148&lt;K148</formula>
    </cfRule>
    <cfRule type="expression" dxfId="428" priority="206">
      <formula>O148&gt;K148</formula>
    </cfRule>
  </conditionalFormatting>
  <conditionalFormatting sqref="N150">
    <cfRule type="expression" dxfId="427" priority="207">
      <formula>O150&lt;K150</formula>
    </cfRule>
    <cfRule type="expression" dxfId="426" priority="208">
      <formula>O150&gt;K150</formula>
    </cfRule>
  </conditionalFormatting>
  <conditionalFormatting sqref="N149">
    <cfRule type="expression" dxfId="425" priority="209">
      <formula>O149&lt;K149</formula>
    </cfRule>
    <cfRule type="expression" dxfId="424" priority="210">
      <formula>O149&gt;K149</formula>
    </cfRule>
  </conditionalFormatting>
  <conditionalFormatting sqref="N152">
    <cfRule type="expression" dxfId="423" priority="211">
      <formula>O152&lt;K152</formula>
    </cfRule>
    <cfRule type="expression" dxfId="422" priority="212">
      <formula>O152&gt;K152</formula>
    </cfRule>
  </conditionalFormatting>
  <conditionalFormatting sqref="N154">
    <cfRule type="expression" dxfId="421" priority="213">
      <formula>O154&lt;K154</formula>
    </cfRule>
    <cfRule type="expression" dxfId="420" priority="214">
      <formula>O154&gt;K154</formula>
    </cfRule>
  </conditionalFormatting>
  <conditionalFormatting sqref="R153">
    <cfRule type="expression" dxfId="419" priority="215">
      <formula>S153&lt;O153</formula>
    </cfRule>
    <cfRule type="expression" dxfId="418" priority="216">
      <formula>S153&gt;O153</formula>
    </cfRule>
  </conditionalFormatting>
  <conditionalFormatting sqref="R130">
    <cfRule type="expression" dxfId="417" priority="217">
      <formula>S130&lt;O130</formula>
    </cfRule>
    <cfRule type="expression" dxfId="416" priority="218">
      <formula>S130&gt;O130</formula>
    </cfRule>
  </conditionalFormatting>
  <conditionalFormatting sqref="R132">
    <cfRule type="expression" dxfId="415" priority="219">
      <formula>S132&lt;O132</formula>
    </cfRule>
    <cfRule type="expression" dxfId="414" priority="220">
      <formula>S132&gt;O132</formula>
    </cfRule>
  </conditionalFormatting>
  <conditionalFormatting sqref="R131">
    <cfRule type="expression" dxfId="413" priority="221">
      <formula>S131&lt;O131</formula>
    </cfRule>
    <cfRule type="expression" dxfId="412" priority="222">
      <formula>S131&gt;O131</formula>
    </cfRule>
  </conditionalFormatting>
  <conditionalFormatting sqref="R134">
    <cfRule type="expression" dxfId="411" priority="223">
      <formula>S134&lt;O134</formula>
    </cfRule>
    <cfRule type="expression" dxfId="410" priority="224">
      <formula>S134&gt;O134</formula>
    </cfRule>
  </conditionalFormatting>
  <conditionalFormatting sqref="R136">
    <cfRule type="expression" dxfId="409" priority="225">
      <formula>S136&lt;O136</formula>
    </cfRule>
    <cfRule type="expression" dxfId="408" priority="226">
      <formula>S136&gt;O136</formula>
    </cfRule>
  </conditionalFormatting>
  <conditionalFormatting sqref="R135">
    <cfRule type="expression" dxfId="407" priority="227">
      <formula>S135&lt;O135</formula>
    </cfRule>
    <cfRule type="expression" dxfId="406" priority="228">
      <formula>S135&gt;O135</formula>
    </cfRule>
  </conditionalFormatting>
  <conditionalFormatting sqref="R139">
    <cfRule type="expression" dxfId="405" priority="229">
      <formula>S139&lt;O139</formula>
    </cfRule>
    <cfRule type="expression" dxfId="404" priority="230">
      <formula>S139&gt;O139</formula>
    </cfRule>
  </conditionalFormatting>
  <conditionalFormatting sqref="R141">
    <cfRule type="expression" dxfId="403" priority="231">
      <formula>S141&lt;O141</formula>
    </cfRule>
    <cfRule type="expression" dxfId="402" priority="232">
      <formula>S141&gt;O141</formula>
    </cfRule>
  </conditionalFormatting>
  <conditionalFormatting sqref="R140">
    <cfRule type="expression" dxfId="401" priority="233">
      <formula>S140&lt;O140</formula>
    </cfRule>
    <cfRule type="expression" dxfId="400" priority="234">
      <formula>S140&gt;O140</formula>
    </cfRule>
  </conditionalFormatting>
  <conditionalFormatting sqref="R143">
    <cfRule type="expression" dxfId="399" priority="235">
      <formula>S143&lt;O143</formula>
    </cfRule>
    <cfRule type="expression" dxfId="398" priority="236">
      <formula>S143&gt;O143</formula>
    </cfRule>
  </conditionalFormatting>
  <conditionalFormatting sqref="R145">
    <cfRule type="expression" dxfId="397" priority="237">
      <formula>S145&lt;O145</formula>
    </cfRule>
    <cfRule type="expression" dxfId="396" priority="238">
      <formula>S145&gt;O145</formula>
    </cfRule>
  </conditionalFormatting>
  <conditionalFormatting sqref="R144">
    <cfRule type="expression" dxfId="395" priority="239">
      <formula>S144&lt;O144</formula>
    </cfRule>
    <cfRule type="expression" dxfId="394" priority="240">
      <formula>S144&gt;O144</formula>
    </cfRule>
  </conditionalFormatting>
  <conditionalFormatting sqref="R148">
    <cfRule type="expression" dxfId="393" priority="241">
      <formula>S148&lt;O148</formula>
    </cfRule>
    <cfRule type="expression" dxfId="392" priority="242">
      <formula>S148&gt;O148</formula>
    </cfRule>
  </conditionalFormatting>
  <conditionalFormatting sqref="R150">
    <cfRule type="expression" dxfId="391" priority="243">
      <formula>S150&lt;O150</formula>
    </cfRule>
    <cfRule type="expression" dxfId="390" priority="244">
      <formula>S150&gt;O150</formula>
    </cfRule>
  </conditionalFormatting>
  <conditionalFormatting sqref="R149">
    <cfRule type="expression" dxfId="389" priority="245">
      <formula>S149&lt;O149</formula>
    </cfRule>
    <cfRule type="expression" dxfId="388" priority="246">
      <formula>S149&gt;O149</formula>
    </cfRule>
  </conditionalFormatting>
  <conditionalFormatting sqref="R152">
    <cfRule type="expression" dxfId="387" priority="247">
      <formula>S152&lt;O152</formula>
    </cfRule>
    <cfRule type="expression" dxfId="386" priority="248">
      <formula>S152&gt;O152</formula>
    </cfRule>
  </conditionalFormatting>
  <conditionalFormatting sqref="R154">
    <cfRule type="expression" dxfId="385" priority="249">
      <formula>S154&lt;O154</formula>
    </cfRule>
    <cfRule type="expression" dxfId="384" priority="250">
      <formula>S154&gt;O154</formula>
    </cfRule>
  </conditionalFormatting>
  <conditionalFormatting sqref="V153">
    <cfRule type="expression" dxfId="383" priority="251">
      <formula>W153&lt;S153</formula>
    </cfRule>
    <cfRule type="expression" dxfId="382" priority="252">
      <formula>W153&gt;S153</formula>
    </cfRule>
  </conditionalFormatting>
  <conditionalFormatting sqref="V130">
    <cfRule type="expression" dxfId="381" priority="253">
      <formula>W130&lt;S130</formula>
    </cfRule>
    <cfRule type="expression" dxfId="380" priority="254">
      <formula>W130&gt;S130</formula>
    </cfRule>
  </conditionalFormatting>
  <conditionalFormatting sqref="V132">
    <cfRule type="expression" dxfId="379" priority="255">
      <formula>W132&lt;S132</formula>
    </cfRule>
    <cfRule type="expression" dxfId="378" priority="256">
      <formula>W132&gt;S132</formula>
    </cfRule>
  </conditionalFormatting>
  <conditionalFormatting sqref="V131">
    <cfRule type="expression" dxfId="377" priority="257">
      <formula>W131&lt;S131</formula>
    </cfRule>
    <cfRule type="expression" dxfId="376" priority="258">
      <formula>W131&gt;S131</formula>
    </cfRule>
  </conditionalFormatting>
  <conditionalFormatting sqref="V134">
    <cfRule type="expression" dxfId="375" priority="259">
      <formula>W134&lt;S134</formula>
    </cfRule>
    <cfRule type="expression" dxfId="374" priority="260">
      <formula>W134&gt;S134</formula>
    </cfRule>
  </conditionalFormatting>
  <conditionalFormatting sqref="V136">
    <cfRule type="expression" dxfId="373" priority="261">
      <formula>W136&lt;S136</formula>
    </cfRule>
    <cfRule type="expression" dxfId="372" priority="262">
      <formula>W136&gt;S136</formula>
    </cfRule>
  </conditionalFormatting>
  <conditionalFormatting sqref="V135">
    <cfRule type="expression" dxfId="371" priority="263">
      <formula>W135&lt;S135</formula>
    </cfRule>
    <cfRule type="expression" dxfId="370" priority="264">
      <formula>W135&gt;S135</formula>
    </cfRule>
  </conditionalFormatting>
  <conditionalFormatting sqref="V139">
    <cfRule type="expression" dxfId="369" priority="265">
      <formula>W139&lt;S139</formula>
    </cfRule>
    <cfRule type="expression" dxfId="368" priority="266">
      <formula>W139&gt;S139</formula>
    </cfRule>
  </conditionalFormatting>
  <conditionalFormatting sqref="V141">
    <cfRule type="expression" dxfId="367" priority="267">
      <formula>W141&lt;S141</formula>
    </cfRule>
    <cfRule type="expression" dxfId="366" priority="268">
      <formula>W141&gt;S141</formula>
    </cfRule>
  </conditionalFormatting>
  <conditionalFormatting sqref="V140">
    <cfRule type="expression" dxfId="365" priority="269">
      <formula>W140&lt;S140</formula>
    </cfRule>
    <cfRule type="expression" dxfId="364" priority="270">
      <formula>W140&gt;S140</formula>
    </cfRule>
  </conditionalFormatting>
  <conditionalFormatting sqref="V143">
    <cfRule type="expression" dxfId="363" priority="271">
      <formula>W143&lt;S143</formula>
    </cfRule>
    <cfRule type="expression" dxfId="362" priority="272">
      <formula>W143&gt;S143</formula>
    </cfRule>
  </conditionalFormatting>
  <conditionalFormatting sqref="V145">
    <cfRule type="expression" dxfId="361" priority="273">
      <formula>W145&lt;S145</formula>
    </cfRule>
    <cfRule type="expression" dxfId="360" priority="274">
      <formula>W145&gt;S145</formula>
    </cfRule>
  </conditionalFormatting>
  <conditionalFormatting sqref="V144">
    <cfRule type="expression" dxfId="359" priority="275">
      <formula>W144&lt;S144</formula>
    </cfRule>
    <cfRule type="expression" dxfId="358" priority="276">
      <formula>W144&gt;S144</formula>
    </cfRule>
  </conditionalFormatting>
  <conditionalFormatting sqref="V148">
    <cfRule type="expression" dxfId="357" priority="277">
      <formula>W148&lt;S148</formula>
    </cfRule>
    <cfRule type="expression" dxfId="356" priority="278">
      <formula>W148&gt;S148</formula>
    </cfRule>
  </conditionalFormatting>
  <conditionalFormatting sqref="V150">
    <cfRule type="expression" dxfId="355" priority="279">
      <formula>W150&lt;S150</formula>
    </cfRule>
    <cfRule type="expression" dxfId="354" priority="280">
      <formula>W150&gt;S150</formula>
    </cfRule>
  </conditionalFormatting>
  <conditionalFormatting sqref="V149">
    <cfRule type="expression" dxfId="353" priority="281">
      <formula>W149&lt;S149</formula>
    </cfRule>
    <cfRule type="expression" dxfId="352" priority="282">
      <formula>W149&gt;S149</formula>
    </cfRule>
  </conditionalFormatting>
  <conditionalFormatting sqref="V152">
    <cfRule type="expression" dxfId="351" priority="283">
      <formula>W152&lt;S152</formula>
    </cfRule>
    <cfRule type="expression" dxfId="350" priority="284">
      <formula>W152&gt;S152</formula>
    </cfRule>
  </conditionalFormatting>
  <conditionalFormatting sqref="V154">
    <cfRule type="expression" dxfId="349" priority="285">
      <formula>W154&lt;S154</formula>
    </cfRule>
    <cfRule type="expression" dxfId="348" priority="286">
      <formula>W154&gt;S154</formula>
    </cfRule>
  </conditionalFormatting>
  <conditionalFormatting sqref="N102">
    <cfRule type="expression" dxfId="347" priority="287">
      <formula>O102&lt;K102</formula>
    </cfRule>
    <cfRule type="expression" dxfId="346" priority="288">
      <formula>O102&gt;K102</formula>
    </cfRule>
  </conditionalFormatting>
  <conditionalFormatting sqref="N104">
    <cfRule type="expression" dxfId="345" priority="289">
      <formula>O104&lt;K104</formula>
    </cfRule>
    <cfRule type="expression" dxfId="344" priority="290">
      <formula>O104&gt;K104</formula>
    </cfRule>
  </conditionalFormatting>
  <conditionalFormatting sqref="N103">
    <cfRule type="expression" dxfId="343" priority="291">
      <formula>O103&lt;K103</formula>
    </cfRule>
    <cfRule type="expression" dxfId="342" priority="292">
      <formula>O103&gt;K103</formula>
    </cfRule>
  </conditionalFormatting>
  <conditionalFormatting sqref="N106">
    <cfRule type="expression" dxfId="341" priority="293">
      <formula>O106&lt;K106</formula>
    </cfRule>
    <cfRule type="expression" dxfId="340" priority="294">
      <formula>O106&gt;K106</formula>
    </cfRule>
  </conditionalFormatting>
  <conditionalFormatting sqref="N108">
    <cfRule type="expression" dxfId="339" priority="295">
      <formula>O108&lt;K108</formula>
    </cfRule>
    <cfRule type="expression" dxfId="338" priority="296">
      <formula>O108&gt;K108</formula>
    </cfRule>
  </conditionalFormatting>
  <conditionalFormatting sqref="N107">
    <cfRule type="expression" dxfId="337" priority="297">
      <formula>O107&lt;K107</formula>
    </cfRule>
    <cfRule type="expression" dxfId="336" priority="298">
      <formula>O107&gt;K107</formula>
    </cfRule>
  </conditionalFormatting>
  <conditionalFormatting sqref="N111">
    <cfRule type="expression" dxfId="335" priority="299">
      <formula>O111&lt;K111</formula>
    </cfRule>
    <cfRule type="expression" dxfId="334" priority="300">
      <formula>O111&gt;K111</formula>
    </cfRule>
  </conditionalFormatting>
  <conditionalFormatting sqref="N113">
    <cfRule type="expression" dxfId="333" priority="301">
      <formula>O113&lt;K113</formula>
    </cfRule>
    <cfRule type="expression" dxfId="332" priority="302">
      <formula>O113&gt;K113</formula>
    </cfRule>
  </conditionalFormatting>
  <conditionalFormatting sqref="N112">
    <cfRule type="expression" dxfId="331" priority="303">
      <formula>O112&lt;K112</formula>
    </cfRule>
    <cfRule type="expression" dxfId="330" priority="304">
      <formula>O112&gt;K112</formula>
    </cfRule>
  </conditionalFormatting>
  <conditionalFormatting sqref="N115">
    <cfRule type="expression" dxfId="329" priority="305">
      <formula>O115&lt;K115</formula>
    </cfRule>
    <cfRule type="expression" dxfId="328" priority="306">
      <formula>O115&gt;K115</formula>
    </cfRule>
  </conditionalFormatting>
  <conditionalFormatting sqref="N117">
    <cfRule type="expression" dxfId="327" priority="307">
      <formula>O117&lt;K117</formula>
    </cfRule>
    <cfRule type="expression" dxfId="326" priority="308">
      <formula>O117&gt;K117</formula>
    </cfRule>
  </conditionalFormatting>
  <conditionalFormatting sqref="N116">
    <cfRule type="expression" dxfId="325" priority="309">
      <formula>O116&lt;K116</formula>
    </cfRule>
    <cfRule type="expression" dxfId="324" priority="310">
      <formula>O116&gt;K116</formula>
    </cfRule>
  </conditionalFormatting>
  <conditionalFormatting sqref="N120">
    <cfRule type="expression" dxfId="323" priority="311">
      <formula>O120&lt;K120</formula>
    </cfRule>
    <cfRule type="expression" dxfId="322" priority="312">
      <formula>O120&gt;K120</formula>
    </cfRule>
  </conditionalFormatting>
  <conditionalFormatting sqref="N122">
    <cfRule type="expression" dxfId="321" priority="313">
      <formula>O122&lt;K122</formula>
    </cfRule>
    <cfRule type="expression" dxfId="320" priority="314">
      <formula>O122&gt;K122</formula>
    </cfRule>
  </conditionalFormatting>
  <conditionalFormatting sqref="N121">
    <cfRule type="expression" dxfId="319" priority="315">
      <formula>O121&lt;K121</formula>
    </cfRule>
    <cfRule type="expression" dxfId="318" priority="316">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9">
      <formula>O126&lt;K126</formula>
    </cfRule>
    <cfRule type="expression" dxfId="314" priority="320">
      <formula>O126&gt;K126</formula>
    </cfRule>
  </conditionalFormatting>
  <conditionalFormatting sqref="N125">
    <cfRule type="expression" dxfId="313" priority="321">
      <formula>O125&lt;K125</formula>
    </cfRule>
    <cfRule type="expression" dxfId="312" priority="322">
      <formula>O125&gt;K125</formula>
    </cfRule>
  </conditionalFormatting>
  <conditionalFormatting sqref="R102">
    <cfRule type="expression" dxfId="311" priority="323">
      <formula>S102&lt;O102</formula>
    </cfRule>
    <cfRule type="expression" dxfId="310" priority="324">
      <formula>S102&gt;O102</formula>
    </cfRule>
  </conditionalFormatting>
  <conditionalFormatting sqref="R104">
    <cfRule type="expression" dxfId="309" priority="325">
      <formula>S104&lt;O104</formula>
    </cfRule>
    <cfRule type="expression" dxfId="308" priority="326">
      <formula>S104&gt;O104</formula>
    </cfRule>
  </conditionalFormatting>
  <conditionalFormatting sqref="R103">
    <cfRule type="expression" dxfId="307" priority="327">
      <formula>S103&lt;O103</formula>
    </cfRule>
    <cfRule type="expression" dxfId="306" priority="328">
      <formula>S103&gt;O103</formula>
    </cfRule>
  </conditionalFormatting>
  <conditionalFormatting sqref="R106">
    <cfRule type="expression" dxfId="305" priority="329">
      <formula>S106&lt;O106</formula>
    </cfRule>
    <cfRule type="expression" dxfId="304" priority="330">
      <formula>S106&gt;O106</formula>
    </cfRule>
  </conditionalFormatting>
  <conditionalFormatting sqref="R108">
    <cfRule type="expression" dxfId="303" priority="331">
      <formula>S108&lt;O108</formula>
    </cfRule>
    <cfRule type="expression" dxfId="302" priority="332">
      <formula>S108&gt;O108</formula>
    </cfRule>
  </conditionalFormatting>
  <conditionalFormatting sqref="R107">
    <cfRule type="expression" dxfId="301" priority="333">
      <formula>S107&lt;O107</formula>
    </cfRule>
    <cfRule type="expression" dxfId="300" priority="334">
      <formula>S107&gt;O107</formula>
    </cfRule>
  </conditionalFormatting>
  <conditionalFormatting sqref="R111">
    <cfRule type="expression" dxfId="299" priority="335">
      <formula>S111&lt;O111</formula>
    </cfRule>
    <cfRule type="expression" dxfId="298" priority="336">
      <formula>S111&gt;O111</formula>
    </cfRule>
  </conditionalFormatting>
  <conditionalFormatting sqref="R113">
    <cfRule type="expression" dxfId="297" priority="337">
      <formula>S113&lt;O113</formula>
    </cfRule>
    <cfRule type="expression" dxfId="296" priority="338">
      <formula>S113&gt;O113</formula>
    </cfRule>
  </conditionalFormatting>
  <conditionalFormatting sqref="R112">
    <cfRule type="expression" dxfId="295" priority="339">
      <formula>S112&lt;O112</formula>
    </cfRule>
    <cfRule type="expression" dxfId="294" priority="340">
      <formula>S112&gt;O112</formula>
    </cfRule>
  </conditionalFormatting>
  <conditionalFormatting sqref="R115">
    <cfRule type="expression" dxfId="293" priority="341">
      <formula>S115&lt;O115</formula>
    </cfRule>
    <cfRule type="expression" dxfId="292" priority="342">
      <formula>S115&gt;O115</formula>
    </cfRule>
  </conditionalFormatting>
  <conditionalFormatting sqref="R117">
    <cfRule type="expression" dxfId="291" priority="343">
      <formula>S117&lt;O117</formula>
    </cfRule>
    <cfRule type="expression" dxfId="290" priority="344">
      <formula>S117&gt;O117</formula>
    </cfRule>
  </conditionalFormatting>
  <conditionalFormatting sqref="R116">
    <cfRule type="expression" dxfId="289" priority="345">
      <formula>S116&lt;O116</formula>
    </cfRule>
    <cfRule type="expression" dxfId="288" priority="346">
      <formula>S116&gt;O116</formula>
    </cfRule>
  </conditionalFormatting>
  <conditionalFormatting sqref="R120">
    <cfRule type="expression" dxfId="287" priority="347">
      <formula>S120&lt;O120</formula>
    </cfRule>
    <cfRule type="expression" dxfId="286" priority="348">
      <formula>S120&gt;O120</formula>
    </cfRule>
  </conditionalFormatting>
  <conditionalFormatting sqref="R122">
    <cfRule type="expression" dxfId="285" priority="349">
      <formula>S122&lt;O122</formula>
    </cfRule>
    <cfRule type="expression" dxfId="284" priority="350">
      <formula>S122&gt;O122</formula>
    </cfRule>
  </conditionalFormatting>
  <conditionalFormatting sqref="R121">
    <cfRule type="expression" dxfId="283" priority="351">
      <formula>S121&lt;O121</formula>
    </cfRule>
    <cfRule type="expression" dxfId="282" priority="352">
      <formula>S121&gt;O121</formula>
    </cfRule>
  </conditionalFormatting>
  <conditionalFormatting sqref="R124">
    <cfRule type="expression" dxfId="281" priority="353">
      <formula>S124&lt;O124</formula>
    </cfRule>
    <cfRule type="expression" dxfId="280" priority="354">
      <formula>S124&gt;O124</formula>
    </cfRule>
  </conditionalFormatting>
  <conditionalFormatting sqref="R126">
    <cfRule type="expression" dxfId="279" priority="355">
      <formula>S126&lt;O126</formula>
    </cfRule>
    <cfRule type="expression" dxfId="278" priority="356">
      <formula>S126&gt;O126</formula>
    </cfRule>
  </conditionalFormatting>
  <conditionalFormatting sqref="R125">
    <cfRule type="expression" dxfId="277" priority="357">
      <formula>S125&lt;O125</formula>
    </cfRule>
    <cfRule type="expression" dxfId="276" priority="358">
      <formula>S125&gt;O125</formula>
    </cfRule>
  </conditionalFormatting>
  <conditionalFormatting sqref="V102">
    <cfRule type="expression" dxfId="275" priority="359">
      <formula>W102&lt;S102</formula>
    </cfRule>
    <cfRule type="expression" dxfId="274" priority="360">
      <formula>W102&gt;S102</formula>
    </cfRule>
  </conditionalFormatting>
  <conditionalFormatting sqref="V104">
    <cfRule type="expression" dxfId="273" priority="361">
      <formula>W104&lt;S104</formula>
    </cfRule>
    <cfRule type="expression" dxfId="272" priority="362">
      <formula>W104&gt;S104</formula>
    </cfRule>
  </conditionalFormatting>
  <conditionalFormatting sqref="V103">
    <cfRule type="expression" dxfId="271" priority="363">
      <formula>W103&lt;S103</formula>
    </cfRule>
    <cfRule type="expression" dxfId="270" priority="364">
      <formula>W103&gt;S103</formula>
    </cfRule>
  </conditionalFormatting>
  <conditionalFormatting sqref="V106">
    <cfRule type="expression" dxfId="269" priority="365">
      <formula>W106&lt;S106</formula>
    </cfRule>
    <cfRule type="expression" dxfId="268" priority="366">
      <formula>W106&gt;S106</formula>
    </cfRule>
  </conditionalFormatting>
  <conditionalFormatting sqref="V108">
    <cfRule type="expression" dxfId="267" priority="367">
      <formula>W108&lt;S108</formula>
    </cfRule>
    <cfRule type="expression" dxfId="266" priority="368">
      <formula>W108&gt;S108</formula>
    </cfRule>
  </conditionalFormatting>
  <conditionalFormatting sqref="V107">
    <cfRule type="expression" dxfId="265" priority="369">
      <formula>W107&lt;S107</formula>
    </cfRule>
    <cfRule type="expression" dxfId="264" priority="370">
      <formula>W107&gt;S107</formula>
    </cfRule>
  </conditionalFormatting>
  <conditionalFormatting sqref="V111">
    <cfRule type="expression" dxfId="263" priority="371">
      <formula>W111&lt;S111</formula>
    </cfRule>
    <cfRule type="expression" dxfId="262" priority="372">
      <formula>W111&gt;S111</formula>
    </cfRule>
  </conditionalFormatting>
  <conditionalFormatting sqref="V113">
    <cfRule type="expression" dxfId="261" priority="373">
      <formula>W113&lt;S113</formula>
    </cfRule>
    <cfRule type="expression" dxfId="260" priority="374">
      <formula>W113&gt;S113</formula>
    </cfRule>
  </conditionalFormatting>
  <conditionalFormatting sqref="V112">
    <cfRule type="expression" dxfId="259" priority="375">
      <formula>W112&lt;S112</formula>
    </cfRule>
    <cfRule type="expression" dxfId="258" priority="376">
      <formula>W112&gt;S112</formula>
    </cfRule>
  </conditionalFormatting>
  <conditionalFormatting sqref="V115">
    <cfRule type="expression" dxfId="257" priority="377">
      <formula>W115&lt;S115</formula>
    </cfRule>
    <cfRule type="expression" dxfId="256" priority="378">
      <formula>W115&gt;S115</formula>
    </cfRule>
  </conditionalFormatting>
  <conditionalFormatting sqref="V117">
    <cfRule type="expression" dxfId="255" priority="379">
      <formula>W117&lt;S117</formula>
    </cfRule>
    <cfRule type="expression" dxfId="254" priority="380">
      <formula>W117&gt;S117</formula>
    </cfRule>
  </conditionalFormatting>
  <conditionalFormatting sqref="V116">
    <cfRule type="expression" dxfId="253" priority="381">
      <formula>W116&lt;S116</formula>
    </cfRule>
    <cfRule type="expression" dxfId="252" priority="382">
      <formula>W116&gt;S116</formula>
    </cfRule>
  </conditionalFormatting>
  <conditionalFormatting sqref="V120">
    <cfRule type="expression" dxfId="251" priority="383">
      <formula>W120&lt;S120</formula>
    </cfRule>
    <cfRule type="expression" dxfId="250" priority="384">
      <formula>W120&gt;S120</formula>
    </cfRule>
  </conditionalFormatting>
  <conditionalFormatting sqref="V122">
    <cfRule type="expression" dxfId="249" priority="385">
      <formula>W122&lt;S122</formula>
    </cfRule>
    <cfRule type="expression" dxfId="248" priority="386">
      <formula>W122&gt;S122</formula>
    </cfRule>
  </conditionalFormatting>
  <conditionalFormatting sqref="V121">
    <cfRule type="expression" dxfId="247" priority="387">
      <formula>W121&lt;S121</formula>
    </cfRule>
    <cfRule type="expression" dxfId="246" priority="388">
      <formula>W121&gt;S121</formula>
    </cfRule>
  </conditionalFormatting>
  <conditionalFormatting sqref="V124">
    <cfRule type="expression" dxfId="245" priority="389">
      <formula>W124&lt;S124</formula>
    </cfRule>
    <cfRule type="expression" dxfId="244" priority="390">
      <formula>W124&gt;S124</formula>
    </cfRule>
  </conditionalFormatting>
  <conditionalFormatting sqref="V126">
    <cfRule type="expression" dxfId="243" priority="391">
      <formula>W126&lt;S126</formula>
    </cfRule>
    <cfRule type="expression" dxfId="242" priority="392">
      <formula>W126&gt;S126</formula>
    </cfRule>
  </conditionalFormatting>
  <conditionalFormatting sqref="V125">
    <cfRule type="expression" dxfId="241" priority="393">
      <formula>W125&lt;S125</formula>
    </cfRule>
    <cfRule type="expression" dxfId="240" priority="394">
      <formula>W125&gt;S125</formula>
    </cfRule>
  </conditionalFormatting>
  <conditionalFormatting sqref="V74">
    <cfRule type="expression" dxfId="239" priority="395">
      <formula>W74&lt;S74</formula>
    </cfRule>
    <cfRule type="expression" dxfId="238" priority="396">
      <formula>W74&gt;S74</formula>
    </cfRule>
  </conditionalFormatting>
  <conditionalFormatting sqref="V76">
    <cfRule type="expression" dxfId="237" priority="397">
      <formula>W76&lt;S76</formula>
    </cfRule>
    <cfRule type="expression" dxfId="236" priority="398">
      <formula>W76&gt;S76</formula>
    </cfRule>
  </conditionalFormatting>
  <conditionalFormatting sqref="V75">
    <cfRule type="expression" dxfId="235" priority="399">
      <formula>W75&lt;S75</formula>
    </cfRule>
    <cfRule type="expression" dxfId="234" priority="400">
      <formula>W75&gt;S75</formula>
    </cfRule>
  </conditionalFormatting>
  <conditionalFormatting sqref="V78">
    <cfRule type="expression" dxfId="233" priority="401">
      <formula>W78&lt;S78</formula>
    </cfRule>
    <cfRule type="expression" dxfId="232" priority="402">
      <formula>W78&gt;S78</formula>
    </cfRule>
  </conditionalFormatting>
  <conditionalFormatting sqref="V79">
    <cfRule type="expression" dxfId="231" priority="403">
      <formula>W79&lt;S79</formula>
    </cfRule>
    <cfRule type="expression" dxfId="230" priority="404">
      <formula>W79&gt;S79</formula>
    </cfRule>
  </conditionalFormatting>
  <conditionalFormatting sqref="V83">
    <cfRule type="expression" dxfId="229" priority="405">
      <formula>W83&lt;S83</formula>
    </cfRule>
    <cfRule type="expression" dxfId="228" priority="406">
      <formula>W83&gt;S83</formula>
    </cfRule>
  </conditionalFormatting>
  <conditionalFormatting sqref="V85">
    <cfRule type="expression" dxfId="227" priority="407">
      <formula>W85&lt;S85</formula>
    </cfRule>
    <cfRule type="expression" dxfId="226" priority="408">
      <formula>W85&gt;S85</formula>
    </cfRule>
  </conditionalFormatting>
  <conditionalFormatting sqref="V84">
    <cfRule type="expression" dxfId="225" priority="409">
      <formula>W84&lt;S84</formula>
    </cfRule>
    <cfRule type="expression" dxfId="224" priority="410">
      <formula>W84&gt;S84</formula>
    </cfRule>
  </conditionalFormatting>
  <conditionalFormatting sqref="V87">
    <cfRule type="expression" dxfId="223" priority="411">
      <formula>W87&lt;S87</formula>
    </cfRule>
    <cfRule type="expression" dxfId="222" priority="412">
      <formula>W87&gt;S87</formula>
    </cfRule>
  </conditionalFormatting>
  <conditionalFormatting sqref="V89">
    <cfRule type="expression" dxfId="221" priority="413">
      <formula>W89&lt;S89</formula>
    </cfRule>
    <cfRule type="expression" dxfId="220" priority="414">
      <formula>W89&gt;S89</formula>
    </cfRule>
  </conditionalFormatting>
  <conditionalFormatting sqref="V88">
    <cfRule type="expression" dxfId="219" priority="415">
      <formula>W88&lt;S88</formula>
    </cfRule>
    <cfRule type="expression" dxfId="218" priority="416">
      <formula>W88&gt;S88</formula>
    </cfRule>
  </conditionalFormatting>
  <conditionalFormatting sqref="V92">
    <cfRule type="expression" dxfId="217" priority="417">
      <formula>W92&lt;S92</formula>
    </cfRule>
    <cfRule type="expression" dxfId="216" priority="418">
      <formula>W92&gt;S92</formula>
    </cfRule>
  </conditionalFormatting>
  <conditionalFormatting sqref="V94">
    <cfRule type="expression" dxfId="215" priority="419">
      <formula>W94&lt;S94</formula>
    </cfRule>
    <cfRule type="expression" dxfId="214" priority="420">
      <formula>W94&gt;S94</formula>
    </cfRule>
  </conditionalFormatting>
  <conditionalFormatting sqref="V93">
    <cfRule type="expression" dxfId="213" priority="421">
      <formula>W93&lt;S93</formula>
    </cfRule>
    <cfRule type="expression" dxfId="212" priority="422">
      <formula>W93&gt;S93</formula>
    </cfRule>
  </conditionalFormatting>
  <conditionalFormatting sqref="V96">
    <cfRule type="expression" dxfId="211" priority="423">
      <formula>W96&lt;S96</formula>
    </cfRule>
    <cfRule type="expression" dxfId="210" priority="424">
      <formula>W96&gt;S96</formula>
    </cfRule>
  </conditionalFormatting>
  <conditionalFormatting sqref="V97">
    <cfRule type="expression" dxfId="209" priority="425">
      <formula>W97&lt;S97</formula>
    </cfRule>
    <cfRule type="expression" dxfId="208" priority="426">
      <formula>W97&gt;S97</formula>
    </cfRule>
  </conditionalFormatting>
  <conditionalFormatting sqref="V80">
    <cfRule type="expression" dxfId="207" priority="427">
      <formula>W80&lt;S80</formula>
    </cfRule>
    <cfRule type="expression" dxfId="206" priority="428">
      <formula>W80&gt;S80</formula>
    </cfRule>
  </conditionalFormatting>
  <conditionalFormatting sqref="V98">
    <cfRule type="expression" dxfId="205" priority="429">
      <formula>W98&lt;S98</formula>
    </cfRule>
    <cfRule type="expression" dxfId="204" priority="430">
      <formula>W98&gt;S98</formula>
    </cfRule>
  </conditionalFormatting>
  <conditionalFormatting sqref="N46">
    <cfRule type="expression" dxfId="203" priority="431">
      <formula>O46&lt;K46</formula>
    </cfRule>
    <cfRule type="expression" dxfId="202" priority="432">
      <formula>O46&gt;K46</formula>
    </cfRule>
  </conditionalFormatting>
  <conditionalFormatting sqref="N48">
    <cfRule type="expression" dxfId="201" priority="433">
      <formula>O48&lt;K48</formula>
    </cfRule>
    <cfRule type="expression" dxfId="200" priority="434">
      <formula>O48&gt;K48</formula>
    </cfRule>
  </conditionalFormatting>
  <conditionalFormatting sqref="N47">
    <cfRule type="expression" dxfId="199" priority="435">
      <formula>O47&lt;K47</formula>
    </cfRule>
    <cfRule type="expression" dxfId="198" priority="436">
      <formula>O47&gt;K47</formula>
    </cfRule>
  </conditionalFormatting>
  <conditionalFormatting sqref="N50">
    <cfRule type="expression" dxfId="197" priority="437">
      <formula>O50&lt;K50</formula>
    </cfRule>
    <cfRule type="expression" dxfId="196" priority="438">
      <formula>O50&gt;K50</formula>
    </cfRule>
  </conditionalFormatting>
  <conditionalFormatting sqref="N52">
    <cfRule type="expression" dxfId="195" priority="439">
      <formula>O52&lt;K52</formula>
    </cfRule>
    <cfRule type="expression" dxfId="194" priority="440">
      <formula>O52&gt;K52</formula>
    </cfRule>
  </conditionalFormatting>
  <conditionalFormatting sqref="N51">
    <cfRule type="expression" dxfId="193" priority="441">
      <formula>O51&lt;K51</formula>
    </cfRule>
    <cfRule type="expression" dxfId="192" priority="442">
      <formula>O51&gt;K51</formula>
    </cfRule>
  </conditionalFormatting>
  <conditionalFormatting sqref="N55:N56">
    <cfRule type="expression" dxfId="191" priority="443">
      <formula>O55&lt;K55</formula>
    </cfRule>
    <cfRule type="expression" dxfId="190" priority="444">
      <formula>O55&gt;K55</formula>
    </cfRule>
  </conditionalFormatting>
  <conditionalFormatting sqref="N57">
    <cfRule type="expression" dxfId="189" priority="445">
      <formula>O57&lt;K57</formula>
    </cfRule>
    <cfRule type="expression" dxfId="188" priority="446">
      <formula>O57&gt;K57</formula>
    </cfRule>
  </conditionalFormatting>
  <conditionalFormatting sqref="N59">
    <cfRule type="expression" dxfId="187" priority="447">
      <formula>O59&lt;K59</formula>
    </cfRule>
    <cfRule type="expression" dxfId="186" priority="448">
      <formula>O59&gt;K59</formula>
    </cfRule>
  </conditionalFormatting>
  <conditionalFormatting sqref="N61">
    <cfRule type="expression" dxfId="185" priority="449">
      <formula>O61&lt;K61</formula>
    </cfRule>
    <cfRule type="expression" dxfId="184" priority="450">
      <formula>O61&gt;K61</formula>
    </cfRule>
  </conditionalFormatting>
  <conditionalFormatting sqref="N60">
    <cfRule type="expression" dxfId="183" priority="451">
      <formula>O60&lt;K60</formula>
    </cfRule>
    <cfRule type="expression" dxfId="182" priority="452">
      <formula>O60&gt;K60</formula>
    </cfRule>
  </conditionalFormatting>
  <conditionalFormatting sqref="N64">
    <cfRule type="expression" dxfId="181" priority="453">
      <formula>O64&lt;K64</formula>
    </cfRule>
    <cfRule type="expression" dxfId="180" priority="454">
      <formula>O64&gt;K64</formula>
    </cfRule>
  </conditionalFormatting>
  <conditionalFormatting sqref="N66">
    <cfRule type="expression" dxfId="179" priority="455">
      <formula>O66&lt;K66</formula>
    </cfRule>
    <cfRule type="expression" dxfId="178" priority="456">
      <formula>O66&gt;K66</formula>
    </cfRule>
  </conditionalFormatting>
  <conditionalFormatting sqref="N65">
    <cfRule type="expression" dxfId="177" priority="457">
      <formula>O65&lt;K65</formula>
    </cfRule>
    <cfRule type="expression" dxfId="176" priority="458">
      <formula>O65&gt;K65</formula>
    </cfRule>
  </conditionalFormatting>
  <conditionalFormatting sqref="N68">
    <cfRule type="expression" dxfId="175" priority="459">
      <formula>O68&lt;K68</formula>
    </cfRule>
    <cfRule type="expression" dxfId="174" priority="460">
      <formula>O68&gt;K68</formula>
    </cfRule>
  </conditionalFormatting>
  <conditionalFormatting sqref="N70">
    <cfRule type="expression" dxfId="173" priority="461">
      <formula>O70&lt;K70</formula>
    </cfRule>
    <cfRule type="expression" dxfId="172" priority="462">
      <formula>O70&gt;K70</formula>
    </cfRule>
  </conditionalFormatting>
  <conditionalFormatting sqref="N69">
    <cfRule type="expression" dxfId="171" priority="463">
      <formula>O69&lt;K69</formula>
    </cfRule>
    <cfRule type="expression" dxfId="170" priority="464">
      <formula>O69&gt;K69</formula>
    </cfRule>
  </conditionalFormatting>
  <conditionalFormatting sqref="R46">
    <cfRule type="expression" dxfId="169" priority="465">
      <formula>S46&lt;O46</formula>
    </cfRule>
    <cfRule type="expression" dxfId="168" priority="466">
      <formula>S46&gt;O46</formula>
    </cfRule>
  </conditionalFormatting>
  <conditionalFormatting sqref="R48">
    <cfRule type="expression" dxfId="167" priority="467">
      <formula>S48&lt;O48</formula>
    </cfRule>
    <cfRule type="expression" dxfId="166" priority="468">
      <formula>S48&gt;O48</formula>
    </cfRule>
  </conditionalFormatting>
  <conditionalFormatting sqref="R47">
    <cfRule type="expression" dxfId="165" priority="469">
      <formula>S47&lt;O47</formula>
    </cfRule>
    <cfRule type="expression" dxfId="164" priority="470">
      <formula>S47&gt;O47</formula>
    </cfRule>
  </conditionalFormatting>
  <conditionalFormatting sqref="R50">
    <cfRule type="expression" dxfId="163" priority="471">
      <formula>S50&lt;O50</formula>
    </cfRule>
    <cfRule type="expression" dxfId="162" priority="472">
      <formula>S50&gt;O50</formula>
    </cfRule>
  </conditionalFormatting>
  <conditionalFormatting sqref="R52">
    <cfRule type="expression" dxfId="161" priority="473">
      <formula>S52&lt;O52</formula>
    </cfRule>
    <cfRule type="expression" dxfId="160" priority="474">
      <formula>S52&gt;O52</formula>
    </cfRule>
  </conditionalFormatting>
  <conditionalFormatting sqref="R51">
    <cfRule type="expression" dxfId="159" priority="475">
      <formula>S51&lt;O51</formula>
    </cfRule>
    <cfRule type="expression" dxfId="158" priority="476">
      <formula>S51&gt;O51</formula>
    </cfRule>
  </conditionalFormatting>
  <conditionalFormatting sqref="R55:R56">
    <cfRule type="expression" dxfId="157" priority="477">
      <formula>S55&lt;O55</formula>
    </cfRule>
    <cfRule type="expression" dxfId="156" priority="478">
      <formula>S55&gt;O55</formula>
    </cfRule>
  </conditionalFormatting>
  <conditionalFormatting sqref="R57">
    <cfRule type="expression" dxfId="155" priority="479">
      <formula>S57&lt;O57</formula>
    </cfRule>
    <cfRule type="expression" dxfId="154" priority="480">
      <formula>S57&gt;O57</formula>
    </cfRule>
  </conditionalFormatting>
  <conditionalFormatting sqref="R59">
    <cfRule type="expression" dxfId="153" priority="481">
      <formula>S59&lt;O59</formula>
    </cfRule>
    <cfRule type="expression" dxfId="152" priority="482">
      <formula>S59&gt;O59</formula>
    </cfRule>
  </conditionalFormatting>
  <conditionalFormatting sqref="R61">
    <cfRule type="expression" dxfId="151" priority="483">
      <formula>S61&lt;O61</formula>
    </cfRule>
    <cfRule type="expression" dxfId="150" priority="484">
      <formula>S61&gt;O61</formula>
    </cfRule>
  </conditionalFormatting>
  <conditionalFormatting sqref="R60">
    <cfRule type="expression" dxfId="149" priority="485">
      <formula>S60&lt;O60</formula>
    </cfRule>
    <cfRule type="expression" dxfId="148" priority="486">
      <formula>S60&gt;O60</formula>
    </cfRule>
  </conditionalFormatting>
  <conditionalFormatting sqref="R64">
    <cfRule type="expression" dxfId="147" priority="487">
      <formula>S64&lt;O64</formula>
    </cfRule>
    <cfRule type="expression" dxfId="146" priority="488">
      <formula>S64&gt;O64</formula>
    </cfRule>
  </conditionalFormatting>
  <conditionalFormatting sqref="R66">
    <cfRule type="expression" dxfId="145" priority="489">
      <formula>S66&lt;O66</formula>
    </cfRule>
    <cfRule type="expression" dxfId="144" priority="490">
      <formula>S66&gt;O66</formula>
    </cfRule>
  </conditionalFormatting>
  <conditionalFormatting sqref="R65">
    <cfRule type="expression" dxfId="143" priority="491">
      <formula>S65&lt;O65</formula>
    </cfRule>
    <cfRule type="expression" dxfId="142" priority="492">
      <formula>S65&gt;O65</formula>
    </cfRule>
  </conditionalFormatting>
  <conditionalFormatting sqref="R68">
    <cfRule type="expression" dxfId="141" priority="493">
      <formula>S68&lt;O68</formula>
    </cfRule>
    <cfRule type="expression" dxfId="140" priority="494">
      <formula>S68&gt;O68</formula>
    </cfRule>
  </conditionalFormatting>
  <conditionalFormatting sqref="R70">
    <cfRule type="expression" dxfId="139" priority="495">
      <formula>S70&lt;O70</formula>
    </cfRule>
    <cfRule type="expression" dxfId="138" priority="496">
      <formula>S70&gt;O70</formula>
    </cfRule>
  </conditionalFormatting>
  <conditionalFormatting sqref="R69">
    <cfRule type="expression" dxfId="137" priority="497">
      <formula>S69&lt;O69</formula>
    </cfRule>
    <cfRule type="expression" dxfId="136" priority="498">
      <formula>S69&gt;O69</formula>
    </cfRule>
  </conditionalFormatting>
  <conditionalFormatting sqref="V46">
    <cfRule type="expression" dxfId="135" priority="499">
      <formula>W46&lt;S46</formula>
    </cfRule>
    <cfRule type="expression" dxfId="134" priority="500">
      <formula>W46&gt;S46</formula>
    </cfRule>
  </conditionalFormatting>
  <conditionalFormatting sqref="V48">
    <cfRule type="expression" dxfId="133" priority="501">
      <formula>W48&lt;S48</formula>
    </cfRule>
    <cfRule type="expression" dxfId="132" priority="502">
      <formula>W48&gt;S48</formula>
    </cfRule>
  </conditionalFormatting>
  <conditionalFormatting sqref="V47">
    <cfRule type="expression" dxfId="131" priority="503">
      <formula>W47&lt;S47</formula>
    </cfRule>
    <cfRule type="expression" dxfId="130" priority="504">
      <formula>W47&gt;S47</formula>
    </cfRule>
  </conditionalFormatting>
  <conditionalFormatting sqref="V50">
    <cfRule type="expression" dxfId="129" priority="505">
      <formula>W50&lt;S50</formula>
    </cfRule>
    <cfRule type="expression" dxfId="128" priority="506">
      <formula>W50&gt;S50</formula>
    </cfRule>
  </conditionalFormatting>
  <conditionalFormatting sqref="V52">
    <cfRule type="expression" dxfId="127" priority="507">
      <formula>W52&lt;S52</formula>
    </cfRule>
    <cfRule type="expression" dxfId="126" priority="508">
      <formula>W52&gt;S52</formula>
    </cfRule>
  </conditionalFormatting>
  <conditionalFormatting sqref="V51">
    <cfRule type="expression" dxfId="125" priority="509">
      <formula>W51&lt;S51</formula>
    </cfRule>
    <cfRule type="expression" dxfId="124" priority="510">
      <formula>W51&gt;S51</formula>
    </cfRule>
  </conditionalFormatting>
  <conditionalFormatting sqref="V55:V56">
    <cfRule type="expression" dxfId="123" priority="511">
      <formula>W55&lt;S55</formula>
    </cfRule>
    <cfRule type="expression" dxfId="122" priority="512">
      <formula>W55&gt;S55</formula>
    </cfRule>
  </conditionalFormatting>
  <conditionalFormatting sqref="V57">
    <cfRule type="expression" dxfId="121" priority="513">
      <formula>W57&lt;S57</formula>
    </cfRule>
    <cfRule type="expression" dxfId="120" priority="514">
      <formula>W57&gt;S57</formula>
    </cfRule>
  </conditionalFormatting>
  <conditionalFormatting sqref="V59">
    <cfRule type="expression" dxfId="119" priority="515">
      <formula>W59&lt;S59</formula>
    </cfRule>
    <cfRule type="expression" dxfId="118" priority="516">
      <formula>W59&gt;S59</formula>
    </cfRule>
  </conditionalFormatting>
  <conditionalFormatting sqref="V61">
    <cfRule type="expression" dxfId="117" priority="517">
      <formula>W61&lt;S61</formula>
    </cfRule>
    <cfRule type="expression" dxfId="116" priority="518">
      <formula>W61&gt;S61</formula>
    </cfRule>
  </conditionalFormatting>
  <conditionalFormatting sqref="V60">
    <cfRule type="expression" dxfId="115" priority="519">
      <formula>W60&lt;S60</formula>
    </cfRule>
    <cfRule type="expression" dxfId="114" priority="520">
      <formula>W60&gt;S60</formula>
    </cfRule>
  </conditionalFormatting>
  <conditionalFormatting sqref="V64">
    <cfRule type="expression" dxfId="113" priority="521">
      <formula>W64&lt;S64</formula>
    </cfRule>
    <cfRule type="expression" dxfId="112" priority="522">
      <formula>W64&gt;S64</formula>
    </cfRule>
  </conditionalFormatting>
  <conditionalFormatting sqref="V66">
    <cfRule type="expression" dxfId="111" priority="523">
      <formula>W66&lt;S66</formula>
    </cfRule>
    <cfRule type="expression" dxfId="110" priority="524">
      <formula>W66&gt;S66</formula>
    </cfRule>
  </conditionalFormatting>
  <conditionalFormatting sqref="V65">
    <cfRule type="expression" dxfId="109" priority="525">
      <formula>W65&lt;S65</formula>
    </cfRule>
    <cfRule type="expression" dxfId="108" priority="526">
      <formula>W65&gt;S65</formula>
    </cfRule>
  </conditionalFormatting>
  <conditionalFormatting sqref="V68">
    <cfRule type="expression" dxfId="107" priority="527">
      <formula>W68&lt;S68</formula>
    </cfRule>
    <cfRule type="expression" dxfId="106" priority="528">
      <formula>W68&gt;S68</formula>
    </cfRule>
  </conditionalFormatting>
  <conditionalFormatting sqref="V70">
    <cfRule type="expression" dxfId="105" priority="529">
      <formula>W70&lt;S70</formula>
    </cfRule>
    <cfRule type="expression" dxfId="104" priority="530">
      <formula>W70&gt;S70</formula>
    </cfRule>
  </conditionalFormatting>
  <conditionalFormatting sqref="V69">
    <cfRule type="expression" dxfId="103" priority="531">
      <formula>W69&lt;S69</formula>
    </cfRule>
    <cfRule type="expression" dxfId="102" priority="532">
      <formula>W69&gt;S69</formula>
    </cfRule>
  </conditionalFormatting>
  <conditionalFormatting sqref="N20">
    <cfRule type="expression" dxfId="101" priority="533">
      <formula>O20&lt;K20</formula>
    </cfRule>
    <cfRule type="expression" dxfId="100" priority="534">
      <formula>O20&gt;K20</formula>
    </cfRule>
  </conditionalFormatting>
  <conditionalFormatting sqref="N19">
    <cfRule type="expression" dxfId="99" priority="535">
      <formula>O19&lt;K19</formula>
    </cfRule>
    <cfRule type="expression" dxfId="98" priority="536">
      <formula>O19&gt;K19</formula>
    </cfRule>
  </conditionalFormatting>
  <conditionalFormatting sqref="N22:N23">
    <cfRule type="expression" dxfId="97" priority="537">
      <formula>O22&lt;K22</formula>
    </cfRule>
    <cfRule type="expression" dxfId="96" priority="538">
      <formula>O22&gt;K22</formula>
    </cfRule>
  </conditionalFormatting>
  <conditionalFormatting sqref="N24">
    <cfRule type="expression" dxfId="95" priority="539">
      <formula>O24&lt;K24</formula>
    </cfRule>
    <cfRule type="expression" dxfId="94" priority="540">
      <formula>O24&gt;K24</formula>
    </cfRule>
  </conditionalFormatting>
  <conditionalFormatting sqref="N27">
    <cfRule type="expression" dxfId="93" priority="541">
      <formula>O27&lt;K27</formula>
    </cfRule>
    <cfRule type="expression" dxfId="92" priority="542">
      <formula>O27&gt;K27</formula>
    </cfRule>
  </conditionalFormatting>
  <conditionalFormatting sqref="N29">
    <cfRule type="expression" dxfId="91" priority="543">
      <formula>O29&lt;K29</formula>
    </cfRule>
    <cfRule type="expression" dxfId="90" priority="544">
      <formula>O29&gt;K29</formula>
    </cfRule>
  </conditionalFormatting>
  <conditionalFormatting sqref="N28">
    <cfRule type="expression" dxfId="89" priority="545">
      <formula>O28&lt;K28</formula>
    </cfRule>
    <cfRule type="expression" dxfId="88" priority="546">
      <formula>O28&gt;K28</formula>
    </cfRule>
  </conditionalFormatting>
  <conditionalFormatting sqref="N31">
    <cfRule type="expression" dxfId="87" priority="547">
      <formula>O31&lt;K31</formula>
    </cfRule>
    <cfRule type="expression" dxfId="86" priority="548">
      <formula>O31&gt;K31</formula>
    </cfRule>
  </conditionalFormatting>
  <conditionalFormatting sqref="N33">
    <cfRule type="expression" dxfId="85" priority="549">
      <formula>O33&lt;K33</formula>
    </cfRule>
    <cfRule type="expression" dxfId="84" priority="550">
      <formula>O33&gt;K33</formula>
    </cfRule>
  </conditionalFormatting>
  <conditionalFormatting sqref="N32">
    <cfRule type="expression" dxfId="83" priority="551">
      <formula>O32&lt;K32</formula>
    </cfRule>
    <cfRule type="expression" dxfId="82" priority="552">
      <formula>O32&gt;K32</formula>
    </cfRule>
  </conditionalFormatting>
  <conditionalFormatting sqref="N36">
    <cfRule type="expression" dxfId="81" priority="553">
      <formula>O36&lt;K36</formula>
    </cfRule>
    <cfRule type="expression" dxfId="80" priority="554">
      <formula>O36&gt;K36</formula>
    </cfRule>
  </conditionalFormatting>
  <conditionalFormatting sqref="N38">
    <cfRule type="expression" dxfId="79" priority="555">
      <formula>O38&lt;K38</formula>
    </cfRule>
    <cfRule type="expression" dxfId="78" priority="556">
      <formula>O38&gt;K38</formula>
    </cfRule>
  </conditionalFormatting>
  <conditionalFormatting sqref="N37">
    <cfRule type="expression" dxfId="77" priority="557">
      <formula>O37&lt;K37</formula>
    </cfRule>
    <cfRule type="expression" dxfId="76" priority="558">
      <formula>O37&gt;K37</formula>
    </cfRule>
  </conditionalFormatting>
  <conditionalFormatting sqref="N40">
    <cfRule type="expression" dxfId="75" priority="559">
      <formula>O40&lt;K40</formula>
    </cfRule>
    <cfRule type="expression" dxfId="74" priority="560">
      <formula>O40&gt;K40</formula>
    </cfRule>
  </conditionalFormatting>
  <conditionalFormatting sqref="N42">
    <cfRule type="expression" dxfId="73" priority="561">
      <formula>O42&lt;K42</formula>
    </cfRule>
    <cfRule type="expression" dxfId="72" priority="562">
      <formula>O42&gt;K42</formula>
    </cfRule>
  </conditionalFormatting>
  <conditionalFormatting sqref="N41">
    <cfRule type="expression" dxfId="71" priority="563">
      <formula>O41&lt;K41</formula>
    </cfRule>
    <cfRule type="expression" dxfId="70" priority="564">
      <formula>O41&gt;K41</formula>
    </cfRule>
  </conditionalFormatting>
  <conditionalFormatting sqref="N18">
    <cfRule type="expression" dxfId="69" priority="565">
      <formula>O18&lt;K18</formula>
    </cfRule>
    <cfRule type="expression" dxfId="68" priority="566">
      <formula>O18&gt;K18</formula>
    </cfRule>
  </conditionalFormatting>
  <conditionalFormatting sqref="R20">
    <cfRule type="expression" dxfId="67" priority="567">
      <formula>S20&lt;O20</formula>
    </cfRule>
    <cfRule type="expression" dxfId="66" priority="568">
      <formula>S20&gt;O20</formula>
    </cfRule>
  </conditionalFormatting>
  <conditionalFormatting sqref="R19">
    <cfRule type="expression" dxfId="65" priority="569">
      <formula>S19&lt;O19</formula>
    </cfRule>
    <cfRule type="expression" dxfId="64" priority="570">
      <formula>S19&gt;O19</formula>
    </cfRule>
  </conditionalFormatting>
  <conditionalFormatting sqref="R22:R23">
    <cfRule type="expression" dxfId="63" priority="571">
      <formula>S22&lt;O22</formula>
    </cfRule>
    <cfRule type="expression" dxfId="62" priority="572">
      <formula>S22&gt;O22</formula>
    </cfRule>
  </conditionalFormatting>
  <conditionalFormatting sqref="R24">
    <cfRule type="expression" dxfId="61" priority="573">
      <formula>S24&lt;O24</formula>
    </cfRule>
    <cfRule type="expression" dxfId="60" priority="574">
      <formula>S24&gt;O24</formula>
    </cfRule>
  </conditionalFormatting>
  <conditionalFormatting sqref="R27">
    <cfRule type="expression" dxfId="59" priority="575">
      <formula>S27&lt;O27</formula>
    </cfRule>
    <cfRule type="expression" dxfId="58" priority="576">
      <formula>S27&gt;O27</formula>
    </cfRule>
  </conditionalFormatting>
  <conditionalFormatting sqref="R29">
    <cfRule type="expression" dxfId="57" priority="577">
      <formula>S29&lt;O29</formula>
    </cfRule>
    <cfRule type="expression" dxfId="56" priority="578">
      <formula>S29&gt;O29</formula>
    </cfRule>
  </conditionalFormatting>
  <conditionalFormatting sqref="R28">
    <cfRule type="expression" dxfId="55" priority="579">
      <formula>S28&lt;O28</formula>
    </cfRule>
    <cfRule type="expression" dxfId="54" priority="580">
      <formula>S28&gt;O28</formula>
    </cfRule>
  </conditionalFormatting>
  <conditionalFormatting sqref="R31">
    <cfRule type="expression" dxfId="53" priority="581">
      <formula>S31&lt;O31</formula>
    </cfRule>
    <cfRule type="expression" dxfId="52" priority="582">
      <formula>S31&gt;O31</formula>
    </cfRule>
  </conditionalFormatting>
  <conditionalFormatting sqref="R33">
    <cfRule type="expression" dxfId="51" priority="583">
      <formula>S33&lt;O33</formula>
    </cfRule>
    <cfRule type="expression" dxfId="50" priority="584">
      <formula>S33&gt;O33</formula>
    </cfRule>
  </conditionalFormatting>
  <conditionalFormatting sqref="R32">
    <cfRule type="expression" dxfId="49" priority="585">
      <formula>S32&lt;O32</formula>
    </cfRule>
    <cfRule type="expression" dxfId="48" priority="586">
      <formula>S32&gt;O32</formula>
    </cfRule>
  </conditionalFormatting>
  <conditionalFormatting sqref="R36">
    <cfRule type="expression" dxfId="47" priority="587">
      <formula>S36&lt;O36</formula>
    </cfRule>
    <cfRule type="expression" dxfId="46" priority="588">
      <formula>S36&gt;O36</formula>
    </cfRule>
  </conditionalFormatting>
  <conditionalFormatting sqref="R38">
    <cfRule type="expression" dxfId="45" priority="589">
      <formula>S38&lt;O38</formula>
    </cfRule>
    <cfRule type="expression" dxfId="44" priority="590">
      <formula>S38&gt;O38</formula>
    </cfRule>
  </conditionalFormatting>
  <conditionalFormatting sqref="R37">
    <cfRule type="expression" dxfId="43" priority="591">
      <formula>S37&lt;O37</formula>
    </cfRule>
    <cfRule type="expression" dxfId="42" priority="592">
      <formula>S37&gt;O37</formula>
    </cfRule>
  </conditionalFormatting>
  <conditionalFormatting sqref="R40">
    <cfRule type="expression" dxfId="41" priority="593">
      <formula>S40&lt;O40</formula>
    </cfRule>
    <cfRule type="expression" dxfId="40" priority="594">
      <formula>S40&gt;O40</formula>
    </cfRule>
  </conditionalFormatting>
  <conditionalFormatting sqref="R42">
    <cfRule type="expression" dxfId="39" priority="595">
      <formula>S42&lt;O42</formula>
    </cfRule>
    <cfRule type="expression" dxfId="38" priority="596">
      <formula>S42&gt;O42</formula>
    </cfRule>
  </conditionalFormatting>
  <conditionalFormatting sqref="R41">
    <cfRule type="expression" dxfId="37" priority="597">
      <formula>S41&lt;O41</formula>
    </cfRule>
    <cfRule type="expression" dxfId="36" priority="598">
      <formula>S41&gt;O41</formula>
    </cfRule>
  </conditionalFormatting>
  <conditionalFormatting sqref="R18">
    <cfRule type="expression" dxfId="35" priority="599">
      <formula>S18&lt;O18</formula>
    </cfRule>
    <cfRule type="expression" dxfId="34" priority="600">
      <formula>S18&gt;O18</formula>
    </cfRule>
  </conditionalFormatting>
  <conditionalFormatting sqref="V20">
    <cfRule type="expression" dxfId="33" priority="601">
      <formula>W20&lt;S20</formula>
    </cfRule>
    <cfRule type="expression" dxfId="32" priority="602">
      <formula>W20&gt;S20</formula>
    </cfRule>
  </conditionalFormatting>
  <conditionalFormatting sqref="V19">
    <cfRule type="expression" dxfId="31" priority="603">
      <formula>W19&lt;S19</formula>
    </cfRule>
    <cfRule type="expression" dxfId="30" priority="604">
      <formula>W19&gt;S19</formula>
    </cfRule>
  </conditionalFormatting>
  <conditionalFormatting sqref="V22:V23">
    <cfRule type="expression" dxfId="29" priority="605">
      <formula>W22&lt;S22</formula>
    </cfRule>
    <cfRule type="expression" dxfId="28" priority="606">
      <formula>W22&gt;S22</formula>
    </cfRule>
  </conditionalFormatting>
  <conditionalFormatting sqref="V24">
    <cfRule type="expression" dxfId="27" priority="607">
      <formula>W24&lt;S24</formula>
    </cfRule>
    <cfRule type="expression" dxfId="26" priority="608">
      <formula>W24&gt;S24</formula>
    </cfRule>
  </conditionalFormatting>
  <conditionalFormatting sqref="V27">
    <cfRule type="expression" dxfId="25" priority="609">
      <formula>W27&lt;S27</formula>
    </cfRule>
    <cfRule type="expression" dxfId="24" priority="610">
      <formula>W27&gt;S27</formula>
    </cfRule>
  </conditionalFormatting>
  <conditionalFormatting sqref="V29">
    <cfRule type="expression" dxfId="23" priority="611">
      <formula>W29&lt;S29</formula>
    </cfRule>
    <cfRule type="expression" dxfId="22" priority="612">
      <formula>W29&gt;S29</formula>
    </cfRule>
  </conditionalFormatting>
  <conditionalFormatting sqref="V28">
    <cfRule type="expression" dxfId="21" priority="613">
      <formula>W28&lt;S28</formula>
    </cfRule>
    <cfRule type="expression" dxfId="20" priority="614">
      <formula>W28&gt;S28</formula>
    </cfRule>
  </conditionalFormatting>
  <conditionalFormatting sqref="V31">
    <cfRule type="expression" dxfId="19" priority="615">
      <formula>W31&lt;S31</formula>
    </cfRule>
    <cfRule type="expression" dxfId="18" priority="616">
      <formula>W31&gt;S31</formula>
    </cfRule>
  </conditionalFormatting>
  <conditionalFormatting sqref="V33">
    <cfRule type="expression" dxfId="17" priority="617">
      <formula>W33&lt;S33</formula>
    </cfRule>
    <cfRule type="expression" dxfId="16" priority="618">
      <formula>W33&gt;S33</formula>
    </cfRule>
  </conditionalFormatting>
  <conditionalFormatting sqref="V32">
    <cfRule type="expression" dxfId="15" priority="619">
      <formula>W32&lt;S32</formula>
    </cfRule>
    <cfRule type="expression" dxfId="14" priority="620">
      <formula>W32&gt;S32</formula>
    </cfRule>
  </conditionalFormatting>
  <conditionalFormatting sqref="V36">
    <cfRule type="expression" dxfId="13" priority="621">
      <formula>W36&lt;S36</formula>
    </cfRule>
    <cfRule type="expression" dxfId="12" priority="622">
      <formula>W36&gt;S36</formula>
    </cfRule>
  </conditionalFormatting>
  <conditionalFormatting sqref="V38">
    <cfRule type="expression" dxfId="11" priority="623">
      <formula>W38&lt;S38</formula>
    </cfRule>
    <cfRule type="expression" dxfId="10" priority="624">
      <formula>W38&gt;S38</formula>
    </cfRule>
  </conditionalFormatting>
  <conditionalFormatting sqref="V37">
    <cfRule type="expression" dxfId="9" priority="625">
      <formula>W37&lt;S37</formula>
    </cfRule>
    <cfRule type="expression" dxfId="8" priority="626">
      <formula>W37&gt;S37</formula>
    </cfRule>
  </conditionalFormatting>
  <conditionalFormatting sqref="V40">
    <cfRule type="expression" dxfId="7" priority="627">
      <formula>W40&lt;S40</formula>
    </cfRule>
    <cfRule type="expression" dxfId="6" priority="628">
      <formula>W40&gt;S40</formula>
    </cfRule>
  </conditionalFormatting>
  <conditionalFormatting sqref="V42">
    <cfRule type="expression" dxfId="5" priority="629">
      <formula>W42&lt;S42</formula>
    </cfRule>
    <cfRule type="expression" dxfId="4" priority="630">
      <formula>W42&gt;S42</formula>
    </cfRule>
  </conditionalFormatting>
  <conditionalFormatting sqref="V41">
    <cfRule type="expression" dxfId="3" priority="631">
      <formula>W41&lt;S41</formula>
    </cfRule>
    <cfRule type="expression" dxfId="2" priority="632">
      <formula>W41&gt;S41</formula>
    </cfRule>
  </conditionalFormatting>
  <conditionalFormatting sqref="V18">
    <cfRule type="expression" dxfId="1" priority="633">
      <formula>W18&lt;S18</formula>
    </cfRule>
    <cfRule type="expression" dxfId="0" priority="634">
      <formula>W18&gt;S18</formula>
    </cfRule>
  </conditionalFormatting>
  <dataValidations count="24">
    <dataValidation type="list" allowBlank="1" showInputMessage="1" showErrorMessage="1" sqref="F41:F42 J41:J42 N41:N42 R41:R42 V41:V42" xr:uid="{00000000-0002-0000-0300-000000000000}">
      <formula1>AnsL</formula1>
      <formula2>0</formula2>
    </dataValidation>
    <dataValidation type="list" allowBlank="1" showInputMessage="1" showErrorMessage="1" sqref="F22 J22 N22 R22 V22" xr:uid="{00000000-0002-0000-0300-000001000000}">
      <formula1>AnsK</formula1>
      <formula2>0</formula2>
    </dataValidation>
    <dataValidation type="list" allowBlank="1" showInputMessage="1" showErrorMessage="1" sqref="F29 J29 N29 R29 V29 F33 J33 N33 R33 V33" xr:uid="{00000000-0002-0000-0300-000002000000}">
      <formula1>AnsE</formula1>
      <formula2>0</formula2>
    </dataValidation>
    <dataValidation type="list" allowBlank="1" showInputMessage="1" showErrorMessage="1" sqref="F32 J32 N32 R32 V32 R74:R76 V74:V76 R78:R80 V78:V80 R83:R85 V83:V85 R87:R89 V87:V89 R92:R94 V92:V94 R96:R98 V96:V98" xr:uid="{00000000-0002-0000-0300-000003000000}">
      <formula1>AnsD</formula1>
      <formula2>0</formula2>
    </dataValidation>
    <dataValidation type="list" allowBlank="1" showInputMessage="1" showErrorMessage="1" sqref="F37:F38 J37:J38 N37:N38 R37:R38 V37:V38" xr:uid="{00000000-0002-0000-0300-000004000000}">
      <formula1>AnsI</formula1>
      <formula2>0</formula2>
    </dataValidation>
    <dataValidation type="list" allowBlank="1" showInputMessage="1" showErrorMessage="1" sqref="F48 J48 N48 R48 V48" xr:uid="{00000000-0002-0000-0300-000005000000}">
      <formula1>AnsG</formula1>
      <formula2>0</formula2>
    </dataValidation>
    <dataValidation type="list" allowBlank="1" showInputMessage="1" showErrorMessage="1" sqref="F149 J149 N149 R149 V149" xr:uid="{00000000-0002-0000-0300-000006000000}">
      <formula1>AnsO</formula1>
      <formula2>0</formula2>
    </dataValidation>
    <dataValidation type="list" allowBlank="1" showInputMessage="1" showErrorMessage="1" sqref="F150 J150 N150 R150 V150" xr:uid="{00000000-0002-0000-0300-000007000000}">
      <formula1>AnsP</formula1>
      <formula2>0</formula2>
    </dataValidation>
    <dataValidation type="list" allowBlank="1" showInputMessage="1" showErrorMessage="1" sqref="F124 J124 N124 R124 V124 F139:F141 J139:J141 N139:N141 R139:R141 V139:V141 F143:F145 J143:J145 N143:N145 R143:R145 V143:V145" xr:uid="{00000000-0002-0000-0300-000008000000}">
      <formula1>AnsM</formula1>
      <formula2>0</formula2>
    </dataValidation>
    <dataValidation type="list" allowBlank="1" showInputMessage="1" showErrorMessage="1" sqref="F27 J27 N27 R27 V27 F31 J31 N31 R31 V31 F47 J47 N47 R47 V47 F51 J51 N51 R51 V51 F55 J55 N55 R55 V55 F57 J57 N57 R57 V57 F64:F66 J64:J66 N64:N66 R64:R66 V64:V66 F68 J68 N68 R68 V68 F70 J70 N70 R70 V70 F74:F76 J74:J76 N74:N76 F78:F80 J78:J80 N78:N80 F83:F85 J83:J85 N83:N85 F87:F89 J87:J89 N87:N89 F92:F94 J92:J94 N92:N94 F96:F98 J96:J98 N96:N98 F102:F104 J102:J104 N102:N104 R102:R104 V102:V104 F106:F108 J106:J108 N106:N108 R106:R108 V106:V108 F113 J113 N113 R113 V113 F115 J115 N115 R115 V115 F125 J125 N125 R125 V125 F130:F132 J130:J132 N130:N132 R130:R132 V130:V132 F148 J148 N148 R148 V148 F152 J152 N152 R152 V152" xr:uid="{00000000-0002-0000-0300-000009000000}">
      <formula1>AnsF</formula1>
      <formula2>0</formula2>
    </dataValidation>
    <dataValidation type="list" allowBlank="1" showInputMessage="1" showErrorMessage="1" sqref="F36 J36 N36 R36 V36 F46 J46 N46 R46 V46 F50 J50 N50 R50 V50 F111:F112 J111:J112 N111:N112 R111:R112 V111:V112 F120:F121 J120:J121 N120:N121 R120:R121 V120:V121" xr:uid="{00000000-0002-0000-0300-00000A000000}">
      <formula1>AnsC</formula1>
      <formula2>0</formula2>
    </dataValidation>
    <dataValidation type="list" allowBlank="1" showInputMessage="1" showErrorMessage="1" sqref="F23 J23 N23 R23 V23" xr:uid="{00000000-0002-0000-0300-00000B000000}">
      <formula1>AnsB</formula1>
      <formula2>0</formula2>
    </dataValidation>
    <dataValidation type="list" allowBlank="1" showInputMessage="1" showErrorMessage="1" sqref="F20 J20 N20 R20 V20 F24 J24 N24 R24 V24 F52 J52 N52 R52 V52" xr:uid="{00000000-0002-0000-0300-00000C000000}">
      <formula1>AnsN</formula1>
      <formula2>0</formula2>
    </dataValidation>
    <dataValidation type="list" allowBlank="1" showInputMessage="1" showErrorMessage="1" sqref="F154 J154 N154 R154 V154" xr:uid="{00000000-0002-0000-0300-00000D000000}">
      <formula1>AnsS</formula1>
      <formula2>0</formula2>
    </dataValidation>
    <dataValidation type="list" allowBlank="1" showInputMessage="1" showErrorMessage="1" sqref="F28 J28 N28 R28 V28" xr:uid="{00000000-0002-0000-0300-00000E000000}">
      <formula1>AnsA</formula1>
      <formula2>0</formula2>
    </dataValidation>
    <dataValidation type="list" allowBlank="1" showInputMessage="1" showErrorMessage="1" sqref="F126 J126 N126 R126 V126" xr:uid="{00000000-0002-0000-0300-00000F000000}">
      <formula1>AnsT</formula1>
      <formula2>0</formula2>
    </dataValidation>
    <dataValidation type="list" allowBlank="1" showInputMessage="1" showErrorMessage="1" sqref="F134 J134 N134 R134 V134" xr:uid="{00000000-0002-0000-0300-000010000000}">
      <formula1>AnsR</formula1>
      <formula2>0</formula2>
    </dataValidation>
    <dataValidation type="list" allowBlank="1" showInputMessage="1" showErrorMessage="1" sqref="F135 J135 N135 R135 V135" xr:uid="{00000000-0002-0000-0300-000011000000}">
      <formula1>AnsQ</formula1>
      <formula2>0</formula2>
    </dataValidation>
    <dataValidation type="list" allowBlank="1" showInputMessage="1" showErrorMessage="1" sqref="F18 J18 N18 R18 V18" xr:uid="{00000000-0002-0000-0300-000012000000}">
      <formula1>AnsY</formula1>
      <formula2>0</formula2>
    </dataValidation>
    <dataValidation type="list" allowBlank="1" showInputMessage="1" showErrorMessage="1" sqref="F19 J19 N19 R19 V19" xr:uid="{00000000-0002-0000-0300-000013000000}">
      <formula1>AnsV</formula1>
      <formula2>0</formula2>
    </dataValidation>
    <dataValidation type="list" allowBlank="1" showInputMessage="1" showErrorMessage="1" sqref="F40 J40 N40 R40 V40" xr:uid="{00000000-0002-0000-0300-000014000000}">
      <formula1>AnsW</formula1>
      <formula2>0</formula2>
    </dataValidation>
    <dataValidation type="list" allowBlank="1" showInputMessage="1" showErrorMessage="1" sqref="F56 J56 N56 R56 V56 F59:F61 J59:J61 N59:N61 R59:R61 V59:V61 F116:F117 J116:J117 N116:N117 R116:R117 V116:V117 F136 J136 N136 R136 V136 F153 J153 N153 R153 V153" xr:uid="{00000000-0002-0000-0300-000015000000}">
      <formula1>AnsH</formula1>
      <formula2>0</formula2>
    </dataValidation>
    <dataValidation type="list" allowBlank="1" showInputMessage="1" showErrorMessage="1" sqref="F69 J69 N69 R69 V69" xr:uid="{00000000-0002-0000-0300-000016000000}">
      <formula1>AnsU</formula1>
      <formula2>0</formula2>
    </dataValidation>
    <dataValidation type="list" allowBlank="1" showInputMessage="1" showErrorMessage="1" sqref="F122 J122 N122 R122 V122" xr:uid="{00000000-0002-0000-0300-000017000000}">
      <formula1>AnsX</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132"/>
  <sheetViews>
    <sheetView zoomScale="90" zoomScaleNormal="90" workbookViewId="0">
      <selection activeCell="L35" sqref="L35"/>
    </sheetView>
  </sheetViews>
  <sheetFormatPr baseColWidth="10" defaultColWidth="8.83203125" defaultRowHeight="13"/>
  <cols>
    <col min="1" max="1" width="22.83203125" style="323" customWidth="1"/>
    <col min="2" max="2" width="11" style="323" customWidth="1"/>
    <col min="3" max="3" width="9.6640625" style="323" customWidth="1"/>
    <col min="4" max="4" width="1.83203125" style="323" customWidth="1"/>
    <col min="5" max="5" width="8.83203125" style="323" customWidth="1"/>
    <col min="6" max="6" width="1.5" style="323" customWidth="1"/>
    <col min="7" max="7" width="8.83203125" style="323" customWidth="1"/>
    <col min="8" max="8" width="1.5" style="323" customWidth="1"/>
    <col min="9" max="9" width="8.83203125" style="323" customWidth="1"/>
    <col min="10" max="10" width="1.5" style="323" customWidth="1"/>
    <col min="11" max="11" width="21.5" style="323" customWidth="1"/>
    <col min="12" max="12" width="22.1640625" style="323" customWidth="1"/>
    <col min="13" max="13" width="3.83203125" style="323" customWidth="1"/>
    <col min="14" max="14" width="4.5" style="323" customWidth="1"/>
    <col min="15" max="22" width="9.6640625" style="323" customWidth="1"/>
    <col min="23" max="25" width="8.83203125" style="323" customWidth="1"/>
    <col min="26" max="26" width="19" style="323" customWidth="1"/>
    <col min="27" max="1025" width="8.83203125" style="323" customWidth="1"/>
  </cols>
  <sheetData>
    <row r="1" spans="1:31" ht="69" customHeight="1">
      <c r="A1" s="480" t="s">
        <v>178</v>
      </c>
      <c r="B1" s="480"/>
      <c r="C1" s="480"/>
      <c r="D1" s="480"/>
      <c r="E1" s="480"/>
      <c r="F1" s="480"/>
      <c r="G1" s="480"/>
      <c r="H1" s="480"/>
      <c r="I1" s="480"/>
      <c r="J1" s="480"/>
      <c r="K1" s="480"/>
    </row>
    <row r="3" spans="1:31" ht="25">
      <c r="A3" s="324" t="s">
        <v>199</v>
      </c>
      <c r="L3" s="324" t="str">
        <f>A3</f>
        <v>Software Assurance Maturity Model (SAMM) Roadmap</v>
      </c>
    </row>
    <row r="4" spans="1:31" s="325" customFormat="1" ht="14">
      <c r="A4" s="325" t="s">
        <v>40</v>
      </c>
      <c r="B4" s="515" t="str">
        <f>IF(ISBLANK(Interview!D10),"",Interview!D10)</f>
        <v>COMPANY</v>
      </c>
      <c r="C4" s="515"/>
      <c r="L4" s="325" t="str">
        <f>B4</f>
        <v>COMPANY</v>
      </c>
      <c r="Y4" s="325">
        <v>1</v>
      </c>
      <c r="Z4" s="325">
        <v>1</v>
      </c>
      <c r="AA4" s="325">
        <v>1</v>
      </c>
    </row>
    <row r="5" spans="1:31" s="325" customFormat="1" ht="14">
      <c r="A5" s="325" t="s">
        <v>41</v>
      </c>
      <c r="B5" s="515" t="str">
        <f>IF(ISBLANK(Interview!D11),"",Interview!D11)</f>
        <v/>
      </c>
      <c r="C5" s="515"/>
      <c r="L5" s="325" t="str">
        <f>B5</f>
        <v/>
      </c>
    </row>
    <row r="6" spans="1:31" s="325" customFormat="1" ht="14">
      <c r="A6" s="325" t="s">
        <v>200</v>
      </c>
      <c r="B6" s="513" t="str">
        <f>IF(ISBLANK(Interview!D12),"",Interview!D12)</f>
        <v/>
      </c>
      <c r="C6" s="513"/>
      <c r="L6" s="326" t="str">
        <f>B6</f>
        <v/>
      </c>
    </row>
    <row r="7" spans="1:31" s="325" customFormat="1" ht="14">
      <c r="A7" s="325" t="s">
        <v>201</v>
      </c>
      <c r="B7" s="513" t="str">
        <f>IF(ISBLANK(Interview!D13),"",Interview!D13)</f>
        <v/>
      </c>
      <c r="C7" s="513"/>
    </row>
    <row r="8" spans="1:31" s="325" customFormat="1" ht="14">
      <c r="A8" s="325" t="s">
        <v>12</v>
      </c>
      <c r="B8" s="513" t="str">
        <f>IF(ISBLANK(Interview!D14),"",Interview!D14)</f>
        <v>229a43e68f7f67bd25211bf95ce5c4e8</v>
      </c>
      <c r="C8" s="513"/>
      <c r="L8" s="327"/>
      <c r="M8" s="327"/>
      <c r="N8" s="327"/>
      <c r="O8" s="514"/>
      <c r="P8" s="514"/>
      <c r="Q8" s="514"/>
      <c r="R8" s="514"/>
      <c r="S8" s="514"/>
      <c r="T8" s="514"/>
      <c r="U8" s="514"/>
      <c r="V8" s="514"/>
    </row>
    <row r="9" spans="1:31" s="325" customFormat="1" ht="14">
      <c r="L9" s="328"/>
      <c r="M9" s="328"/>
      <c r="N9" s="328"/>
      <c r="O9" s="514"/>
      <c r="P9" s="514"/>
      <c r="Q9" s="514"/>
      <c r="R9" s="514"/>
      <c r="S9" s="514"/>
      <c r="T9" s="514"/>
      <c r="U9" s="514"/>
      <c r="V9" s="514"/>
    </row>
    <row r="10" spans="1:31" s="325" customFormat="1" ht="14">
      <c r="A10" s="325" t="s">
        <v>202</v>
      </c>
      <c r="B10" s="329" t="s">
        <v>203</v>
      </c>
      <c r="I10" s="329" t="s">
        <v>204</v>
      </c>
      <c r="L10" s="330" t="s">
        <v>205</v>
      </c>
      <c r="M10" s="330"/>
      <c r="N10" s="330"/>
      <c r="O10" s="511"/>
      <c r="P10" s="511"/>
      <c r="Q10" s="511"/>
      <c r="R10" s="511"/>
      <c r="S10" s="511"/>
      <c r="T10" s="511"/>
      <c r="U10" s="511"/>
      <c r="V10" s="511"/>
    </row>
    <row r="11" spans="1:31">
      <c r="A11" s="331" t="s">
        <v>206</v>
      </c>
      <c r="B11" s="332" t="s">
        <v>207</v>
      </c>
      <c r="C11" s="332" t="s">
        <v>208</v>
      </c>
      <c r="D11" s="333" t="s">
        <v>209</v>
      </c>
      <c r="E11" s="332" t="s">
        <v>210</v>
      </c>
      <c r="F11" s="333" t="s">
        <v>211</v>
      </c>
      <c r="G11" s="332" t="s">
        <v>212</v>
      </c>
      <c r="H11" s="333" t="s">
        <v>213</v>
      </c>
      <c r="I11" s="332" t="s">
        <v>214</v>
      </c>
      <c r="J11" s="334" t="s">
        <v>215</v>
      </c>
      <c r="K11" s="335" t="s">
        <v>216</v>
      </c>
      <c r="L11" s="336"/>
      <c r="M11" s="337"/>
      <c r="N11" s="337"/>
      <c r="O11" s="512" t="str">
        <f>C11</f>
        <v>Phase 1</v>
      </c>
      <c r="P11" s="512"/>
      <c r="Q11" s="512" t="str">
        <f>E11</f>
        <v>Phase 2</v>
      </c>
      <c r="R11" s="512"/>
      <c r="S11" s="512" t="str">
        <f>G11</f>
        <v>Phase 3</v>
      </c>
      <c r="T11" s="512"/>
      <c r="U11" s="512" t="str">
        <f>I11</f>
        <v>Phase 4</v>
      </c>
      <c r="V11" s="512"/>
      <c r="AA11" s="335" t="str">
        <f t="shared" ref="AA11:AA26" si="0">I11</f>
        <v>Phase 4</v>
      </c>
      <c r="AB11" s="335" t="str">
        <f t="shared" ref="AB11:AB26" si="1">G11</f>
        <v>Phase 3</v>
      </c>
      <c r="AC11" s="335" t="str">
        <f t="shared" ref="AC11:AC26" si="2">E11</f>
        <v>Phase 2</v>
      </c>
      <c r="AD11" s="335" t="str">
        <f t="shared" ref="AD11:AD26" si="3">C11</f>
        <v>Phase 1</v>
      </c>
      <c r="AE11" s="335" t="str">
        <f t="shared" ref="AE11:AE26" si="4">B11</f>
        <v>Start</v>
      </c>
    </row>
    <row r="12" spans="1:31" ht="15" customHeight="1">
      <c r="A12" s="338" t="s">
        <v>217</v>
      </c>
      <c r="B12" s="339">
        <f>IF(ISNUMBER(Interview!$J$18),Interview!$J$18,SUM(LEFT(Interview!$J$18),".5"))</f>
        <v>0</v>
      </c>
      <c r="C12" s="340">
        <f>Roadmap!M18</f>
        <v>0.125</v>
      </c>
      <c r="D12" s="341">
        <f t="shared" ref="D12:D26" si="5">C12</f>
        <v>0.125</v>
      </c>
      <c r="E12" s="340">
        <f>Roadmap!Q18</f>
        <v>0.125</v>
      </c>
      <c r="F12" s="341">
        <f t="shared" ref="F12:F26" si="6">E12</f>
        <v>0.125</v>
      </c>
      <c r="G12" s="340">
        <f>Roadmap!U18</f>
        <v>0.125</v>
      </c>
      <c r="H12" s="342">
        <f t="shared" ref="H12:H26" si="7">G12</f>
        <v>0.125</v>
      </c>
      <c r="I12" s="340">
        <f>Roadmap!Y18</f>
        <v>0.125</v>
      </c>
      <c r="J12" s="342">
        <f t="shared" ref="J12:J26" si="8">I12</f>
        <v>0.125</v>
      </c>
      <c r="K12" s="343">
        <f t="shared" ref="K12:K26" si="9">IFERROR(I12-B12,I12-LEFT(B12,1))</f>
        <v>0.125</v>
      </c>
      <c r="L12" s="344"/>
      <c r="M12" s="337"/>
      <c r="N12" s="337"/>
      <c r="O12" s="337"/>
      <c r="P12" s="337"/>
      <c r="Q12" s="337"/>
      <c r="R12" s="337"/>
      <c r="S12" s="337"/>
      <c r="T12" s="337"/>
      <c r="U12" s="337"/>
      <c r="V12" s="337"/>
      <c r="Z12" s="323" t="str">
        <f t="shared" ref="Z12:Z26" si="10">A12</f>
        <v>Strategy &amp; metrics</v>
      </c>
      <c r="AA12" s="345">
        <f t="shared" si="0"/>
        <v>0.125</v>
      </c>
      <c r="AB12" s="345">
        <f t="shared" si="1"/>
        <v>0.125</v>
      </c>
      <c r="AC12" s="345">
        <f t="shared" si="2"/>
        <v>0.125</v>
      </c>
      <c r="AD12" s="345">
        <f t="shared" si="3"/>
        <v>0.125</v>
      </c>
      <c r="AE12" s="345">
        <f t="shared" si="4"/>
        <v>0</v>
      </c>
    </row>
    <row r="13" spans="1:31" ht="15" customHeight="1">
      <c r="A13" s="346" t="s">
        <v>61</v>
      </c>
      <c r="B13" s="339">
        <f>IF(ISNUMBER(Interview!$J$32),Interview!$J$32,SUM(LEFT(Interview!$J$32),".5"))</f>
        <v>0</v>
      </c>
      <c r="C13" s="347">
        <f>Roadmap!M27</f>
        <v>0</v>
      </c>
      <c r="D13" s="341">
        <f t="shared" si="5"/>
        <v>0</v>
      </c>
      <c r="E13" s="347">
        <f>Roadmap!Q27</f>
        <v>0</v>
      </c>
      <c r="F13" s="341">
        <f t="shared" si="6"/>
        <v>0</v>
      </c>
      <c r="G13" s="347">
        <f>Roadmap!U27</f>
        <v>0</v>
      </c>
      <c r="H13" s="341">
        <f t="shared" si="7"/>
        <v>0</v>
      </c>
      <c r="I13" s="347">
        <f>Roadmap!Y27</f>
        <v>0</v>
      </c>
      <c r="J13" s="341">
        <f t="shared" si="8"/>
        <v>0</v>
      </c>
      <c r="K13" s="343">
        <f t="shared" si="9"/>
        <v>0</v>
      </c>
      <c r="L13" s="344"/>
      <c r="M13" s="337"/>
      <c r="N13" s="337"/>
      <c r="O13" s="337"/>
      <c r="P13" s="337"/>
      <c r="Q13" s="337"/>
      <c r="R13" s="337"/>
      <c r="S13" s="337"/>
      <c r="T13" s="337"/>
      <c r="U13" s="337"/>
      <c r="V13" s="337"/>
      <c r="Z13" s="323" t="str">
        <f t="shared" si="10"/>
        <v>Policy &amp; Compliance</v>
      </c>
      <c r="AA13" s="345">
        <f t="shared" si="0"/>
        <v>0</v>
      </c>
      <c r="AB13" s="345">
        <f t="shared" si="1"/>
        <v>0</v>
      </c>
      <c r="AC13" s="345">
        <f t="shared" si="2"/>
        <v>0</v>
      </c>
      <c r="AD13" s="345">
        <f t="shared" si="3"/>
        <v>0</v>
      </c>
      <c r="AE13" s="345">
        <f t="shared" si="4"/>
        <v>0</v>
      </c>
    </row>
    <row r="14" spans="1:31" ht="15" customHeight="1">
      <c r="A14" s="348" t="s">
        <v>68</v>
      </c>
      <c r="B14" s="349">
        <f>IF(ISNUMBER(Interview!$J$46),Interview!$J$46,SUM(LEFT(Interview!$J$46),".5"))</f>
        <v>2.625</v>
      </c>
      <c r="C14" s="347">
        <f>Roadmap!M36</f>
        <v>2.625</v>
      </c>
      <c r="D14" s="350">
        <f t="shared" si="5"/>
        <v>2.625</v>
      </c>
      <c r="E14" s="347">
        <f>Roadmap!Q36</f>
        <v>2.625</v>
      </c>
      <c r="F14" s="350">
        <f t="shared" si="6"/>
        <v>2.625</v>
      </c>
      <c r="G14" s="347">
        <f>Roadmap!U36</f>
        <v>2.625</v>
      </c>
      <c r="H14" s="350">
        <f t="shared" si="7"/>
        <v>2.625</v>
      </c>
      <c r="I14" s="347">
        <f>Roadmap!Y36</f>
        <v>2.625</v>
      </c>
      <c r="J14" s="350">
        <f t="shared" si="8"/>
        <v>2.625</v>
      </c>
      <c r="K14" s="343">
        <f t="shared" si="9"/>
        <v>0</v>
      </c>
      <c r="L14" s="344"/>
      <c r="M14" s="337"/>
      <c r="N14" s="337"/>
      <c r="O14" s="337"/>
      <c r="P14" s="337"/>
      <c r="Q14" s="337"/>
      <c r="R14" s="337"/>
      <c r="S14" s="337"/>
      <c r="T14" s="337"/>
      <c r="U14" s="337"/>
      <c r="V14" s="337"/>
      <c r="Z14" s="323" t="str">
        <f t="shared" si="10"/>
        <v>Education &amp; Guidance</v>
      </c>
      <c r="AA14" s="345">
        <f t="shared" si="0"/>
        <v>2.625</v>
      </c>
      <c r="AB14" s="345">
        <f t="shared" si="1"/>
        <v>2.625</v>
      </c>
      <c r="AC14" s="345">
        <f t="shared" si="2"/>
        <v>2.625</v>
      </c>
      <c r="AD14" s="345">
        <f t="shared" si="3"/>
        <v>2.625</v>
      </c>
      <c r="AE14" s="345">
        <f t="shared" si="4"/>
        <v>2.625</v>
      </c>
    </row>
    <row r="15" spans="1:31" ht="15" customHeight="1">
      <c r="A15" s="351" t="s">
        <v>81</v>
      </c>
      <c r="B15" s="339">
        <f>IF(ISNUMBER(Interview!$J$61),Interview!$J$61,SUM(LEFT(Interview!$J$61),".5"))</f>
        <v>2.25</v>
      </c>
      <c r="C15" s="352">
        <f>Roadmap!M46</f>
        <v>2.25</v>
      </c>
      <c r="D15" s="353">
        <f t="shared" si="5"/>
        <v>2.25</v>
      </c>
      <c r="E15" s="352">
        <f>Roadmap!Q46</f>
        <v>2.25</v>
      </c>
      <c r="F15" s="353">
        <f t="shared" si="6"/>
        <v>2.25</v>
      </c>
      <c r="G15" s="352">
        <f>Roadmap!U46</f>
        <v>2.25</v>
      </c>
      <c r="H15" s="353">
        <f t="shared" si="7"/>
        <v>2.25</v>
      </c>
      <c r="I15" s="352">
        <f>Roadmap!Y46</f>
        <v>2.25</v>
      </c>
      <c r="J15" s="353">
        <f t="shared" si="8"/>
        <v>2.25</v>
      </c>
      <c r="K15" s="343">
        <f t="shared" si="9"/>
        <v>0</v>
      </c>
      <c r="L15" s="344"/>
      <c r="M15" s="337"/>
      <c r="N15" s="337"/>
      <c r="O15" s="337"/>
      <c r="P15" s="337"/>
      <c r="Q15" s="337"/>
      <c r="R15" s="337"/>
      <c r="S15" s="337"/>
      <c r="T15" s="337"/>
      <c r="U15" s="337"/>
      <c r="V15" s="337"/>
      <c r="Z15" s="323" t="str">
        <f t="shared" si="10"/>
        <v>Threat Assessment</v>
      </c>
      <c r="AA15" s="345">
        <f t="shared" si="0"/>
        <v>2.25</v>
      </c>
      <c r="AB15" s="345">
        <f t="shared" si="1"/>
        <v>2.25</v>
      </c>
      <c r="AC15" s="345">
        <f t="shared" si="2"/>
        <v>2.25</v>
      </c>
      <c r="AD15" s="345">
        <f t="shared" si="3"/>
        <v>2.25</v>
      </c>
      <c r="AE15" s="345">
        <f t="shared" si="4"/>
        <v>2.25</v>
      </c>
    </row>
    <row r="16" spans="1:31" ht="15" customHeight="1">
      <c r="A16" s="354" t="s">
        <v>94</v>
      </c>
      <c r="B16" s="339">
        <f>IF(ISNUMBER(Interview!$J75),Interview!$J$75,SUM(LEFT(Interview!$J$75),".5"))</f>
        <v>1.5</v>
      </c>
      <c r="C16" s="347">
        <f>Roadmap!M55</f>
        <v>1.5</v>
      </c>
      <c r="D16" s="341">
        <f t="shared" si="5"/>
        <v>1.5</v>
      </c>
      <c r="E16" s="347">
        <f>Roadmap!Q55</f>
        <v>1.5</v>
      </c>
      <c r="F16" s="341">
        <f t="shared" si="6"/>
        <v>1.5</v>
      </c>
      <c r="G16" s="347">
        <f>Roadmap!U55</f>
        <v>1.5</v>
      </c>
      <c r="H16" s="341">
        <f t="shared" si="7"/>
        <v>1.5</v>
      </c>
      <c r="I16" s="347">
        <f>Roadmap!Y55</f>
        <v>1.5</v>
      </c>
      <c r="J16" s="341">
        <f t="shared" si="8"/>
        <v>1.5</v>
      </c>
      <c r="K16" s="343">
        <f t="shared" si="9"/>
        <v>0</v>
      </c>
      <c r="L16" s="344"/>
      <c r="M16" s="337"/>
      <c r="N16" s="337"/>
      <c r="O16" s="337"/>
      <c r="P16" s="337"/>
      <c r="Q16" s="337"/>
      <c r="R16" s="337"/>
      <c r="S16" s="337"/>
      <c r="T16" s="337"/>
      <c r="U16" s="337"/>
      <c r="V16" s="337"/>
      <c r="Z16" s="323" t="str">
        <f t="shared" si="10"/>
        <v>Security Requirements</v>
      </c>
      <c r="AA16" s="345">
        <f t="shared" si="0"/>
        <v>1.5</v>
      </c>
      <c r="AB16" s="345">
        <f t="shared" si="1"/>
        <v>1.5</v>
      </c>
      <c r="AC16" s="345">
        <f t="shared" si="2"/>
        <v>1.5</v>
      </c>
      <c r="AD16" s="345">
        <f t="shared" si="3"/>
        <v>1.5</v>
      </c>
      <c r="AE16" s="345">
        <f t="shared" si="4"/>
        <v>1.5</v>
      </c>
    </row>
    <row r="17" spans="1:31">
      <c r="A17" s="355" t="s">
        <v>102</v>
      </c>
      <c r="B17" s="349">
        <f>IF(ISNUMBER(Interview!$J$89),Interview!$J$89,SUM(LEFT(Interview!$J$89),".5"))</f>
        <v>0.5</v>
      </c>
      <c r="C17" s="347">
        <f>Roadmap!M64</f>
        <v>0.5</v>
      </c>
      <c r="D17" s="350">
        <f t="shared" si="5"/>
        <v>0.5</v>
      </c>
      <c r="E17" s="347">
        <f>Roadmap!Q64</f>
        <v>0.5</v>
      </c>
      <c r="F17" s="350">
        <f t="shared" si="6"/>
        <v>0.5</v>
      </c>
      <c r="G17" s="347">
        <f>Roadmap!U64</f>
        <v>0.5</v>
      </c>
      <c r="H17" s="350">
        <f t="shared" si="7"/>
        <v>0.5</v>
      </c>
      <c r="I17" s="347">
        <f>Roadmap!Y64</f>
        <v>0.5</v>
      </c>
      <c r="J17" s="350">
        <f t="shared" si="8"/>
        <v>0.5</v>
      </c>
      <c r="K17" s="343">
        <f t="shared" si="9"/>
        <v>0</v>
      </c>
      <c r="L17" s="344" t="str">
        <f>A12</f>
        <v>Strategy &amp; metrics</v>
      </c>
      <c r="M17" s="337"/>
      <c r="N17" s="337"/>
      <c r="O17" s="337"/>
      <c r="P17" s="337"/>
      <c r="Q17" s="337"/>
      <c r="R17" s="337"/>
      <c r="S17" s="337"/>
      <c r="T17" s="337"/>
      <c r="U17" s="337"/>
      <c r="V17" s="337"/>
      <c r="Z17" s="323" t="str">
        <f t="shared" si="10"/>
        <v>Secure Architecture</v>
      </c>
      <c r="AA17" s="345">
        <f t="shared" si="0"/>
        <v>0.5</v>
      </c>
      <c r="AB17" s="345">
        <f t="shared" si="1"/>
        <v>0.5</v>
      </c>
      <c r="AC17" s="345">
        <f t="shared" si="2"/>
        <v>0.5</v>
      </c>
      <c r="AD17" s="345">
        <f t="shared" si="3"/>
        <v>0.5</v>
      </c>
      <c r="AE17" s="345">
        <f t="shared" si="4"/>
        <v>0.5</v>
      </c>
    </row>
    <row r="18" spans="1:31">
      <c r="A18" s="356" t="s">
        <v>110</v>
      </c>
      <c r="B18" s="357">
        <f>IF(ISNUMBER(Interview!$J$104),Interview!$J$104,SUM(LEFT(Interview!$J$104),".5"))</f>
        <v>2.5</v>
      </c>
      <c r="C18" s="358">
        <f>Roadmap!M74</f>
        <v>0</v>
      </c>
      <c r="D18" s="341">
        <f t="shared" si="5"/>
        <v>0</v>
      </c>
      <c r="E18" s="358">
        <f>Roadmap!Q74</f>
        <v>0</v>
      </c>
      <c r="F18" s="341">
        <f t="shared" si="6"/>
        <v>0</v>
      </c>
      <c r="G18" s="358">
        <f>Roadmap!U74</f>
        <v>0</v>
      </c>
      <c r="H18" s="341">
        <f t="shared" si="7"/>
        <v>0</v>
      </c>
      <c r="I18" s="358">
        <f>Roadmap!Y74</f>
        <v>0</v>
      </c>
      <c r="J18" s="341">
        <f t="shared" si="8"/>
        <v>0</v>
      </c>
      <c r="K18" s="343">
        <f t="shared" si="9"/>
        <v>-2.5</v>
      </c>
      <c r="L18" s="344"/>
      <c r="M18" s="337"/>
      <c r="N18" s="337"/>
      <c r="O18" s="337"/>
      <c r="P18" s="337"/>
      <c r="Q18" s="337"/>
      <c r="R18" s="337"/>
      <c r="S18" s="337"/>
      <c r="T18" s="337"/>
      <c r="U18" s="337"/>
      <c r="V18" s="337"/>
      <c r="Z18" s="323" t="str">
        <f t="shared" si="10"/>
        <v>Secure Build</v>
      </c>
      <c r="AA18" s="345">
        <f t="shared" si="0"/>
        <v>0</v>
      </c>
      <c r="AB18" s="345">
        <f t="shared" si="1"/>
        <v>0</v>
      </c>
      <c r="AC18" s="345">
        <f t="shared" si="2"/>
        <v>0</v>
      </c>
      <c r="AD18" s="345">
        <f t="shared" si="3"/>
        <v>0</v>
      </c>
      <c r="AE18" s="345">
        <f t="shared" si="4"/>
        <v>2.5</v>
      </c>
    </row>
    <row r="19" spans="1:31">
      <c r="A19" s="356" t="s">
        <v>119</v>
      </c>
      <c r="B19" s="357">
        <f>IF(ISNUMBER(Interview!$J$118),Interview!$J$118,SUM(LEFT(Interview!$J$118),".5"))</f>
        <v>1</v>
      </c>
      <c r="C19" s="347">
        <f>Roadmap!M83</f>
        <v>0</v>
      </c>
      <c r="D19" s="341">
        <f t="shared" si="5"/>
        <v>0</v>
      </c>
      <c r="E19" s="347">
        <f>Roadmap!Q83</f>
        <v>0</v>
      </c>
      <c r="F19" s="341">
        <f t="shared" si="6"/>
        <v>0</v>
      </c>
      <c r="G19" s="347">
        <f>Roadmap!U83</f>
        <v>0</v>
      </c>
      <c r="H19" s="341">
        <f t="shared" si="7"/>
        <v>0</v>
      </c>
      <c r="I19" s="347">
        <f>Roadmap!Y83</f>
        <v>0</v>
      </c>
      <c r="J19" s="341">
        <f t="shared" si="8"/>
        <v>0</v>
      </c>
      <c r="K19" s="343">
        <f t="shared" si="9"/>
        <v>-1</v>
      </c>
      <c r="L19" s="344"/>
      <c r="M19" s="337"/>
      <c r="N19" s="337"/>
      <c r="O19" s="337"/>
      <c r="P19" s="337"/>
      <c r="Q19" s="337"/>
      <c r="R19" s="337"/>
      <c r="S19" s="337"/>
      <c r="T19" s="337"/>
      <c r="U19" s="337"/>
      <c r="V19" s="337"/>
      <c r="Z19" s="323" t="str">
        <f t="shared" si="10"/>
        <v>Secure Deployment</v>
      </c>
      <c r="AA19" s="345">
        <f t="shared" si="0"/>
        <v>0</v>
      </c>
      <c r="AB19" s="345">
        <f t="shared" si="1"/>
        <v>0</v>
      </c>
      <c r="AC19" s="345">
        <f t="shared" si="2"/>
        <v>0</v>
      </c>
      <c r="AD19" s="345">
        <f t="shared" si="3"/>
        <v>0</v>
      </c>
      <c r="AE19" s="345">
        <f t="shared" si="4"/>
        <v>1</v>
      </c>
    </row>
    <row r="20" spans="1:31">
      <c r="A20" s="356" t="s">
        <v>126</v>
      </c>
      <c r="B20" s="357">
        <f>IF(ISNUMBER(Interview!$J$132),Interview!$J$132,SUM(LEFT(Interview!$J$132),".5"))</f>
        <v>0.5</v>
      </c>
      <c r="C20" s="347">
        <f>Roadmap!M92</f>
        <v>0</v>
      </c>
      <c r="D20" s="341">
        <f t="shared" si="5"/>
        <v>0</v>
      </c>
      <c r="E20" s="347">
        <f>Roadmap!Q92</f>
        <v>0</v>
      </c>
      <c r="F20" s="341">
        <f t="shared" si="6"/>
        <v>0</v>
      </c>
      <c r="G20" s="347">
        <f>Roadmap!U92</f>
        <v>0</v>
      </c>
      <c r="H20" s="341">
        <f t="shared" si="7"/>
        <v>0</v>
      </c>
      <c r="I20" s="347">
        <f>Roadmap!Y92</f>
        <v>0</v>
      </c>
      <c r="J20" s="341">
        <f t="shared" si="8"/>
        <v>0</v>
      </c>
      <c r="K20" s="343">
        <f t="shared" si="9"/>
        <v>-0.5</v>
      </c>
      <c r="L20" s="344"/>
      <c r="M20" s="337"/>
      <c r="N20" s="337"/>
      <c r="O20" s="337"/>
      <c r="P20" s="337"/>
      <c r="Q20" s="337"/>
      <c r="R20" s="337"/>
      <c r="S20" s="337"/>
      <c r="T20" s="337"/>
      <c r="U20" s="337"/>
      <c r="V20" s="337"/>
      <c r="Z20" s="323" t="str">
        <f t="shared" si="10"/>
        <v>Defect Management</v>
      </c>
      <c r="AA20" s="345">
        <f t="shared" si="0"/>
        <v>0</v>
      </c>
      <c r="AB20" s="345">
        <f t="shared" si="1"/>
        <v>0</v>
      </c>
      <c r="AC20" s="345">
        <f t="shared" si="2"/>
        <v>0</v>
      </c>
      <c r="AD20" s="345">
        <f t="shared" si="3"/>
        <v>0</v>
      </c>
      <c r="AE20" s="345">
        <f t="shared" si="4"/>
        <v>0.5</v>
      </c>
    </row>
    <row r="21" spans="1:31">
      <c r="A21" s="359" t="s">
        <v>134</v>
      </c>
      <c r="B21" s="360">
        <f>IF(ISNUMBER(Interview!$J$147),Interview!$J$147,SUM(LEFT(Interview!$J$147),".5"))</f>
        <v>0</v>
      </c>
      <c r="C21" s="358">
        <f>Roadmap!M102</f>
        <v>0</v>
      </c>
      <c r="D21" s="353">
        <f t="shared" si="5"/>
        <v>0</v>
      </c>
      <c r="E21" s="358">
        <f>Roadmap!Q102</f>
        <v>0</v>
      </c>
      <c r="F21" s="353">
        <f t="shared" si="6"/>
        <v>0</v>
      </c>
      <c r="G21" s="358">
        <f>Roadmap!U102</f>
        <v>0</v>
      </c>
      <c r="H21" s="353">
        <f t="shared" si="7"/>
        <v>0</v>
      </c>
      <c r="I21" s="358">
        <f>Roadmap!Y102</f>
        <v>0</v>
      </c>
      <c r="J21" s="353">
        <f t="shared" si="8"/>
        <v>0</v>
      </c>
      <c r="K21" s="343">
        <f t="shared" si="9"/>
        <v>0</v>
      </c>
      <c r="L21" s="344"/>
      <c r="M21" s="337"/>
      <c r="N21" s="337"/>
      <c r="O21" s="337"/>
      <c r="P21" s="337"/>
      <c r="Q21" s="337"/>
      <c r="R21" s="337"/>
      <c r="S21" s="337"/>
      <c r="T21" s="337"/>
      <c r="U21" s="337"/>
      <c r="V21" s="337"/>
      <c r="Z21" s="323" t="str">
        <f t="shared" si="10"/>
        <v>Architecture Assessment</v>
      </c>
      <c r="AA21" s="345">
        <f t="shared" si="0"/>
        <v>0</v>
      </c>
      <c r="AB21" s="345">
        <f t="shared" si="1"/>
        <v>0</v>
      </c>
      <c r="AC21" s="345">
        <f t="shared" si="2"/>
        <v>0</v>
      </c>
      <c r="AD21" s="345">
        <f t="shared" si="3"/>
        <v>0</v>
      </c>
      <c r="AE21" s="345">
        <f t="shared" si="4"/>
        <v>0</v>
      </c>
    </row>
    <row r="22" spans="1:31">
      <c r="A22" s="361" t="s">
        <v>141</v>
      </c>
      <c r="B22" s="339">
        <f>IF(ISNUMBER(Interview!$J$161),Interview!$J$161,SUM(LEFT(Interview!$J$161),".5"))</f>
        <v>0</v>
      </c>
      <c r="C22" s="347">
        <f>Roadmap!M111</f>
        <v>0</v>
      </c>
      <c r="D22" s="341">
        <f t="shared" si="5"/>
        <v>0</v>
      </c>
      <c r="E22" s="347">
        <f>Roadmap!Q111</f>
        <v>0</v>
      </c>
      <c r="F22" s="341">
        <f t="shared" si="6"/>
        <v>0</v>
      </c>
      <c r="G22" s="347">
        <f>Roadmap!U111</f>
        <v>0</v>
      </c>
      <c r="H22" s="341">
        <f t="shared" si="7"/>
        <v>0</v>
      </c>
      <c r="I22" s="347">
        <f>Roadmap!Y111</f>
        <v>0</v>
      </c>
      <c r="J22" s="341">
        <f t="shared" si="8"/>
        <v>0</v>
      </c>
      <c r="K22" s="343">
        <f t="shared" si="9"/>
        <v>0</v>
      </c>
      <c r="L22" s="344"/>
      <c r="M22" s="337"/>
      <c r="N22" s="337"/>
      <c r="O22" s="337"/>
      <c r="P22" s="337"/>
      <c r="Q22" s="337"/>
      <c r="R22" s="337"/>
      <c r="S22" s="337"/>
      <c r="T22" s="337"/>
      <c r="U22" s="337"/>
      <c r="V22" s="337"/>
      <c r="Z22" s="323" t="str">
        <f t="shared" si="10"/>
        <v>Requirements Testing</v>
      </c>
      <c r="AA22" s="345">
        <f t="shared" si="0"/>
        <v>0</v>
      </c>
      <c r="AB22" s="345">
        <f t="shared" si="1"/>
        <v>0</v>
      </c>
      <c r="AC22" s="345">
        <f t="shared" si="2"/>
        <v>0</v>
      </c>
      <c r="AD22" s="345">
        <f t="shared" si="3"/>
        <v>0</v>
      </c>
      <c r="AE22" s="345">
        <f t="shared" si="4"/>
        <v>0</v>
      </c>
    </row>
    <row r="23" spans="1:31">
      <c r="A23" s="362" t="s">
        <v>148</v>
      </c>
      <c r="B23" s="349">
        <f>IF(ISNUMBER(Interview!$J$175),Interview!$J$175,SUM(LEFT(Interview!$J$175),".5"))</f>
        <v>0</v>
      </c>
      <c r="C23" s="347">
        <f>Roadmap!M120</f>
        <v>0</v>
      </c>
      <c r="D23" s="350">
        <f t="shared" si="5"/>
        <v>0</v>
      </c>
      <c r="E23" s="347">
        <f>Roadmap!Q120</f>
        <v>0</v>
      </c>
      <c r="F23" s="350">
        <f t="shared" si="6"/>
        <v>0</v>
      </c>
      <c r="G23" s="347">
        <f>Roadmap!U120</f>
        <v>0</v>
      </c>
      <c r="H23" s="350">
        <f t="shared" si="7"/>
        <v>0</v>
      </c>
      <c r="I23" s="347">
        <f>Roadmap!Y120</f>
        <v>0</v>
      </c>
      <c r="J23" s="350">
        <f t="shared" si="8"/>
        <v>0</v>
      </c>
      <c r="K23" s="343">
        <f t="shared" si="9"/>
        <v>0</v>
      </c>
      <c r="L23" s="344"/>
      <c r="M23" s="337"/>
      <c r="N23" s="337"/>
      <c r="O23" s="337"/>
      <c r="P23" s="337"/>
      <c r="Q23" s="337"/>
      <c r="R23" s="337"/>
      <c r="S23" s="337"/>
      <c r="T23" s="337"/>
      <c r="U23" s="337"/>
      <c r="V23" s="337"/>
      <c r="Z23" s="323" t="str">
        <f t="shared" si="10"/>
        <v>Security Testing</v>
      </c>
      <c r="AA23" s="345">
        <f t="shared" si="0"/>
        <v>0</v>
      </c>
      <c r="AB23" s="345">
        <f t="shared" si="1"/>
        <v>0</v>
      </c>
      <c r="AC23" s="345">
        <f t="shared" si="2"/>
        <v>0</v>
      </c>
      <c r="AD23" s="345">
        <f t="shared" si="3"/>
        <v>0</v>
      </c>
      <c r="AE23" s="345">
        <f t="shared" si="4"/>
        <v>0</v>
      </c>
    </row>
    <row r="24" spans="1:31">
      <c r="A24" s="363" t="s">
        <v>156</v>
      </c>
      <c r="B24" s="339">
        <f>IF(ISNUMBER(Interview!$J$190),Interview!$J$190,SUM(LEFT(Interview!$J$190),".5"))</f>
        <v>0</v>
      </c>
      <c r="C24" s="352">
        <f>Roadmap!M130</f>
        <v>0</v>
      </c>
      <c r="D24" s="353">
        <f t="shared" si="5"/>
        <v>0</v>
      </c>
      <c r="E24" s="352">
        <f>Roadmap!Q130</f>
        <v>0</v>
      </c>
      <c r="F24" s="353">
        <f t="shared" si="6"/>
        <v>0</v>
      </c>
      <c r="G24" s="352">
        <f>Roadmap!U130</f>
        <v>0</v>
      </c>
      <c r="H24" s="353">
        <f t="shared" si="7"/>
        <v>0</v>
      </c>
      <c r="I24" s="352">
        <f>Roadmap!Y130</f>
        <v>0</v>
      </c>
      <c r="J24" s="353">
        <f t="shared" si="8"/>
        <v>0</v>
      </c>
      <c r="K24" s="343">
        <f t="shared" si="9"/>
        <v>0</v>
      </c>
      <c r="L24" s="344"/>
      <c r="M24" s="337"/>
      <c r="N24" s="337"/>
      <c r="O24" s="337"/>
      <c r="P24" s="337"/>
      <c r="Q24" s="337"/>
      <c r="R24" s="337"/>
      <c r="S24" s="337"/>
      <c r="T24" s="337"/>
      <c r="U24" s="337"/>
      <c r="V24" s="337"/>
      <c r="Z24" s="323" t="str">
        <f t="shared" si="10"/>
        <v>Incident Management</v>
      </c>
      <c r="AA24" s="345">
        <f t="shared" si="0"/>
        <v>0</v>
      </c>
      <c r="AB24" s="345">
        <f t="shared" si="1"/>
        <v>0</v>
      </c>
      <c r="AC24" s="345">
        <f t="shared" si="2"/>
        <v>0</v>
      </c>
      <c r="AD24" s="345">
        <f t="shared" si="3"/>
        <v>0</v>
      </c>
      <c r="AE24" s="345">
        <f t="shared" si="4"/>
        <v>0</v>
      </c>
    </row>
    <row r="25" spans="1:31">
      <c r="A25" s="364" t="s">
        <v>163</v>
      </c>
      <c r="B25" s="339">
        <f>IF(ISNUMBER(Interview!$J$204),Interview!$J$204,SUM(LEFT(Interview!$J$204),".5"))</f>
        <v>0</v>
      </c>
      <c r="C25" s="347">
        <f>Roadmap!M139</f>
        <v>0</v>
      </c>
      <c r="D25" s="341">
        <f t="shared" si="5"/>
        <v>0</v>
      </c>
      <c r="E25" s="347">
        <f>Roadmap!Q139</f>
        <v>0</v>
      </c>
      <c r="F25" s="341">
        <f t="shared" si="6"/>
        <v>0</v>
      </c>
      <c r="G25" s="347">
        <f>Roadmap!U139</f>
        <v>0</v>
      </c>
      <c r="H25" s="341">
        <f t="shared" si="7"/>
        <v>0</v>
      </c>
      <c r="I25" s="347">
        <f>Roadmap!Y139</f>
        <v>0</v>
      </c>
      <c r="J25" s="341">
        <f t="shared" si="8"/>
        <v>0</v>
      </c>
      <c r="K25" s="343">
        <f t="shared" si="9"/>
        <v>0</v>
      </c>
      <c r="L25" s="344"/>
      <c r="M25" s="337"/>
      <c r="N25" s="337"/>
      <c r="O25" s="337"/>
      <c r="P25" s="337"/>
      <c r="Q25" s="337"/>
      <c r="R25" s="337"/>
      <c r="S25" s="337"/>
      <c r="T25" s="337"/>
      <c r="U25" s="337"/>
      <c r="V25" s="337"/>
      <c r="Z25" s="323" t="str">
        <f t="shared" si="10"/>
        <v>Environment Management</v>
      </c>
      <c r="AA25" s="345">
        <f t="shared" si="0"/>
        <v>0</v>
      </c>
      <c r="AB25" s="345">
        <f t="shared" si="1"/>
        <v>0</v>
      </c>
      <c r="AC25" s="345">
        <f t="shared" si="2"/>
        <v>0</v>
      </c>
      <c r="AD25" s="345">
        <f t="shared" si="3"/>
        <v>0</v>
      </c>
      <c r="AE25" s="345">
        <f t="shared" si="4"/>
        <v>0</v>
      </c>
    </row>
    <row r="26" spans="1:31">
      <c r="A26" s="365" t="s">
        <v>170</v>
      </c>
      <c r="B26" s="366">
        <f>IF(ISNUMBER(Interview!$J$218),Interview!$J$218,SUM(LEFT(Interview!$J$218),".5"))</f>
        <v>0</v>
      </c>
      <c r="C26" s="367">
        <f>Roadmap!M148</f>
        <v>0</v>
      </c>
      <c r="D26" s="368">
        <f t="shared" si="5"/>
        <v>0</v>
      </c>
      <c r="E26" s="367">
        <f>Roadmap!Q148</f>
        <v>0</v>
      </c>
      <c r="F26" s="368">
        <f t="shared" si="6"/>
        <v>0</v>
      </c>
      <c r="G26" s="367">
        <f>Roadmap!U148</f>
        <v>0</v>
      </c>
      <c r="H26" s="368">
        <f t="shared" si="7"/>
        <v>0</v>
      </c>
      <c r="I26" s="367">
        <f>Roadmap!Y148</f>
        <v>0</v>
      </c>
      <c r="J26" s="368">
        <f t="shared" si="8"/>
        <v>0</v>
      </c>
      <c r="K26" s="343">
        <f t="shared" si="9"/>
        <v>0</v>
      </c>
      <c r="L26" s="344"/>
      <c r="M26" s="337"/>
      <c r="N26" s="337"/>
      <c r="O26" s="337"/>
      <c r="P26" s="337"/>
      <c r="Q26" s="337"/>
      <c r="R26" s="337"/>
      <c r="S26" s="337"/>
      <c r="T26" s="337"/>
      <c r="U26" s="337"/>
      <c r="V26" s="337"/>
      <c r="Z26" s="323" t="str">
        <f t="shared" si="10"/>
        <v>Operational Management</v>
      </c>
      <c r="AA26" s="345">
        <f t="shared" si="0"/>
        <v>0</v>
      </c>
      <c r="AB26" s="345">
        <f t="shared" si="1"/>
        <v>0</v>
      </c>
      <c r="AC26" s="345">
        <f t="shared" si="2"/>
        <v>0</v>
      </c>
      <c r="AD26" s="345">
        <f t="shared" si="3"/>
        <v>0</v>
      </c>
      <c r="AE26" s="345">
        <f t="shared" si="4"/>
        <v>0</v>
      </c>
    </row>
    <row r="27" spans="1:31">
      <c r="L27" s="344" t="str">
        <f>A13</f>
        <v>Policy &amp; Compliance</v>
      </c>
      <c r="M27" s="337"/>
      <c r="N27" s="337"/>
      <c r="O27" s="337"/>
      <c r="P27" s="337"/>
      <c r="Q27" s="337"/>
      <c r="R27" s="337"/>
      <c r="S27" s="337"/>
      <c r="T27" s="337"/>
      <c r="U27" s="337"/>
      <c r="V27" s="337"/>
    </row>
    <row r="28" spans="1:31">
      <c r="B28" s="369" t="s">
        <v>218</v>
      </c>
      <c r="C28" s="345">
        <f>SUM(C12:C26)-SUM(B12:B26)</f>
        <v>-3.875</v>
      </c>
      <c r="D28" s="345"/>
      <c r="E28" s="345">
        <f>SUM(E12:E26)-SUM(C12:C26)</f>
        <v>0</v>
      </c>
      <c r="F28" s="345"/>
      <c r="G28" s="345">
        <f>SUM(G12:G26)-SUM(E12:E26)</f>
        <v>0</v>
      </c>
      <c r="H28" s="345"/>
      <c r="I28" s="345">
        <f>SUM(I12:I26)-SUM(G12:G26)</f>
        <v>0</v>
      </c>
      <c r="J28" s="345"/>
      <c r="K28" s="343">
        <f>SUM(K12:K26)</f>
        <v>-3.875</v>
      </c>
      <c r="L28" s="344"/>
      <c r="M28" s="337"/>
      <c r="N28" s="337"/>
      <c r="O28" s="337"/>
      <c r="P28" s="337"/>
      <c r="Q28" s="337"/>
      <c r="R28" s="337"/>
      <c r="S28" s="337"/>
      <c r="T28" s="337"/>
      <c r="U28" s="337"/>
      <c r="V28" s="337"/>
    </row>
    <row r="29" spans="1:31">
      <c r="B29" s="369"/>
      <c r="C29" s="370">
        <f>C28/$K$28</f>
        <v>1</v>
      </c>
      <c r="E29" s="370">
        <f>E28/$K$28</f>
        <v>0</v>
      </c>
      <c r="G29" s="370">
        <f>G28/$K$28</f>
        <v>0</v>
      </c>
      <c r="I29" s="370">
        <f>I28/$K$28</f>
        <v>0</v>
      </c>
      <c r="K29" s="371">
        <f>1-K28/24</f>
        <v>1.1614583333333333</v>
      </c>
      <c r="L29" s="344"/>
      <c r="M29" s="337"/>
      <c r="N29" s="337"/>
      <c r="O29" s="337"/>
      <c r="P29" s="337"/>
      <c r="Q29" s="337"/>
      <c r="R29" s="337"/>
      <c r="S29" s="337"/>
      <c r="T29" s="337"/>
      <c r="U29" s="337"/>
      <c r="V29" s="337"/>
    </row>
    <row r="30" spans="1:31">
      <c r="B30" s="369"/>
      <c r="L30" s="344"/>
      <c r="M30" s="337"/>
      <c r="N30" s="337"/>
      <c r="O30" s="337"/>
      <c r="P30" s="337"/>
      <c r="Q30" s="337"/>
      <c r="R30" s="337"/>
      <c r="S30" s="337"/>
      <c r="T30" s="337"/>
      <c r="U30" s="337"/>
      <c r="V30" s="337"/>
    </row>
    <row r="31" spans="1:31">
      <c r="L31" s="344"/>
      <c r="M31" s="337"/>
      <c r="N31" s="337"/>
      <c r="O31" s="337"/>
      <c r="P31" s="337"/>
      <c r="Q31" s="337"/>
      <c r="R31" s="337"/>
      <c r="S31" s="337"/>
      <c r="T31" s="337"/>
      <c r="U31" s="337"/>
      <c r="V31" s="337"/>
    </row>
    <row r="32" spans="1:31">
      <c r="A32" s="372" t="s">
        <v>219</v>
      </c>
      <c r="B32" s="373">
        <v>0</v>
      </c>
      <c r="L32" s="344"/>
      <c r="M32" s="337"/>
      <c r="N32" s="337"/>
      <c r="O32" s="337"/>
      <c r="P32" s="337"/>
      <c r="Q32" s="337"/>
      <c r="R32" s="337"/>
      <c r="S32" s="337"/>
      <c r="T32" s="337"/>
      <c r="U32" s="337"/>
      <c r="V32" s="337"/>
    </row>
    <row r="33" spans="1:22">
      <c r="A33" s="374"/>
      <c r="B33" s="375">
        <v>0.5</v>
      </c>
      <c r="L33" s="344"/>
      <c r="M33" s="337"/>
      <c r="N33" s="337"/>
      <c r="O33" s="337"/>
      <c r="P33" s="337"/>
      <c r="Q33" s="337"/>
      <c r="R33" s="337"/>
      <c r="S33" s="337"/>
      <c r="T33" s="337"/>
      <c r="U33" s="337"/>
      <c r="V33" s="337"/>
    </row>
    <row r="34" spans="1:22">
      <c r="A34" s="374"/>
      <c r="B34" s="375">
        <v>1</v>
      </c>
      <c r="L34" s="344" t="str">
        <f>A14</f>
        <v>Education &amp; Guidance</v>
      </c>
      <c r="M34" s="337"/>
      <c r="N34" s="337"/>
      <c r="O34" s="337"/>
      <c r="P34" s="337"/>
      <c r="Q34" s="337"/>
      <c r="R34" s="337"/>
      <c r="S34" s="337"/>
      <c r="T34" s="337"/>
      <c r="U34" s="337"/>
      <c r="V34" s="337"/>
    </row>
    <row r="35" spans="1:22">
      <c r="A35" s="374"/>
      <c r="B35" s="375">
        <v>1.5</v>
      </c>
      <c r="L35" s="344"/>
      <c r="M35" s="337"/>
      <c r="N35" s="337"/>
      <c r="O35" s="337"/>
      <c r="P35" s="337"/>
      <c r="Q35" s="337"/>
      <c r="R35" s="337"/>
      <c r="S35" s="337"/>
      <c r="T35" s="337"/>
      <c r="U35" s="337"/>
      <c r="V35" s="337"/>
    </row>
    <row r="36" spans="1:22">
      <c r="A36" s="374"/>
      <c r="B36" s="375">
        <v>2</v>
      </c>
      <c r="L36" s="344"/>
      <c r="M36" s="337"/>
      <c r="N36" s="337"/>
      <c r="O36" s="337"/>
      <c r="P36" s="337"/>
      <c r="Q36" s="337"/>
      <c r="R36" s="337"/>
      <c r="S36" s="337"/>
      <c r="T36" s="337"/>
      <c r="U36" s="337"/>
      <c r="V36" s="337"/>
    </row>
    <row r="37" spans="1:22">
      <c r="A37" s="374"/>
      <c r="B37" s="375">
        <v>2.5</v>
      </c>
      <c r="L37" s="344"/>
      <c r="M37" s="337"/>
      <c r="N37" s="337"/>
      <c r="O37" s="337"/>
      <c r="P37" s="337"/>
      <c r="Q37" s="337"/>
      <c r="R37" s="337"/>
      <c r="S37" s="337"/>
      <c r="T37" s="337"/>
      <c r="U37" s="337"/>
      <c r="V37" s="337"/>
    </row>
    <row r="38" spans="1:22">
      <c r="A38" s="376"/>
      <c r="B38" s="377">
        <v>3</v>
      </c>
      <c r="L38" s="344"/>
      <c r="M38" s="337"/>
      <c r="N38" s="337"/>
      <c r="O38" s="337"/>
      <c r="P38" s="337"/>
      <c r="Q38" s="337"/>
      <c r="R38" s="337"/>
      <c r="S38" s="337"/>
      <c r="T38" s="337"/>
      <c r="U38" s="337"/>
      <c r="V38" s="337"/>
    </row>
    <row r="39" spans="1:22">
      <c r="L39" s="344"/>
      <c r="M39" s="337"/>
      <c r="N39" s="337"/>
      <c r="O39" s="337"/>
      <c r="P39" s="337"/>
      <c r="Q39" s="337"/>
      <c r="R39" s="337"/>
      <c r="S39" s="337"/>
      <c r="T39" s="337"/>
      <c r="U39" s="337"/>
      <c r="V39" s="337"/>
    </row>
    <row r="40" spans="1:22">
      <c r="L40" s="344"/>
      <c r="M40" s="337"/>
      <c r="N40" s="337"/>
      <c r="O40" s="337"/>
      <c r="P40" s="337"/>
      <c r="Q40" s="337"/>
      <c r="R40" s="337"/>
      <c r="S40" s="337"/>
      <c r="T40" s="337"/>
      <c r="U40" s="337"/>
      <c r="V40" s="337"/>
    </row>
    <row r="41" spans="1:22">
      <c r="L41" s="344" t="str">
        <f>A15</f>
        <v>Threat Assessment</v>
      </c>
      <c r="M41" s="337"/>
      <c r="N41" s="337"/>
      <c r="O41" s="337"/>
      <c r="P41" s="337"/>
      <c r="Q41" s="337"/>
      <c r="R41" s="337"/>
      <c r="S41" s="337"/>
      <c r="T41" s="337"/>
      <c r="U41" s="337"/>
      <c r="V41" s="337"/>
    </row>
    <row r="42" spans="1:22">
      <c r="L42" s="344"/>
      <c r="M42" s="337"/>
      <c r="N42" s="337"/>
      <c r="O42" s="337"/>
      <c r="P42" s="337"/>
      <c r="Q42" s="337"/>
      <c r="R42" s="337"/>
      <c r="S42" s="337"/>
      <c r="T42" s="337"/>
      <c r="U42" s="337"/>
      <c r="V42" s="337"/>
    </row>
    <row r="43" spans="1:22">
      <c r="L43" s="344"/>
      <c r="M43" s="337"/>
      <c r="N43" s="337"/>
      <c r="O43" s="337"/>
      <c r="P43" s="337"/>
      <c r="Q43" s="337"/>
      <c r="R43" s="337"/>
      <c r="S43" s="337"/>
      <c r="T43" s="337"/>
      <c r="U43" s="337"/>
      <c r="V43" s="337"/>
    </row>
    <row r="44" spans="1:22">
      <c r="L44" s="344"/>
      <c r="M44" s="337"/>
      <c r="N44" s="337"/>
      <c r="O44" s="337"/>
      <c r="P44" s="337"/>
      <c r="Q44" s="337"/>
      <c r="R44" s="337"/>
      <c r="S44" s="337"/>
      <c r="T44" s="337"/>
      <c r="U44" s="337"/>
      <c r="V44" s="337"/>
    </row>
    <row r="45" spans="1:22">
      <c r="L45" s="344"/>
      <c r="M45" s="337"/>
      <c r="N45" s="337"/>
      <c r="O45" s="337"/>
      <c r="P45" s="337"/>
      <c r="Q45" s="337"/>
      <c r="R45" s="337"/>
      <c r="S45" s="337"/>
      <c r="T45" s="337"/>
      <c r="U45" s="337"/>
      <c r="V45" s="337"/>
    </row>
    <row r="46" spans="1:22">
      <c r="L46" s="344"/>
      <c r="M46" s="337"/>
      <c r="N46" s="337"/>
      <c r="O46" s="337"/>
      <c r="P46" s="337"/>
      <c r="Q46" s="337"/>
      <c r="R46" s="337"/>
      <c r="S46" s="337"/>
      <c r="T46" s="337"/>
      <c r="U46" s="337"/>
      <c r="V46" s="337"/>
    </row>
    <row r="47" spans="1:22">
      <c r="L47" s="344"/>
      <c r="M47" s="337"/>
      <c r="N47" s="337"/>
      <c r="O47" s="337"/>
      <c r="P47" s="337"/>
      <c r="Q47" s="337"/>
      <c r="R47" s="337"/>
      <c r="S47" s="337"/>
      <c r="T47" s="337"/>
      <c r="U47" s="337"/>
      <c r="V47" s="337"/>
    </row>
    <row r="48" spans="1:22">
      <c r="L48" s="344" t="str">
        <f>A16</f>
        <v>Security Requirements</v>
      </c>
      <c r="M48" s="337"/>
      <c r="N48" s="337"/>
      <c r="O48" s="337"/>
      <c r="P48" s="337"/>
      <c r="Q48" s="337"/>
      <c r="R48" s="337"/>
      <c r="S48" s="337"/>
      <c r="T48" s="337"/>
      <c r="U48" s="337"/>
      <c r="V48" s="337"/>
    </row>
    <row r="49" spans="12:22">
      <c r="L49" s="344"/>
      <c r="M49" s="337"/>
      <c r="N49" s="337"/>
      <c r="O49" s="337"/>
      <c r="P49" s="337"/>
      <c r="Q49" s="337"/>
      <c r="R49" s="337"/>
      <c r="S49" s="337"/>
      <c r="T49" s="337"/>
      <c r="U49" s="337"/>
      <c r="V49" s="337"/>
    </row>
    <row r="50" spans="12:22">
      <c r="L50" s="344"/>
      <c r="M50" s="337"/>
      <c r="N50" s="337"/>
      <c r="O50" s="337"/>
      <c r="P50" s="337"/>
      <c r="Q50" s="337"/>
      <c r="R50" s="337"/>
      <c r="S50" s="337"/>
      <c r="T50" s="337"/>
      <c r="U50" s="337"/>
      <c r="V50" s="337"/>
    </row>
    <row r="51" spans="12:22">
      <c r="L51" s="344"/>
      <c r="M51" s="337"/>
      <c r="N51" s="337"/>
      <c r="O51" s="337"/>
      <c r="P51" s="337"/>
      <c r="Q51" s="337"/>
      <c r="R51" s="337"/>
      <c r="S51" s="337"/>
      <c r="T51" s="337"/>
      <c r="U51" s="337"/>
      <c r="V51" s="337"/>
    </row>
    <row r="52" spans="12:22">
      <c r="L52" s="344"/>
      <c r="M52" s="337"/>
      <c r="N52" s="337"/>
      <c r="O52" s="337"/>
      <c r="P52" s="337"/>
      <c r="Q52" s="337"/>
      <c r="R52" s="337"/>
      <c r="S52" s="337"/>
      <c r="T52" s="337"/>
      <c r="U52" s="337"/>
      <c r="V52" s="337"/>
    </row>
    <row r="53" spans="12:22">
      <c r="L53" s="344"/>
      <c r="M53" s="337"/>
      <c r="N53" s="337"/>
      <c r="O53" s="337"/>
      <c r="P53" s="337"/>
      <c r="Q53" s="337"/>
      <c r="R53" s="337"/>
      <c r="S53" s="337"/>
      <c r="T53" s="337"/>
      <c r="U53" s="337"/>
      <c r="V53" s="337"/>
    </row>
    <row r="54" spans="12:22">
      <c r="L54" s="344"/>
      <c r="M54" s="337"/>
      <c r="N54" s="337"/>
      <c r="O54" s="337"/>
      <c r="P54" s="337"/>
      <c r="Q54" s="337"/>
      <c r="R54" s="337"/>
      <c r="S54" s="337"/>
      <c r="T54" s="337"/>
      <c r="U54" s="337"/>
      <c r="V54" s="337"/>
    </row>
    <row r="55" spans="12:22">
      <c r="L55" s="344"/>
      <c r="M55" s="337"/>
      <c r="N55" s="337"/>
      <c r="O55" s="337"/>
      <c r="P55" s="337"/>
      <c r="Q55" s="337"/>
      <c r="R55" s="337"/>
      <c r="S55" s="337"/>
      <c r="T55" s="337"/>
      <c r="U55" s="337"/>
      <c r="V55" s="337"/>
    </row>
    <row r="56" spans="12:22">
      <c r="L56" s="344" t="str">
        <f>A17</f>
        <v>Secure Architecture</v>
      </c>
    </row>
    <row r="57" spans="12:22">
      <c r="L57" s="374"/>
    </row>
    <row r="58" spans="12:22">
      <c r="L58" s="374"/>
    </row>
    <row r="59" spans="12:22">
      <c r="L59" s="374"/>
    </row>
    <row r="60" spans="12:22">
      <c r="L60" s="374"/>
    </row>
    <row r="61" spans="12:22">
      <c r="L61" s="374"/>
    </row>
    <row r="62" spans="12:22">
      <c r="L62" s="374"/>
    </row>
    <row r="63" spans="12:22">
      <c r="L63" s="374" t="s">
        <v>110</v>
      </c>
    </row>
    <row r="64" spans="12:22">
      <c r="L64" s="374"/>
    </row>
    <row r="65" spans="12:22">
      <c r="L65" s="374"/>
    </row>
    <row r="66" spans="12:22">
      <c r="L66" s="374"/>
    </row>
    <row r="67" spans="12:22">
      <c r="L67" s="374"/>
    </row>
    <row r="68" spans="12:22">
      <c r="L68" s="374"/>
    </row>
    <row r="69" spans="12:22">
      <c r="L69" s="374"/>
    </row>
    <row r="70" spans="12:22">
      <c r="L70" s="374" t="s">
        <v>119</v>
      </c>
    </row>
    <row r="71" spans="12:22">
      <c r="L71" s="374"/>
    </row>
    <row r="72" spans="12:22">
      <c r="L72" s="374"/>
    </row>
    <row r="73" spans="12:22">
      <c r="L73" s="374"/>
    </row>
    <row r="74" spans="12:22">
      <c r="L74" s="374"/>
    </row>
    <row r="75" spans="12:22">
      <c r="L75" s="374"/>
    </row>
    <row r="76" spans="12:22">
      <c r="L76" s="374"/>
    </row>
    <row r="77" spans="12:22">
      <c r="L77" s="374" t="s">
        <v>126</v>
      </c>
    </row>
    <row r="78" spans="12:22">
      <c r="L78" s="374"/>
    </row>
    <row r="79" spans="12:22">
      <c r="L79" s="374"/>
    </row>
    <row r="80" spans="12:22">
      <c r="L80" s="374"/>
      <c r="M80" s="337"/>
      <c r="N80" s="337"/>
      <c r="O80" s="337"/>
      <c r="P80" s="337"/>
      <c r="Q80" s="337"/>
      <c r="R80" s="337"/>
      <c r="S80" s="337"/>
      <c r="T80" s="337"/>
      <c r="U80" s="337"/>
      <c r="V80" s="337"/>
    </row>
    <row r="81" spans="12:22">
      <c r="L81" s="344"/>
      <c r="M81" s="337"/>
      <c r="N81" s="337"/>
      <c r="O81" s="337"/>
      <c r="P81" s="337"/>
      <c r="Q81" s="337"/>
      <c r="R81" s="337"/>
      <c r="S81" s="337"/>
      <c r="T81" s="337"/>
      <c r="U81" s="337"/>
      <c r="V81" s="337"/>
    </row>
    <row r="82" spans="12:22">
      <c r="L82" s="344"/>
      <c r="M82" s="337"/>
      <c r="N82" s="337"/>
      <c r="O82" s="337"/>
      <c r="P82" s="337"/>
      <c r="Q82" s="337"/>
      <c r="R82" s="337"/>
      <c r="S82" s="337"/>
      <c r="T82" s="337"/>
      <c r="U82" s="337"/>
      <c r="V82" s="337"/>
    </row>
    <row r="83" spans="12:22">
      <c r="L83" s="344"/>
      <c r="M83" s="337"/>
      <c r="N83" s="337"/>
      <c r="O83" s="337"/>
      <c r="P83" s="337"/>
      <c r="Q83" s="337"/>
      <c r="R83" s="337"/>
      <c r="S83" s="337"/>
      <c r="T83" s="337"/>
      <c r="U83" s="337"/>
      <c r="V83" s="337"/>
    </row>
    <row r="84" spans="12:22">
      <c r="L84" s="344"/>
      <c r="M84" s="337"/>
      <c r="N84" s="337"/>
      <c r="O84" s="337"/>
      <c r="P84" s="337"/>
      <c r="Q84" s="337"/>
      <c r="R84" s="337"/>
      <c r="S84" s="337"/>
      <c r="T84" s="337"/>
      <c r="U84" s="337"/>
      <c r="V84" s="337"/>
    </row>
    <row r="85" spans="12:22">
      <c r="L85" s="344"/>
      <c r="M85" s="337"/>
      <c r="N85" s="337"/>
      <c r="O85" s="337"/>
      <c r="P85" s="337"/>
      <c r="Q85" s="337"/>
      <c r="R85" s="337"/>
      <c r="S85" s="337"/>
      <c r="T85" s="337"/>
      <c r="U85" s="337"/>
      <c r="V85" s="337"/>
    </row>
    <row r="86" spans="12:22">
      <c r="L86" s="344"/>
      <c r="M86" s="337"/>
      <c r="N86" s="337"/>
      <c r="O86" s="337"/>
      <c r="P86" s="337"/>
      <c r="Q86" s="337"/>
      <c r="R86" s="337"/>
      <c r="S86" s="337"/>
      <c r="T86" s="337"/>
      <c r="U86" s="337"/>
      <c r="V86" s="337"/>
    </row>
    <row r="87" spans="12:22">
      <c r="L87" s="344"/>
      <c r="M87" s="337"/>
      <c r="N87" s="337"/>
      <c r="O87" s="337"/>
      <c r="P87" s="337"/>
      <c r="Q87" s="337"/>
      <c r="R87" s="337"/>
      <c r="S87" s="337"/>
      <c r="T87" s="337"/>
      <c r="U87" s="337"/>
      <c r="V87" s="337"/>
    </row>
    <row r="88" spans="12:22">
      <c r="L88" s="344" t="str">
        <f>A21</f>
        <v>Architecture Assessment</v>
      </c>
      <c r="M88" s="337"/>
      <c r="N88" s="337"/>
      <c r="O88" s="337"/>
      <c r="P88" s="337"/>
      <c r="Q88" s="337"/>
      <c r="R88" s="337"/>
      <c r="S88" s="337"/>
      <c r="T88" s="337"/>
      <c r="U88" s="337"/>
      <c r="V88" s="337"/>
    </row>
    <row r="89" spans="12:22">
      <c r="L89" s="344"/>
      <c r="M89" s="337"/>
      <c r="N89" s="337"/>
      <c r="O89" s="337"/>
      <c r="P89" s="337"/>
      <c r="Q89" s="337"/>
      <c r="R89" s="337"/>
      <c r="S89" s="337"/>
      <c r="T89" s="337"/>
      <c r="U89" s="337"/>
      <c r="V89" s="337"/>
    </row>
    <row r="90" spans="12:22">
      <c r="L90" s="344"/>
      <c r="M90" s="337"/>
      <c r="N90" s="337"/>
      <c r="O90" s="337"/>
      <c r="P90" s="337"/>
      <c r="Q90" s="337"/>
      <c r="R90" s="337"/>
      <c r="S90" s="337"/>
      <c r="T90" s="337"/>
      <c r="U90" s="337"/>
      <c r="V90" s="337"/>
    </row>
    <row r="91" spans="12:22">
      <c r="L91" s="344"/>
      <c r="M91" s="337"/>
      <c r="N91" s="337"/>
      <c r="O91" s="337"/>
      <c r="P91" s="337"/>
      <c r="Q91" s="337"/>
      <c r="R91" s="337"/>
      <c r="S91" s="337"/>
      <c r="T91" s="337"/>
      <c r="U91" s="337"/>
      <c r="V91" s="337"/>
    </row>
    <row r="92" spans="12:22">
      <c r="L92" s="344"/>
      <c r="M92" s="337"/>
      <c r="N92" s="337"/>
      <c r="O92" s="337"/>
      <c r="P92" s="337"/>
      <c r="Q92" s="337"/>
      <c r="R92" s="337"/>
      <c r="S92" s="337"/>
      <c r="T92" s="337"/>
      <c r="U92" s="337"/>
      <c r="V92" s="337"/>
    </row>
    <row r="93" spans="12:22">
      <c r="L93" s="344"/>
      <c r="M93" s="337"/>
      <c r="N93" s="337"/>
      <c r="O93" s="337"/>
      <c r="P93" s="337"/>
      <c r="Q93" s="337"/>
      <c r="R93" s="337"/>
      <c r="S93" s="337"/>
      <c r="T93" s="337"/>
      <c r="U93" s="337"/>
      <c r="V93" s="337"/>
    </row>
    <row r="94" spans="12:22">
      <c r="L94" s="344"/>
      <c r="M94" s="337"/>
      <c r="N94" s="337"/>
      <c r="O94" s="337"/>
      <c r="P94" s="337"/>
      <c r="Q94" s="337"/>
      <c r="R94" s="337"/>
      <c r="S94" s="337"/>
      <c r="T94" s="337"/>
      <c r="U94" s="337"/>
      <c r="V94" s="337"/>
    </row>
    <row r="95" spans="12:22">
      <c r="L95" s="344"/>
      <c r="M95" s="337"/>
      <c r="N95" s="337"/>
      <c r="O95" s="337"/>
      <c r="P95" s="337"/>
      <c r="Q95" s="337"/>
      <c r="R95" s="337"/>
      <c r="S95" s="337"/>
      <c r="T95" s="337"/>
      <c r="U95" s="337"/>
      <c r="V95" s="337"/>
    </row>
    <row r="96" spans="12:22">
      <c r="L96" s="344" t="str">
        <f>A22</f>
        <v>Requirements Testing</v>
      </c>
      <c r="M96" s="337"/>
      <c r="N96" s="337"/>
      <c r="O96" s="337"/>
      <c r="P96" s="337"/>
      <c r="Q96" s="337"/>
      <c r="R96" s="337"/>
      <c r="S96" s="337"/>
      <c r="T96" s="337"/>
      <c r="U96" s="337"/>
      <c r="V96" s="337"/>
    </row>
    <row r="97" spans="12:22">
      <c r="L97" s="344"/>
      <c r="M97" s="337"/>
      <c r="N97" s="337"/>
      <c r="O97" s="337"/>
      <c r="P97" s="337"/>
      <c r="Q97" s="337"/>
      <c r="R97" s="337"/>
      <c r="S97" s="337"/>
      <c r="T97" s="337"/>
      <c r="U97" s="337"/>
      <c r="V97" s="337"/>
    </row>
    <row r="98" spans="12:22">
      <c r="L98" s="344"/>
      <c r="M98" s="337"/>
      <c r="N98" s="337"/>
      <c r="O98" s="337"/>
      <c r="P98" s="337"/>
      <c r="Q98" s="337"/>
      <c r="R98" s="337"/>
      <c r="S98" s="337"/>
      <c r="T98" s="337"/>
      <c r="U98" s="337"/>
      <c r="V98" s="337"/>
    </row>
    <row r="99" spans="12:22">
      <c r="L99" s="344"/>
      <c r="M99" s="337"/>
      <c r="N99" s="337"/>
      <c r="O99" s="337"/>
      <c r="P99" s="337"/>
      <c r="Q99" s="337"/>
      <c r="R99" s="337"/>
      <c r="S99" s="337"/>
      <c r="T99" s="337"/>
      <c r="U99" s="337"/>
      <c r="V99" s="337"/>
    </row>
    <row r="100" spans="12:22">
      <c r="L100" s="344"/>
      <c r="M100" s="337"/>
      <c r="N100" s="337"/>
      <c r="O100" s="337"/>
      <c r="P100" s="337"/>
      <c r="Q100" s="337"/>
      <c r="R100" s="337"/>
      <c r="S100" s="337"/>
      <c r="T100" s="337"/>
      <c r="U100" s="337"/>
      <c r="V100" s="337"/>
    </row>
    <row r="101" spans="12:22">
      <c r="L101" s="344"/>
      <c r="M101" s="337"/>
      <c r="N101" s="337"/>
      <c r="O101" s="337"/>
      <c r="P101" s="337"/>
      <c r="Q101" s="337"/>
      <c r="R101" s="337"/>
      <c r="S101" s="337"/>
      <c r="T101" s="337"/>
      <c r="U101" s="337"/>
      <c r="V101" s="337"/>
    </row>
    <row r="102" spans="12:22">
      <c r="L102" s="344"/>
      <c r="M102" s="337"/>
      <c r="N102" s="337"/>
      <c r="O102" s="337"/>
      <c r="P102" s="337"/>
      <c r="Q102" s="337"/>
      <c r="R102" s="337"/>
      <c r="S102" s="337"/>
      <c r="T102" s="337"/>
      <c r="U102" s="337"/>
      <c r="V102" s="337"/>
    </row>
    <row r="103" spans="12:22">
      <c r="L103" s="344"/>
      <c r="M103" s="337"/>
      <c r="N103" s="337"/>
      <c r="O103" s="337"/>
      <c r="P103" s="337"/>
      <c r="Q103" s="337"/>
      <c r="R103" s="337"/>
      <c r="S103" s="337"/>
      <c r="T103" s="337"/>
      <c r="U103" s="337"/>
      <c r="V103" s="337"/>
    </row>
    <row r="104" spans="12:22">
      <c r="L104" s="344" t="str">
        <f>A23</f>
        <v>Security Testing</v>
      </c>
      <c r="M104" s="337"/>
      <c r="N104" s="337"/>
      <c r="O104" s="337"/>
      <c r="P104" s="337"/>
      <c r="Q104" s="337"/>
      <c r="R104" s="337"/>
      <c r="S104" s="337"/>
      <c r="T104" s="337"/>
      <c r="U104" s="337"/>
      <c r="V104" s="337"/>
    </row>
    <row r="105" spans="12:22">
      <c r="L105" s="344"/>
      <c r="M105" s="337"/>
      <c r="N105" s="337"/>
      <c r="O105" s="337"/>
      <c r="P105" s="337"/>
      <c r="Q105" s="337"/>
      <c r="R105" s="337"/>
      <c r="S105" s="337"/>
      <c r="T105" s="337"/>
      <c r="U105" s="337"/>
      <c r="V105" s="337"/>
    </row>
    <row r="106" spans="12:22">
      <c r="L106" s="344"/>
      <c r="M106" s="337"/>
      <c r="N106" s="337"/>
      <c r="O106" s="337"/>
      <c r="P106" s="337"/>
      <c r="Q106" s="337"/>
      <c r="R106" s="337"/>
      <c r="S106" s="337"/>
      <c r="T106" s="337"/>
      <c r="U106" s="337"/>
      <c r="V106" s="337"/>
    </row>
    <row r="107" spans="12:22">
      <c r="L107" s="344"/>
      <c r="M107" s="337"/>
      <c r="N107" s="337"/>
      <c r="O107" s="337"/>
      <c r="P107" s="337"/>
      <c r="Q107" s="337"/>
      <c r="R107" s="337"/>
      <c r="S107" s="337"/>
      <c r="T107" s="337"/>
      <c r="U107" s="337"/>
      <c r="V107" s="337"/>
    </row>
    <row r="108" spans="12:22">
      <c r="L108" s="344"/>
      <c r="M108" s="337"/>
      <c r="N108" s="337"/>
      <c r="O108" s="337"/>
      <c r="P108" s="337"/>
      <c r="Q108" s="337"/>
      <c r="R108" s="337"/>
      <c r="S108" s="337"/>
      <c r="T108" s="337"/>
      <c r="U108" s="337"/>
      <c r="V108" s="337"/>
    </row>
    <row r="109" spans="12:22">
      <c r="L109" s="344"/>
      <c r="M109" s="337"/>
      <c r="N109" s="337"/>
      <c r="O109" s="337"/>
      <c r="P109" s="337"/>
      <c r="Q109" s="337"/>
      <c r="R109" s="337"/>
      <c r="S109" s="337"/>
      <c r="T109" s="337"/>
      <c r="U109" s="337"/>
      <c r="V109" s="337"/>
    </row>
    <row r="110" spans="12:22">
      <c r="L110" s="344"/>
      <c r="M110" s="337"/>
      <c r="N110" s="337"/>
      <c r="O110" s="337"/>
      <c r="P110" s="337"/>
      <c r="Q110" s="337"/>
      <c r="R110" s="337"/>
      <c r="S110" s="337"/>
      <c r="T110" s="337"/>
      <c r="U110" s="337"/>
      <c r="V110" s="337"/>
    </row>
    <row r="111" spans="12:22">
      <c r="L111" s="344"/>
      <c r="M111" s="337"/>
      <c r="N111" s="337"/>
      <c r="O111" s="337"/>
      <c r="P111" s="337"/>
      <c r="Q111" s="337"/>
      <c r="R111" s="337"/>
      <c r="S111" s="337"/>
      <c r="T111" s="337"/>
      <c r="U111" s="337"/>
      <c r="V111" s="337"/>
    </row>
    <row r="112" spans="12:22">
      <c r="L112" s="344" t="str">
        <f>A24</f>
        <v>Incident Management</v>
      </c>
      <c r="M112" s="337"/>
      <c r="N112" s="337"/>
      <c r="O112" s="337"/>
      <c r="P112" s="337"/>
      <c r="Q112" s="337"/>
      <c r="R112" s="337"/>
      <c r="S112" s="337"/>
      <c r="T112" s="337"/>
      <c r="U112" s="337"/>
      <c r="V112" s="337"/>
    </row>
    <row r="113" spans="12:22">
      <c r="L113" s="344"/>
      <c r="M113" s="337"/>
      <c r="N113" s="337"/>
      <c r="O113" s="337"/>
      <c r="P113" s="337"/>
      <c r="Q113" s="337"/>
      <c r="R113" s="337"/>
      <c r="S113" s="337"/>
      <c r="T113" s="337"/>
      <c r="U113" s="337"/>
      <c r="V113" s="337"/>
    </row>
    <row r="114" spans="12:22">
      <c r="L114" s="344"/>
      <c r="M114" s="337"/>
      <c r="N114" s="337"/>
      <c r="O114" s="337"/>
      <c r="P114" s="337"/>
      <c r="Q114" s="337"/>
      <c r="R114" s="337"/>
      <c r="S114" s="337"/>
      <c r="T114" s="337"/>
      <c r="U114" s="337"/>
      <c r="V114" s="337"/>
    </row>
    <row r="115" spans="12:22">
      <c r="L115" s="344"/>
      <c r="M115" s="337"/>
      <c r="N115" s="337"/>
      <c r="O115" s="337"/>
      <c r="P115" s="337"/>
      <c r="Q115" s="337"/>
      <c r="R115" s="337"/>
      <c r="S115" s="337"/>
      <c r="T115" s="337"/>
      <c r="U115" s="337"/>
      <c r="V115" s="337"/>
    </row>
    <row r="116" spans="12:22">
      <c r="L116" s="344"/>
      <c r="M116" s="337"/>
      <c r="N116" s="337"/>
      <c r="O116" s="337"/>
      <c r="P116" s="337"/>
      <c r="Q116" s="337"/>
      <c r="R116" s="337"/>
      <c r="S116" s="337"/>
      <c r="T116" s="337"/>
      <c r="U116" s="337"/>
      <c r="V116" s="337"/>
    </row>
    <row r="117" spans="12:22">
      <c r="L117" s="344"/>
      <c r="M117" s="337"/>
      <c r="N117" s="337"/>
      <c r="O117" s="337"/>
      <c r="P117" s="337"/>
      <c r="Q117" s="337"/>
      <c r="R117" s="337"/>
      <c r="S117" s="337"/>
      <c r="T117" s="337"/>
      <c r="U117" s="337"/>
      <c r="V117" s="337"/>
    </row>
    <row r="118" spans="12:22">
      <c r="L118" s="344"/>
      <c r="M118" s="337"/>
      <c r="N118" s="337"/>
      <c r="O118" s="337"/>
      <c r="P118" s="337"/>
      <c r="Q118" s="337"/>
      <c r="R118" s="337"/>
      <c r="S118" s="337"/>
      <c r="T118" s="337"/>
      <c r="U118" s="337"/>
      <c r="V118" s="337"/>
    </row>
    <row r="119" spans="12:22">
      <c r="L119" s="344"/>
      <c r="M119" s="337"/>
      <c r="N119" s="337"/>
      <c r="O119" s="337"/>
      <c r="P119" s="337"/>
      <c r="Q119" s="337"/>
      <c r="R119" s="337"/>
      <c r="S119" s="337"/>
      <c r="T119" s="337"/>
      <c r="U119" s="337"/>
      <c r="V119" s="337"/>
    </row>
    <row r="120" spans="12:22">
      <c r="L120" s="344" t="str">
        <f>A25</f>
        <v>Environment Management</v>
      </c>
      <c r="M120" s="337"/>
      <c r="N120" s="337"/>
      <c r="O120" s="337"/>
      <c r="P120" s="337"/>
      <c r="Q120" s="337"/>
      <c r="R120" s="337"/>
      <c r="S120" s="337"/>
      <c r="T120" s="337"/>
      <c r="U120" s="337"/>
      <c r="V120" s="337"/>
    </row>
    <row r="121" spans="12:22">
      <c r="L121" s="344"/>
      <c r="M121" s="337"/>
      <c r="N121" s="337"/>
      <c r="O121" s="337"/>
      <c r="P121" s="337"/>
      <c r="Q121" s="337"/>
      <c r="R121" s="337"/>
      <c r="S121" s="337"/>
      <c r="T121" s="337"/>
      <c r="U121" s="337"/>
      <c r="V121" s="337"/>
    </row>
    <row r="122" spans="12:22">
      <c r="L122" s="344"/>
      <c r="M122" s="337"/>
      <c r="N122" s="337"/>
      <c r="O122" s="337"/>
      <c r="P122" s="337"/>
      <c r="Q122" s="337"/>
      <c r="R122" s="337"/>
      <c r="S122" s="337"/>
      <c r="T122" s="337"/>
      <c r="U122" s="337"/>
      <c r="V122" s="337"/>
    </row>
    <row r="123" spans="12:22">
      <c r="L123" s="344"/>
      <c r="M123" s="337"/>
      <c r="N123" s="337"/>
      <c r="O123" s="337"/>
      <c r="P123" s="337"/>
      <c r="Q123" s="337"/>
      <c r="R123" s="337"/>
      <c r="S123" s="337"/>
      <c r="T123" s="337"/>
      <c r="U123" s="337"/>
      <c r="V123" s="337"/>
    </row>
    <row r="124" spans="12:22">
      <c r="L124" s="344"/>
      <c r="M124" s="337"/>
      <c r="N124" s="337"/>
      <c r="O124" s="337"/>
      <c r="P124" s="337"/>
      <c r="Q124" s="337"/>
      <c r="R124" s="337"/>
      <c r="S124" s="337"/>
      <c r="T124" s="337"/>
      <c r="U124" s="337"/>
      <c r="V124" s="337"/>
    </row>
    <row r="125" spans="12:22">
      <c r="L125" s="344"/>
      <c r="M125" s="337"/>
      <c r="N125" s="337"/>
      <c r="O125" s="337"/>
      <c r="P125" s="337"/>
      <c r="Q125" s="337"/>
      <c r="R125" s="337"/>
      <c r="S125" s="337"/>
      <c r="T125" s="337"/>
      <c r="U125" s="337"/>
      <c r="V125" s="337"/>
    </row>
    <row r="126" spans="12:22">
      <c r="L126" s="344"/>
      <c r="M126" s="337"/>
      <c r="N126" s="337"/>
      <c r="O126" s="337"/>
      <c r="P126" s="337"/>
      <c r="Q126" s="337"/>
      <c r="R126" s="337"/>
      <c r="S126" s="337"/>
      <c r="T126" s="337"/>
      <c r="U126" s="337"/>
      <c r="V126" s="337"/>
    </row>
    <row r="127" spans="12:22">
      <c r="L127" s="344"/>
      <c r="M127" s="337"/>
      <c r="N127" s="337"/>
      <c r="O127" s="337"/>
      <c r="P127" s="337"/>
      <c r="Q127" s="337"/>
      <c r="R127" s="337"/>
      <c r="S127" s="337"/>
      <c r="T127" s="337"/>
      <c r="U127" s="337"/>
      <c r="V127" s="337"/>
    </row>
    <row r="128" spans="12:22">
      <c r="L128" s="344" t="str">
        <f>A26</f>
        <v>Operational Management</v>
      </c>
      <c r="M128" s="337"/>
      <c r="N128" s="337"/>
      <c r="O128" s="337"/>
      <c r="P128" s="337"/>
      <c r="Q128" s="337"/>
      <c r="R128" s="337"/>
      <c r="S128" s="337"/>
      <c r="T128" s="337"/>
      <c r="U128" s="337"/>
      <c r="V128" s="337"/>
    </row>
    <row r="129" spans="12:22">
      <c r="L129" s="344"/>
      <c r="M129" s="337"/>
      <c r="N129" s="337"/>
      <c r="O129" s="337"/>
      <c r="P129" s="337"/>
      <c r="Q129" s="337"/>
      <c r="R129" s="337"/>
      <c r="S129" s="337"/>
      <c r="T129" s="337"/>
      <c r="U129" s="337"/>
      <c r="V129" s="337"/>
    </row>
    <row r="130" spans="12:22">
      <c r="L130" s="344"/>
      <c r="M130" s="337"/>
      <c r="N130" s="337"/>
      <c r="O130" s="337"/>
      <c r="P130" s="337"/>
      <c r="Q130" s="337"/>
      <c r="R130" s="337"/>
      <c r="S130" s="337"/>
      <c r="T130" s="337"/>
      <c r="U130" s="337"/>
      <c r="V130" s="337"/>
    </row>
    <row r="131" spans="12:22">
      <c r="L131" s="344"/>
      <c r="M131" s="337"/>
      <c r="N131" s="337"/>
      <c r="O131" s="337"/>
      <c r="P131" s="337"/>
      <c r="Q131" s="337"/>
      <c r="R131" s="337"/>
      <c r="S131" s="337"/>
      <c r="T131" s="337"/>
      <c r="U131" s="337"/>
      <c r="V131" s="337"/>
    </row>
    <row r="132" spans="12:22">
      <c r="L132" s="344"/>
      <c r="M132" s="378"/>
      <c r="N132" s="378"/>
      <c r="O132" s="378"/>
      <c r="P132" s="378"/>
      <c r="Q132" s="378"/>
      <c r="R132" s="378"/>
      <c r="S132" s="378"/>
      <c r="T132" s="378"/>
      <c r="U132" s="378"/>
      <c r="V132" s="378"/>
    </row>
  </sheetData>
  <mergeCells count="20">
    <mergeCell ref="A1:K1"/>
    <mergeCell ref="B4:C4"/>
    <mergeCell ref="B5:C5"/>
    <mergeCell ref="B6:C6"/>
    <mergeCell ref="B7:C7"/>
    <mergeCell ref="B8:C8"/>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showInputMessage="1" showErrorMessage="1" sqref="B12:B26" xr:uid="{00000000-0002-0000-0400-000000000000}">
      <formula1>0</formula1>
      <formula2>0</formula2>
    </dataValidation>
  </dataValidations>
  <pageMargins left="0.55138888888888904" right="0.55138888888888904" top="0.39374999999999999" bottom="0.39374999999999999"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52"/>
  <sheetViews>
    <sheetView topLeftCell="H111" zoomScale="90" zoomScaleNormal="90" workbookViewId="0">
      <selection activeCell="P130" sqref="P130"/>
    </sheetView>
  </sheetViews>
  <sheetFormatPr baseColWidth="10" defaultColWidth="8.83203125" defaultRowHeight="13"/>
  <cols>
    <col min="1" max="8" width="8.83203125" customWidth="1"/>
    <col min="9" max="9" width="22.6640625" style="10" customWidth="1"/>
    <col min="10" max="10" width="35.1640625" customWidth="1"/>
    <col min="11" max="14" width="8.83203125" customWidth="1"/>
    <col min="15" max="15" width="21.83203125" customWidth="1"/>
    <col min="16" max="16" width="29.1640625" customWidth="1"/>
    <col min="17" max="1025" width="8.83203125" customWidth="1"/>
  </cols>
  <sheetData>
    <row r="1" spans="1:17" ht="66" customHeight="1">
      <c r="A1" s="480" t="s">
        <v>220</v>
      </c>
      <c r="B1" s="480"/>
      <c r="C1" s="480"/>
      <c r="D1" s="480"/>
      <c r="E1" s="480"/>
      <c r="F1" s="480"/>
      <c r="G1" s="480"/>
      <c r="H1" s="480"/>
      <c r="I1" s="480"/>
      <c r="J1" s="480"/>
      <c r="K1" s="480"/>
      <c r="M1" s="29" t="str">
        <f>IF(M2=M3,"OK","Problem")</f>
        <v>OK</v>
      </c>
    </row>
    <row r="2" spans="1:17">
      <c r="M2">
        <f>COUNTA(M4:M200)</f>
        <v>25</v>
      </c>
    </row>
    <row r="3" spans="1:17">
      <c r="A3" s="379" t="s">
        <v>52</v>
      </c>
      <c r="B3" s="380"/>
      <c r="C3" s="517" t="s">
        <v>221</v>
      </c>
      <c r="D3" s="517"/>
      <c r="E3" s="517"/>
      <c r="F3" s="380"/>
      <c r="G3" s="380"/>
      <c r="H3" s="380"/>
      <c r="I3" s="14"/>
      <c r="M3">
        <f>COUNTA('imp-answers'!A2:A200)</f>
        <v>25</v>
      </c>
    </row>
    <row r="4" spans="1:17">
      <c r="A4" s="381" t="s">
        <v>222</v>
      </c>
      <c r="C4" s="382">
        <v>3</v>
      </c>
      <c r="D4" s="382">
        <v>3</v>
      </c>
      <c r="E4" s="382">
        <v>3</v>
      </c>
      <c r="F4" s="382">
        <v>6</v>
      </c>
      <c r="G4" s="230"/>
      <c r="H4" s="516" t="s">
        <v>223</v>
      </c>
      <c r="I4" s="383">
        <v>1</v>
      </c>
      <c r="J4" t="s">
        <v>93</v>
      </c>
      <c r="K4">
        <v>0</v>
      </c>
      <c r="M4" s="516" t="str">
        <f>CHAR(65+N4)</f>
        <v>A</v>
      </c>
      <c r="N4" s="516">
        <v>0</v>
      </c>
      <c r="O4" s="383"/>
      <c r="P4" s="384" t="str">
        <f>VLOOKUP(N4,'imp-answers'!$A$2:$I$50,2,0)</f>
        <v>No</v>
      </c>
      <c r="Q4" s="384">
        <f>VLOOKUP(N4,'imp-answers'!$A$2:$I$50,6,0)</f>
        <v>0</v>
      </c>
    </row>
    <row r="5" spans="1:17">
      <c r="A5" s="381" t="s">
        <v>93</v>
      </c>
      <c r="B5" s="384"/>
      <c r="C5" s="382">
        <v>2.0099999999999998</v>
      </c>
      <c r="D5" s="382">
        <v>2.99</v>
      </c>
      <c r="E5" s="385" t="s">
        <v>224</v>
      </c>
      <c r="F5" s="386">
        <v>5</v>
      </c>
      <c r="G5" s="10"/>
      <c r="H5" s="516"/>
      <c r="I5" s="387"/>
      <c r="J5" t="s">
        <v>225</v>
      </c>
      <c r="K5">
        <v>0.2</v>
      </c>
      <c r="M5" s="516"/>
      <c r="N5" s="516"/>
      <c r="O5" s="387"/>
      <c r="P5" s="384" t="str">
        <f>VLOOKUP(N4,'imp-answers'!$A$2:$I$50,3,0)</f>
        <v>Yes, some content</v>
      </c>
      <c r="Q5" s="384">
        <f>VLOOKUP(N4,'imp-answers'!$A$2:$I$50,7,0)</f>
        <v>0.25</v>
      </c>
    </row>
    <row r="6" spans="1:17">
      <c r="C6" s="382">
        <v>2</v>
      </c>
      <c r="D6" s="382">
        <v>2</v>
      </c>
      <c r="E6" s="382">
        <v>2</v>
      </c>
      <c r="F6" s="382">
        <v>4</v>
      </c>
      <c r="G6" s="230"/>
      <c r="H6" s="516"/>
      <c r="I6" s="388"/>
      <c r="J6" t="s">
        <v>226</v>
      </c>
      <c r="K6">
        <v>0.5</v>
      </c>
      <c r="M6" s="516"/>
      <c r="N6" s="516"/>
      <c r="O6" s="389"/>
      <c r="P6" s="384" t="str">
        <f>VLOOKUP(N4,'imp-answers'!$A$2:$I$50,4,0)</f>
        <v>Yes, at least half of the content</v>
      </c>
      <c r="Q6" s="384">
        <f>VLOOKUP(N4,'imp-answers'!$A$2:$I$50,8,0)</f>
        <v>0.5</v>
      </c>
    </row>
    <row r="7" spans="1:17">
      <c r="C7" s="382">
        <v>1.01</v>
      </c>
      <c r="D7" s="382">
        <v>1.99</v>
      </c>
      <c r="E7" s="385" t="s">
        <v>227</v>
      </c>
      <c r="F7" s="386">
        <v>3</v>
      </c>
      <c r="G7" s="10"/>
      <c r="H7" s="516"/>
      <c r="I7" s="390">
        <v>2</v>
      </c>
      <c r="J7" t="s">
        <v>228</v>
      </c>
      <c r="K7">
        <v>1</v>
      </c>
      <c r="M7" s="516"/>
      <c r="N7" s="516"/>
      <c r="O7" s="388"/>
      <c r="P7" s="384" t="str">
        <f>VLOOKUP(N4,'imp-answers'!$A$2:$I$50,5,0)</f>
        <v>Yes, most or all of the content</v>
      </c>
      <c r="Q7" s="384">
        <f>VLOOKUP(N4,'imp-answers'!$A$2:$I$50,9,0)</f>
        <v>1</v>
      </c>
    </row>
    <row r="8" spans="1:17">
      <c r="C8" s="382">
        <v>1</v>
      </c>
      <c r="D8" s="382">
        <v>1</v>
      </c>
      <c r="E8" s="382">
        <v>1</v>
      </c>
      <c r="F8" s="382">
        <v>2</v>
      </c>
      <c r="G8" s="230"/>
      <c r="M8" s="516"/>
      <c r="N8" s="516"/>
      <c r="O8" s="391"/>
    </row>
    <row r="9" spans="1:17">
      <c r="C9" s="382">
        <v>0.01</v>
      </c>
      <c r="D9" s="382">
        <v>0.99</v>
      </c>
      <c r="E9" s="385" t="s">
        <v>229</v>
      </c>
      <c r="F9" s="386">
        <v>1</v>
      </c>
      <c r="G9" s="10"/>
      <c r="H9" s="516" t="s">
        <v>230</v>
      </c>
      <c r="I9" s="392" t="s">
        <v>231</v>
      </c>
      <c r="J9" t="s">
        <v>93</v>
      </c>
      <c r="K9">
        <v>0</v>
      </c>
    </row>
    <row r="10" spans="1:17">
      <c r="C10" s="382">
        <v>0</v>
      </c>
      <c r="D10" s="382">
        <v>0</v>
      </c>
      <c r="E10" s="382">
        <v>0</v>
      </c>
      <c r="F10" s="382">
        <v>0</v>
      </c>
      <c r="G10" s="230"/>
      <c r="H10" s="516"/>
      <c r="I10" s="387">
        <v>5</v>
      </c>
      <c r="J10" t="s">
        <v>232</v>
      </c>
      <c r="K10">
        <v>0.2</v>
      </c>
      <c r="M10" s="516" t="str">
        <f>CHAR(65+N10)</f>
        <v>B</v>
      </c>
      <c r="N10" s="516">
        <v>1</v>
      </c>
      <c r="O10" s="383"/>
      <c r="P10" s="384" t="str">
        <f>VLOOKUP(N10,'imp-answers'!$A$2:$I$50,2,0)</f>
        <v>No</v>
      </c>
      <c r="Q10" s="384">
        <f>VLOOKUP(N10,'imp-answers'!$A$2:$I$50,6,0)</f>
        <v>0</v>
      </c>
    </row>
    <row r="11" spans="1:17">
      <c r="H11" s="516"/>
      <c r="I11" s="388" t="s">
        <v>233</v>
      </c>
      <c r="J11" t="s">
        <v>234</v>
      </c>
      <c r="K11">
        <v>0.5</v>
      </c>
      <c r="M11" s="516"/>
      <c r="N11" s="516"/>
      <c r="O11" s="387"/>
      <c r="P11" s="384" t="str">
        <f>VLOOKUP(N10,'imp-answers'!$A$2:$I$50,3,0)</f>
        <v>Yes, for some of the metrics</v>
      </c>
      <c r="Q11" s="384">
        <f>VLOOKUP(N10,'imp-answers'!$A$2:$I$50,7,0)</f>
        <v>0.25</v>
      </c>
    </row>
    <row r="12" spans="1:17">
      <c r="H12" s="516"/>
      <c r="I12" s="390" t="s">
        <v>235</v>
      </c>
      <c r="J12" t="s">
        <v>236</v>
      </c>
      <c r="K12">
        <v>1</v>
      </c>
      <c r="M12" s="516"/>
      <c r="N12" s="516"/>
      <c r="O12" s="389"/>
      <c r="P12" s="384" t="str">
        <f>VLOOKUP(N10,'imp-answers'!$A$2:$I$50,4,0)</f>
        <v>Yes, for at least half of the metrics</v>
      </c>
      <c r="Q12" s="384">
        <f>VLOOKUP(N10,'imp-answers'!$A$2:$I$50,8,0)</f>
        <v>0.5</v>
      </c>
    </row>
    <row r="13" spans="1:17">
      <c r="M13" s="516"/>
      <c r="N13" s="516"/>
      <c r="O13" s="388"/>
      <c r="P13" s="384" t="str">
        <f>VLOOKUP(N10,'imp-answers'!$A$2:$I$50,5,0)</f>
        <v>Yes, for most or all of the metrics</v>
      </c>
      <c r="Q13" s="384">
        <f>VLOOKUP(N10,'imp-answers'!$A$2:$I$50,9,0)</f>
        <v>1</v>
      </c>
    </row>
    <row r="14" spans="1:17">
      <c r="H14" s="516" t="s">
        <v>237</v>
      </c>
      <c r="I14" s="392" t="s">
        <v>238</v>
      </c>
      <c r="J14" t="s">
        <v>93</v>
      </c>
      <c r="K14">
        <v>0</v>
      </c>
      <c r="M14" s="516"/>
      <c r="N14" s="516"/>
      <c r="O14" s="391"/>
    </row>
    <row r="15" spans="1:17">
      <c r="H15" s="516"/>
      <c r="I15" s="387" t="s">
        <v>239</v>
      </c>
      <c r="J15" t="s">
        <v>240</v>
      </c>
      <c r="K15">
        <v>0.2</v>
      </c>
    </row>
    <row r="16" spans="1:17">
      <c r="H16" s="516"/>
      <c r="I16" s="388" t="s">
        <v>241</v>
      </c>
      <c r="J16" t="s">
        <v>242</v>
      </c>
      <c r="K16">
        <v>0.5</v>
      </c>
      <c r="M16" s="516" t="str">
        <f>CHAR(65+N16)</f>
        <v>C</v>
      </c>
      <c r="N16" s="516">
        <v>2</v>
      </c>
      <c r="O16" s="383"/>
      <c r="P16" s="384" t="str">
        <f>VLOOKUP(N16,'imp-answers'!$A$2:$I$50,2,0)</f>
        <v>No</v>
      </c>
      <c r="Q16" s="384">
        <f>VLOOKUP(N16,'imp-answers'!$A$2:$I$50,6,0)</f>
        <v>0</v>
      </c>
    </row>
    <row r="17" spans="8:17">
      <c r="H17" s="516"/>
      <c r="I17" s="390" t="s">
        <v>243</v>
      </c>
      <c r="J17" t="s">
        <v>244</v>
      </c>
      <c r="K17">
        <v>1</v>
      </c>
      <c r="M17" s="516"/>
      <c r="N17" s="516"/>
      <c r="O17" s="387"/>
      <c r="P17" s="384" t="str">
        <f>VLOOKUP(N16,'imp-answers'!$A$2:$I$50,3,0)</f>
        <v>Yes, some of them</v>
      </c>
      <c r="Q17" s="384">
        <f>VLOOKUP(N16,'imp-answers'!$A$2:$I$50,7,0)</f>
        <v>0.25</v>
      </c>
    </row>
    <row r="18" spans="8:17">
      <c r="M18" s="516"/>
      <c r="N18" s="516"/>
      <c r="O18" s="389"/>
      <c r="P18" s="384" t="str">
        <f>VLOOKUP(N16,'imp-answers'!$A$2:$I$50,4,0)</f>
        <v>Yes, at least half of them</v>
      </c>
      <c r="Q18" s="384">
        <f>VLOOKUP(N16,'imp-answers'!$A$2:$I$50,8,0)</f>
        <v>0.5</v>
      </c>
    </row>
    <row r="19" spans="8:17">
      <c r="H19" s="516" t="s">
        <v>245</v>
      </c>
      <c r="I19" s="392" t="s">
        <v>246</v>
      </c>
      <c r="J19" t="s">
        <v>93</v>
      </c>
      <c r="K19">
        <v>0</v>
      </c>
      <c r="M19" s="516"/>
      <c r="N19" s="516"/>
      <c r="O19" s="388"/>
      <c r="P19" s="384" t="str">
        <f>VLOOKUP(N16,'imp-answers'!$A$2:$I$50,5,0)</f>
        <v>Yes, most or all of them</v>
      </c>
      <c r="Q19" s="384">
        <f>VLOOKUP(N16,'imp-answers'!$A$2:$I$50,9,0)</f>
        <v>1</v>
      </c>
    </row>
    <row r="20" spans="8:17">
      <c r="H20" s="516"/>
      <c r="I20" s="387">
        <v>13</v>
      </c>
      <c r="J20" t="s">
        <v>247</v>
      </c>
      <c r="K20">
        <v>0.2</v>
      </c>
      <c r="M20" s="516"/>
      <c r="N20" s="516"/>
      <c r="O20" s="391"/>
    </row>
    <row r="21" spans="8:17">
      <c r="H21" s="516"/>
      <c r="I21" s="388"/>
      <c r="J21" t="s">
        <v>248</v>
      </c>
      <c r="K21">
        <v>0.5</v>
      </c>
    </row>
    <row r="22" spans="8:17">
      <c r="H22" s="516"/>
      <c r="I22" s="390">
        <v>18</v>
      </c>
      <c r="J22" t="s">
        <v>249</v>
      </c>
      <c r="K22">
        <v>1</v>
      </c>
      <c r="M22" s="516" t="str">
        <f>CHAR(65+N22)</f>
        <v>D</v>
      </c>
      <c r="N22" s="516">
        <v>3</v>
      </c>
      <c r="O22" s="383"/>
      <c r="P22" s="384" t="str">
        <f>VLOOKUP(N22,'imp-answers'!$A$2:$I$50,2,0)</f>
        <v>No</v>
      </c>
      <c r="Q22" s="384">
        <f>VLOOKUP(N22,'imp-answers'!$A$2:$I$50,6,0)</f>
        <v>0</v>
      </c>
    </row>
    <row r="23" spans="8:17">
      <c r="M23" s="516"/>
      <c r="N23" s="516"/>
      <c r="O23" s="387"/>
      <c r="P23" s="384" t="str">
        <f>VLOOKUP(N22,'imp-answers'!$A$2:$I$50,3,0)</f>
        <v>Yes, for some obligations</v>
      </c>
      <c r="Q23" s="384">
        <f>VLOOKUP(N22,'imp-answers'!$A$2:$I$50,7,0)</f>
        <v>0.25</v>
      </c>
    </row>
    <row r="24" spans="8:17">
      <c r="H24" s="516" t="s">
        <v>250</v>
      </c>
      <c r="I24" s="392">
        <v>10</v>
      </c>
      <c r="J24" t="s">
        <v>93</v>
      </c>
      <c r="K24">
        <v>0</v>
      </c>
      <c r="M24" s="516"/>
      <c r="N24" s="516"/>
      <c r="O24" s="389"/>
      <c r="P24" s="384" t="str">
        <f>VLOOKUP(N22,'imp-answers'!$A$2:$I$50,4,0)</f>
        <v>Yes, for at least half of the obligations</v>
      </c>
      <c r="Q24" s="384">
        <f>VLOOKUP(N22,'imp-answers'!$A$2:$I$50,8,0)</f>
        <v>0.5</v>
      </c>
    </row>
    <row r="25" spans="8:17">
      <c r="H25" s="516"/>
      <c r="I25" s="387"/>
      <c r="J25" t="s">
        <v>251</v>
      </c>
      <c r="K25">
        <v>1</v>
      </c>
      <c r="M25" s="516"/>
      <c r="N25" s="516"/>
      <c r="O25" s="388"/>
      <c r="P25" s="384" t="str">
        <f>VLOOKUP(N22,'imp-answers'!$A$2:$I$50,5,0)</f>
        <v>Yes, for most or all of the obligations</v>
      </c>
      <c r="Q25" s="384">
        <f>VLOOKUP(N22,'imp-answers'!$A$2:$I$50,9,0)</f>
        <v>1</v>
      </c>
    </row>
    <row r="26" spans="8:17">
      <c r="H26" s="516"/>
      <c r="I26" s="388"/>
      <c r="J26" t="s">
        <v>252</v>
      </c>
      <c r="K26">
        <v>0.5</v>
      </c>
      <c r="M26" s="516"/>
      <c r="N26" s="516"/>
      <c r="O26" s="391"/>
    </row>
    <row r="27" spans="8:17">
      <c r="H27" s="516"/>
      <c r="I27" s="390">
        <v>19</v>
      </c>
      <c r="J27" t="s">
        <v>222</v>
      </c>
      <c r="K27">
        <v>1</v>
      </c>
    </row>
    <row r="28" spans="8:17">
      <c r="M28" s="516" t="str">
        <f>CHAR(65+N28)</f>
        <v>E</v>
      </c>
      <c r="N28" s="516">
        <v>4</v>
      </c>
      <c r="O28" s="383"/>
      <c r="P28" s="384" t="str">
        <f>VLOOKUP(N28,'imp-answers'!$A$2:$I$50,2,0)</f>
        <v>No</v>
      </c>
      <c r="Q28" s="384">
        <f>VLOOKUP(N28,'imp-answers'!$A$2:$I$50,6,0)</f>
        <v>0</v>
      </c>
    </row>
    <row r="29" spans="8:17">
      <c r="H29" s="516" t="s">
        <v>253</v>
      </c>
      <c r="I29" s="392" t="s">
        <v>254</v>
      </c>
      <c r="J29" t="s">
        <v>93</v>
      </c>
      <c r="K29">
        <v>0</v>
      </c>
      <c r="M29" s="516"/>
      <c r="N29" s="516"/>
      <c r="O29" s="387"/>
      <c r="P29" s="384" t="str">
        <f>VLOOKUP(N28,'imp-answers'!$A$2:$I$50,3,0)</f>
        <v>Yes, but reporting is ad-hoc</v>
      </c>
      <c r="Q29" s="384">
        <f>VLOOKUP(N28,'imp-answers'!$A$2:$I$50,7,0)</f>
        <v>0.25</v>
      </c>
    </row>
    <row r="30" spans="8:17">
      <c r="H30" s="516"/>
      <c r="I30" s="387" t="s">
        <v>255</v>
      </c>
      <c r="J30" t="s">
        <v>256</v>
      </c>
      <c r="K30">
        <v>0.2</v>
      </c>
      <c r="M30" s="516"/>
      <c r="N30" s="516"/>
      <c r="O30" s="389"/>
      <c r="P30" s="384" t="str">
        <f>VLOOKUP(N28,'imp-answers'!$A$2:$I$50,4,0)</f>
        <v>Yes, we report at regular times</v>
      </c>
      <c r="Q30" s="384">
        <f>VLOOKUP(N28,'imp-answers'!$A$2:$I$50,8,0)</f>
        <v>0.5</v>
      </c>
    </row>
    <row r="31" spans="8:17">
      <c r="H31" s="516"/>
      <c r="I31" s="388"/>
      <c r="J31" t="s">
        <v>257</v>
      </c>
      <c r="K31">
        <v>0.5</v>
      </c>
      <c r="M31" s="516"/>
      <c r="N31" s="516"/>
      <c r="O31" s="388"/>
      <c r="P31" s="384" t="str">
        <f>VLOOKUP(N28,'imp-answers'!$A$2:$I$50,5,0)</f>
        <v>Yes, we report at least annually</v>
      </c>
      <c r="Q31" s="384">
        <f>VLOOKUP(N28,'imp-answers'!$A$2:$I$50,9,0)</f>
        <v>1</v>
      </c>
    </row>
    <row r="32" spans="8:17">
      <c r="H32" s="516"/>
      <c r="I32" s="390"/>
      <c r="J32" t="s">
        <v>258</v>
      </c>
      <c r="K32">
        <v>1</v>
      </c>
      <c r="M32" s="516"/>
      <c r="N32" s="516"/>
      <c r="O32" s="391"/>
    </row>
    <row r="34" spans="8:17">
      <c r="H34" s="516" t="s">
        <v>259</v>
      </c>
      <c r="I34" s="392"/>
      <c r="J34" t="s">
        <v>93</v>
      </c>
      <c r="K34">
        <v>0</v>
      </c>
      <c r="M34" s="516" t="str">
        <f>CHAR(65+N34)</f>
        <v>F</v>
      </c>
      <c r="N34" s="516">
        <v>5</v>
      </c>
      <c r="O34" s="383"/>
      <c r="P34" s="384" t="str">
        <f>VLOOKUP(N34,'imp-answers'!$A$2:$I$50,2,0)</f>
        <v>No</v>
      </c>
      <c r="Q34" s="384">
        <f>VLOOKUP(N34,'imp-answers'!$A$2:$I$50,6,0)</f>
        <v>0</v>
      </c>
    </row>
    <row r="35" spans="8:17">
      <c r="H35" s="516"/>
      <c r="I35" s="387" t="s">
        <v>260</v>
      </c>
      <c r="J35" t="s">
        <v>261</v>
      </c>
      <c r="K35">
        <v>0.2</v>
      </c>
      <c r="M35" s="516"/>
      <c r="N35" s="516"/>
      <c r="O35" s="387"/>
      <c r="P35" s="384" t="str">
        <f>VLOOKUP(N34,'imp-answers'!$A$2:$I$50,3,0)</f>
        <v>Yes, for some applications</v>
      </c>
      <c r="Q35" s="384">
        <f>VLOOKUP(N34,'imp-answers'!$A$2:$I$50,7,0)</f>
        <v>0.25</v>
      </c>
    </row>
    <row r="36" spans="8:17">
      <c r="H36" s="516"/>
      <c r="I36" s="388" t="s">
        <v>262</v>
      </c>
      <c r="J36" t="s">
        <v>263</v>
      </c>
      <c r="K36">
        <v>0.5</v>
      </c>
      <c r="M36" s="516"/>
      <c r="N36" s="516"/>
      <c r="O36" s="389"/>
      <c r="P36" s="384" t="str">
        <f>VLOOKUP(N34,'imp-answers'!$A$2:$I$50,4,0)</f>
        <v>Yes, for at least half of the applications</v>
      </c>
      <c r="Q36" s="384">
        <f>VLOOKUP(N34,'imp-answers'!$A$2:$I$50,8,0)</f>
        <v>0.5</v>
      </c>
    </row>
    <row r="37" spans="8:17">
      <c r="H37" s="516"/>
      <c r="I37" s="390" t="s">
        <v>264</v>
      </c>
      <c r="J37" t="s">
        <v>265</v>
      </c>
      <c r="K37">
        <v>1</v>
      </c>
      <c r="M37" s="516"/>
      <c r="N37" s="516"/>
      <c r="O37" s="388"/>
      <c r="P37" s="384" t="str">
        <f>VLOOKUP(N34,'imp-answers'!$A$2:$I$50,5,0)</f>
        <v>Yes, for most or all of the applications</v>
      </c>
      <c r="Q37" s="384">
        <f>VLOOKUP(N34,'imp-answers'!$A$2:$I$50,9,0)</f>
        <v>1</v>
      </c>
    </row>
    <row r="38" spans="8:17">
      <c r="M38" s="516"/>
      <c r="N38" s="516"/>
      <c r="O38" s="391"/>
    </row>
    <row r="39" spans="8:17">
      <c r="H39" s="516" t="s">
        <v>266</v>
      </c>
      <c r="I39" s="392"/>
    </row>
    <row r="40" spans="8:17">
      <c r="H40" s="516"/>
      <c r="I40" s="387"/>
      <c r="M40" s="516" t="str">
        <f>CHAR(65+N40)</f>
        <v>G</v>
      </c>
      <c r="N40" s="516">
        <v>6</v>
      </c>
      <c r="O40" s="383"/>
      <c r="P40" s="384" t="str">
        <f>VLOOKUP(N40,'imp-answers'!$A$2:$I$50,2,0)</f>
        <v>No</v>
      </c>
      <c r="Q40" s="384">
        <f>VLOOKUP(N40,'imp-answers'!$A$2:$I$50,6,0)</f>
        <v>0</v>
      </c>
    </row>
    <row r="41" spans="8:17">
      <c r="H41" s="516"/>
      <c r="I41" s="388"/>
      <c r="M41" s="516"/>
      <c r="N41" s="516"/>
      <c r="O41" s="387"/>
      <c r="P41" s="384" t="str">
        <f>VLOOKUP(N40,'imp-answers'!$A$2:$I$50,3,0)</f>
        <v>Yes, sporadically</v>
      </c>
      <c r="Q41" s="384">
        <f>VLOOKUP(N40,'imp-answers'!$A$2:$I$50,7,0)</f>
        <v>0.25</v>
      </c>
    </row>
    <row r="42" spans="8:17">
      <c r="H42" s="516"/>
      <c r="I42" s="390"/>
      <c r="M42" s="516"/>
      <c r="N42" s="516"/>
      <c r="O42" s="389"/>
      <c r="P42" s="384" t="str">
        <f>VLOOKUP(N40,'imp-answers'!$A$2:$I$50,4,0)</f>
        <v>Yes, upon change of the application</v>
      </c>
      <c r="Q42" s="384">
        <f>VLOOKUP(N40,'imp-answers'!$A$2:$I$50,8,0)</f>
        <v>0.5</v>
      </c>
    </row>
    <row r="43" spans="8:17">
      <c r="M43" s="516"/>
      <c r="N43" s="516"/>
      <c r="O43" s="388"/>
      <c r="P43" s="384" t="str">
        <f>VLOOKUP(N40,'imp-answers'!$A$2:$I$50,5,0)</f>
        <v>Yes, at least annually</v>
      </c>
      <c r="Q43" s="384">
        <f>VLOOKUP(N40,'imp-answers'!$A$2:$I$50,9,0)</f>
        <v>1</v>
      </c>
    </row>
    <row r="44" spans="8:17">
      <c r="M44" s="516"/>
      <c r="N44" s="516"/>
      <c r="O44" s="391"/>
    </row>
    <row r="46" spans="8:17">
      <c r="M46" s="516" t="str">
        <f>CHAR(65+N46)</f>
        <v>H</v>
      </c>
      <c r="N46" s="516">
        <v>7</v>
      </c>
      <c r="O46" s="383"/>
      <c r="P46" s="384" t="str">
        <f>VLOOKUP(N46,'imp-answers'!$A$2:$I$50,2,0)</f>
        <v>No</v>
      </c>
      <c r="Q46" s="384">
        <f>VLOOKUP(N46,'imp-answers'!$A$2:$I$50,6,0)</f>
        <v>0</v>
      </c>
    </row>
    <row r="47" spans="8:17">
      <c r="M47" s="516"/>
      <c r="N47" s="516"/>
      <c r="O47" s="387"/>
      <c r="P47" s="384" t="str">
        <f>VLOOKUP(N46,'imp-answers'!$A$2:$I$50,3,0)</f>
        <v>Yes, some of the time</v>
      </c>
      <c r="Q47" s="384">
        <f>VLOOKUP(N46,'imp-answers'!$A$2:$I$50,7,0)</f>
        <v>0.25</v>
      </c>
    </row>
    <row r="48" spans="8:17">
      <c r="M48" s="516"/>
      <c r="N48" s="516"/>
      <c r="O48" s="389"/>
      <c r="P48" s="384" t="str">
        <f>VLOOKUP(N46,'imp-answers'!$A$2:$I$50,4,0)</f>
        <v>Yes, at least half of the time</v>
      </c>
      <c r="Q48" s="384">
        <f>VLOOKUP(N46,'imp-answers'!$A$2:$I$50,8,0)</f>
        <v>0.5</v>
      </c>
    </row>
    <row r="49" spans="13:17">
      <c r="M49" s="516"/>
      <c r="N49" s="516"/>
      <c r="O49" s="388"/>
      <c r="P49" s="384" t="str">
        <f>VLOOKUP(N46,'imp-answers'!$A$2:$I$50,5,0)</f>
        <v>Yes, most or all of the time</v>
      </c>
      <c r="Q49" s="384">
        <f>VLOOKUP(N46,'imp-answers'!$A$2:$I$50,9,0)</f>
        <v>1</v>
      </c>
    </row>
    <row r="50" spans="13:17">
      <c r="M50" s="516"/>
      <c r="N50" s="516"/>
      <c r="O50" s="391"/>
    </row>
    <row r="52" spans="13:17">
      <c r="M52" s="516" t="str">
        <f>CHAR(65+N52)</f>
        <v>I</v>
      </c>
      <c r="N52" s="516">
        <v>8</v>
      </c>
      <c r="O52" s="383"/>
      <c r="P52" s="384" t="str">
        <f>VLOOKUP(N52,'imp-answers'!$A$2:$I$50,2,0)</f>
        <v>No</v>
      </c>
      <c r="Q52" s="384">
        <f>VLOOKUP(N52,'imp-answers'!$A$2:$I$50,6,0)</f>
        <v>0</v>
      </c>
    </row>
    <row r="53" spans="13:17">
      <c r="M53" s="516"/>
      <c r="N53" s="516"/>
      <c r="O53" s="387"/>
      <c r="P53" s="384" t="str">
        <f>VLOOKUP(N52,'imp-answers'!$A$2:$I$50,3,0)</f>
        <v>Yes, for some of the training</v>
      </c>
      <c r="Q53" s="384">
        <f>VLOOKUP(N52,'imp-answers'!$A$2:$I$50,7,0)</f>
        <v>0.25</v>
      </c>
    </row>
    <row r="54" spans="13:17">
      <c r="M54" s="516"/>
      <c r="N54" s="516"/>
      <c r="O54" s="389"/>
      <c r="P54" s="384" t="str">
        <f>VLOOKUP(N52,'imp-answers'!$A$2:$I$50,4,0)</f>
        <v>Yes, for at least half of the training</v>
      </c>
      <c r="Q54" s="384">
        <f>VLOOKUP(N52,'imp-answers'!$A$2:$I$50,8,0)</f>
        <v>0.5</v>
      </c>
    </row>
    <row r="55" spans="13:17">
      <c r="M55" s="516"/>
      <c r="N55" s="516"/>
      <c r="O55" s="388"/>
      <c r="P55" s="384" t="str">
        <f>VLOOKUP(N52,'imp-answers'!$A$2:$I$50,5,0)</f>
        <v>Yes, for most or all of the training</v>
      </c>
      <c r="Q55" s="384">
        <f>VLOOKUP(N52,'imp-answers'!$A$2:$I$50,9,0)</f>
        <v>1</v>
      </c>
    </row>
    <row r="56" spans="13:17">
      <c r="M56" s="516"/>
      <c r="N56" s="516"/>
      <c r="O56" s="391"/>
    </row>
    <row r="58" spans="13:17">
      <c r="M58" s="516" t="str">
        <f>CHAR(65+N58)</f>
        <v>J</v>
      </c>
      <c r="N58" s="516">
        <v>9</v>
      </c>
      <c r="O58" s="383"/>
      <c r="P58" s="384" t="str">
        <f>VLOOKUP(N58,'imp-answers'!$A$2:$I$50,2,0)</f>
        <v>No</v>
      </c>
      <c r="Q58" s="384">
        <f>VLOOKUP(N58,'imp-answers'!$A$2:$I$50,6,0)</f>
        <v>0</v>
      </c>
    </row>
    <row r="59" spans="13:17">
      <c r="M59" s="516"/>
      <c r="N59" s="516"/>
      <c r="O59" s="387"/>
      <c r="P59" s="384" t="str">
        <f>VLOOKUP(N58,'imp-answers'!$A$2:$I$50,3,0)</f>
        <v>Yes, for some of the policies and standards</v>
      </c>
      <c r="Q59" s="384">
        <f>VLOOKUP(N58,'imp-answers'!$A$2:$I$50,7,0)</f>
        <v>0.25</v>
      </c>
    </row>
    <row r="60" spans="13:17">
      <c r="M60" s="516"/>
      <c r="N60" s="516"/>
      <c r="O60" s="389"/>
      <c r="P60" s="384" t="str">
        <f>VLOOKUP(N58,'imp-answers'!$A$2:$I$50,4,0)</f>
        <v>Yes, for at least half of the policies and standards</v>
      </c>
      <c r="Q60" s="384">
        <f>VLOOKUP(N58,'imp-answers'!$A$2:$I$50,8,0)</f>
        <v>0.5</v>
      </c>
    </row>
    <row r="61" spans="13:17">
      <c r="M61" s="516"/>
      <c r="N61" s="516"/>
      <c r="O61" s="388"/>
      <c r="P61" s="384" t="str">
        <f>VLOOKUP(N58,'imp-answers'!$A$2:$I$50,5,0)</f>
        <v>Yes, for most or all of the policies and standards</v>
      </c>
      <c r="Q61" s="384">
        <f>VLOOKUP(N58,'imp-answers'!$A$2:$I$50,9,0)</f>
        <v>1</v>
      </c>
    </row>
    <row r="62" spans="13:17">
      <c r="M62" s="516"/>
      <c r="N62" s="516"/>
      <c r="O62" s="391"/>
    </row>
    <row r="64" spans="13:17">
      <c r="M64" s="516" t="str">
        <f>CHAR(65+N64)</f>
        <v>K</v>
      </c>
      <c r="N64" s="516">
        <v>10</v>
      </c>
      <c r="O64" s="383"/>
      <c r="P64" s="384" t="str">
        <f>VLOOKUP(N64,'imp-answers'!$A$2:$I$50,2,0)</f>
        <v>No</v>
      </c>
      <c r="Q64" s="384">
        <f>VLOOKUP(N64,'imp-answers'!$A$2:$I$50,6,0)</f>
        <v>0</v>
      </c>
    </row>
    <row r="65" spans="13:17">
      <c r="M65" s="516"/>
      <c r="N65" s="516"/>
      <c r="O65" s="387"/>
      <c r="P65" s="384" t="str">
        <f>VLOOKUP(N64,'imp-answers'!$A$2:$I$50,3,0)</f>
        <v>Yes, for one metrics category</v>
      </c>
      <c r="Q65" s="384">
        <f>VLOOKUP(N64,'imp-answers'!$A$2:$I$50,7,0)</f>
        <v>0.25</v>
      </c>
    </row>
    <row r="66" spans="13:17">
      <c r="M66" s="516"/>
      <c r="N66" s="516"/>
      <c r="O66" s="389"/>
      <c r="P66" s="384" t="str">
        <f>VLOOKUP(N64,'imp-answers'!$A$2:$I$50,4,0)</f>
        <v>Yes, for two metrics categories</v>
      </c>
      <c r="Q66" s="384">
        <f>VLOOKUP(N64,'imp-answers'!$A$2:$I$50,8,0)</f>
        <v>0.5</v>
      </c>
    </row>
    <row r="67" spans="13:17">
      <c r="M67" s="516"/>
      <c r="N67" s="516"/>
      <c r="O67" s="388"/>
      <c r="P67" s="384" t="str">
        <f>VLOOKUP(N64,'imp-answers'!$A$2:$I$50,5,0)</f>
        <v>Yes, for all three metrics categories</v>
      </c>
      <c r="Q67" s="384">
        <f>VLOOKUP(N64,'imp-answers'!$A$2:$I$50,9,0)</f>
        <v>1</v>
      </c>
    </row>
    <row r="68" spans="13:17">
      <c r="M68" s="516"/>
      <c r="N68" s="516"/>
      <c r="O68" s="391"/>
    </row>
    <row r="70" spans="13:17">
      <c r="M70" s="516" t="str">
        <f>CHAR(65+N70)</f>
        <v>L</v>
      </c>
      <c r="N70" s="516">
        <v>11</v>
      </c>
      <c r="O70" s="383"/>
      <c r="P70" s="384" t="str">
        <f>VLOOKUP(N70,'imp-answers'!$A$2:$I$50,2,0)</f>
        <v>No</v>
      </c>
      <c r="Q70" s="384">
        <f>VLOOKUP(N70,'imp-answers'!$A$2:$I$50,6,0)</f>
        <v>0</v>
      </c>
    </row>
    <row r="71" spans="13:17">
      <c r="M71" s="516"/>
      <c r="N71" s="516"/>
      <c r="O71" s="387"/>
      <c r="P71" s="384" t="str">
        <f>VLOOKUP(N70,'imp-answers'!$A$2:$I$50,3,0)</f>
        <v>Yes, we started implementing it</v>
      </c>
      <c r="Q71" s="384">
        <f>VLOOKUP(N70,'imp-answers'!$A$2:$I$50,7,0)</f>
        <v>0.25</v>
      </c>
    </row>
    <row r="72" spans="13:17">
      <c r="M72" s="516"/>
      <c r="N72" s="516"/>
      <c r="O72" s="389"/>
      <c r="P72" s="384" t="str">
        <f>VLOOKUP(N70,'imp-answers'!$A$2:$I$50,4,0)</f>
        <v>Yes, for part of the organization</v>
      </c>
      <c r="Q72" s="384">
        <f>VLOOKUP(N70,'imp-answers'!$A$2:$I$50,8,0)</f>
        <v>0.5</v>
      </c>
    </row>
    <row r="73" spans="13:17">
      <c r="M73" s="516"/>
      <c r="N73" s="516"/>
      <c r="O73" s="388"/>
      <c r="P73" s="384" t="str">
        <f>VLOOKUP(N70,'imp-answers'!$A$2:$I$50,5,0)</f>
        <v>Yes, for the entire organization</v>
      </c>
      <c r="Q73" s="384">
        <f>VLOOKUP(N70,'imp-answers'!$A$2:$I$50,9,0)</f>
        <v>1</v>
      </c>
    </row>
    <row r="74" spans="13:17">
      <c r="M74" s="516"/>
      <c r="N74" s="516"/>
      <c r="O74" s="391"/>
    </row>
    <row r="76" spans="13:17">
      <c r="M76" s="516" t="str">
        <f>CHAR(65+N76)</f>
        <v>M</v>
      </c>
      <c r="N76" s="516">
        <v>12</v>
      </c>
      <c r="O76" s="383"/>
      <c r="P76" s="384" t="str">
        <f>VLOOKUP(N76,'imp-answers'!$A$2:$I$50,2,0)</f>
        <v>No</v>
      </c>
      <c r="Q76" s="384">
        <f>VLOOKUP(N76,'imp-answers'!$A$2:$I$50,6,0)</f>
        <v>0</v>
      </c>
    </row>
    <row r="77" spans="13:17">
      <c r="M77" s="516"/>
      <c r="N77" s="516"/>
      <c r="O77" s="387"/>
      <c r="P77" s="384" t="str">
        <f>VLOOKUP(N76,'imp-answers'!$A$2:$I$50,3,0)</f>
        <v>Yes, for some components</v>
      </c>
      <c r="Q77" s="384">
        <f>VLOOKUP(N76,'imp-answers'!$A$2:$I$50,7,0)</f>
        <v>0.25</v>
      </c>
    </row>
    <row r="78" spans="13:17">
      <c r="M78" s="516"/>
      <c r="N78" s="516"/>
      <c r="O78" s="389"/>
      <c r="P78" s="384" t="str">
        <f>VLOOKUP(N76,'imp-answers'!$A$2:$I$50,4,0)</f>
        <v>Yes, for at least half of the components</v>
      </c>
      <c r="Q78" s="384">
        <f>VLOOKUP(N76,'imp-answers'!$A$2:$I$50,8,0)</f>
        <v>0.5</v>
      </c>
    </row>
    <row r="79" spans="13:17">
      <c r="M79" s="516"/>
      <c r="N79" s="516"/>
      <c r="O79" s="388"/>
      <c r="P79" s="384" t="str">
        <f>VLOOKUP(N76,'imp-answers'!$A$2:$I$50,5,0)</f>
        <v>Yes, for most or all of the components</v>
      </c>
      <c r="Q79" s="384">
        <f>VLOOKUP(N76,'imp-answers'!$A$2:$I$50,9,0)</f>
        <v>1</v>
      </c>
    </row>
    <row r="80" spans="13:17">
      <c r="M80" s="516"/>
      <c r="N80" s="516"/>
      <c r="O80" s="391"/>
    </row>
    <row r="82" spans="13:17">
      <c r="M82" s="516" t="str">
        <f>CHAR(65+N82)</f>
        <v>N</v>
      </c>
      <c r="N82" s="516">
        <v>13</v>
      </c>
      <c r="O82" s="383"/>
      <c r="P82" s="384" t="str">
        <f>VLOOKUP(N82,'imp-answers'!$A$2:$I$50,2,0)</f>
        <v>No</v>
      </c>
      <c r="Q82" s="384">
        <f>VLOOKUP(N82,'imp-answers'!$A$2:$I$50,6,0)</f>
        <v>0</v>
      </c>
    </row>
    <row r="83" spans="13:17">
      <c r="M83" s="516"/>
      <c r="N83" s="516"/>
      <c r="O83" s="387"/>
      <c r="P83" s="384" t="str">
        <f>VLOOKUP(N82,'imp-answers'!$A$2:$I$50,3,0)</f>
        <v>Yes, but review is ad-hoc</v>
      </c>
      <c r="Q83" s="384">
        <f>VLOOKUP(N82,'imp-answers'!$A$2:$I$50,7,0)</f>
        <v>0.25</v>
      </c>
    </row>
    <row r="84" spans="13:17">
      <c r="M84" s="516"/>
      <c r="N84" s="516"/>
      <c r="O84" s="389"/>
      <c r="P84" s="384" t="str">
        <f>VLOOKUP(N82,'imp-answers'!$A$2:$I$50,4,0)</f>
        <v>Yes, we review it at regular times</v>
      </c>
      <c r="Q84" s="384">
        <f>VLOOKUP(N82,'imp-answers'!$A$2:$I$50,8,0)</f>
        <v>0.5</v>
      </c>
    </row>
    <row r="85" spans="13:17">
      <c r="M85" s="516"/>
      <c r="N85" s="516"/>
      <c r="O85" s="388"/>
      <c r="P85" s="384" t="str">
        <f>VLOOKUP(N82,'imp-answers'!$A$2:$I$50,5,0)</f>
        <v>Yes, we review it at least annually</v>
      </c>
      <c r="Q85" s="384">
        <f>VLOOKUP(N82,'imp-answers'!$A$2:$I$50,9,0)</f>
        <v>1</v>
      </c>
    </row>
    <row r="86" spans="13:17">
      <c r="M86" s="516"/>
      <c r="N86" s="516"/>
      <c r="O86" s="391"/>
    </row>
    <row r="88" spans="13:17">
      <c r="M88" s="516" t="str">
        <f>CHAR(65+N88)</f>
        <v>O</v>
      </c>
      <c r="N88" s="516">
        <v>14</v>
      </c>
      <c r="O88" s="383"/>
      <c r="P88" s="384" t="str">
        <f>VLOOKUP(N88,'imp-answers'!$A$2:$I$50,2,0)</f>
        <v>No</v>
      </c>
      <c r="Q88" s="384">
        <f>VLOOKUP(N88,'imp-answers'!$A$2:$I$50,6,0)</f>
        <v>0</v>
      </c>
    </row>
    <row r="89" spans="13:17">
      <c r="M89" s="516"/>
      <c r="N89" s="516"/>
      <c r="O89" s="387"/>
      <c r="P89" s="384" t="str">
        <f>VLOOKUP(N88,'imp-answers'!$A$2:$I$50,3,0)</f>
        <v>Yes, for some of our data</v>
      </c>
      <c r="Q89" s="384">
        <f>VLOOKUP(N88,'imp-answers'!$A$2:$I$50,7,0)</f>
        <v>0.25</v>
      </c>
    </row>
    <row r="90" spans="13:17">
      <c r="M90" s="516"/>
      <c r="N90" s="516"/>
      <c r="O90" s="389"/>
      <c r="P90" s="384" t="str">
        <f>VLOOKUP(N88,'imp-answers'!$A$2:$I$50,4,0)</f>
        <v>Yes, for at least half of our data</v>
      </c>
      <c r="Q90" s="384">
        <f>VLOOKUP(N88,'imp-answers'!$A$2:$I$50,8,0)</f>
        <v>0.5</v>
      </c>
    </row>
    <row r="91" spans="13:17">
      <c r="M91" s="516"/>
      <c r="N91" s="516"/>
      <c r="O91" s="388"/>
      <c r="P91" s="384" t="str">
        <f>VLOOKUP(N88,'imp-answers'!$A$2:$I$50,5,0)</f>
        <v>Yes, for most or all of our data</v>
      </c>
      <c r="Q91" s="384">
        <f>VLOOKUP(N88,'imp-answers'!$A$2:$I$50,9,0)</f>
        <v>1</v>
      </c>
    </row>
    <row r="92" spans="13:17">
      <c r="M92" s="516"/>
      <c r="N92" s="516"/>
      <c r="O92" s="391"/>
    </row>
    <row r="94" spans="13:17">
      <c r="M94" s="516" t="str">
        <f>CHAR(65+N94)</f>
        <v>P</v>
      </c>
      <c r="N94" s="516">
        <v>15</v>
      </c>
      <c r="O94" s="383"/>
      <c r="P94" s="384" t="str">
        <f>VLOOKUP(N94,'imp-answers'!$A$2:$I$50,2,0)</f>
        <v>No</v>
      </c>
      <c r="Q94" s="384">
        <f>VLOOKUP(N94,'imp-answers'!$A$2:$I$50,6,0)</f>
        <v>0</v>
      </c>
    </row>
    <row r="95" spans="13:17">
      <c r="M95" s="516"/>
      <c r="N95" s="516"/>
      <c r="O95" s="387"/>
      <c r="P95" s="384" t="str">
        <f>VLOOKUP(N94,'imp-answers'!$A$2:$I$50,3,0)</f>
        <v>Yes, we do it when requested</v>
      </c>
      <c r="Q95" s="384">
        <f>VLOOKUP(N94,'imp-answers'!$A$2:$I$50,7,0)</f>
        <v>0.25</v>
      </c>
    </row>
    <row r="96" spans="13:17">
      <c r="M96" s="516"/>
      <c r="N96" s="516"/>
      <c r="O96" s="389"/>
      <c r="P96" s="384" t="str">
        <f>VLOOKUP(N94,'imp-answers'!$A$2:$I$50,4,0)</f>
        <v>Yes, we do it every few years</v>
      </c>
      <c r="Q96" s="384">
        <f>VLOOKUP(N94,'imp-answers'!$A$2:$I$50,8,0)</f>
        <v>0.5</v>
      </c>
    </row>
    <row r="97" spans="13:17">
      <c r="M97" s="516"/>
      <c r="N97" s="516"/>
      <c r="O97" s="388"/>
      <c r="P97" s="384" t="str">
        <f>VLOOKUP(N94,'imp-answers'!$A$2:$I$50,5,0)</f>
        <v>Yes, we do it at least annually</v>
      </c>
      <c r="Q97" s="384">
        <f>VLOOKUP(N94,'imp-answers'!$A$2:$I$50,9,0)</f>
        <v>1</v>
      </c>
    </row>
    <row r="98" spans="13:17">
      <c r="M98" s="516"/>
      <c r="N98" s="516"/>
      <c r="O98" s="391"/>
    </row>
    <row r="100" spans="13:17">
      <c r="M100" s="516" t="str">
        <f>CHAR(65+N100)</f>
        <v>Q</v>
      </c>
      <c r="N100" s="516">
        <v>16</v>
      </c>
      <c r="O100" s="383"/>
      <c r="P100" s="384" t="str">
        <f>VLOOKUP(N100,'imp-answers'!$A$2:$I$50,2,0)</f>
        <v>No</v>
      </c>
      <c r="Q100" s="384">
        <f>VLOOKUP(N100,'imp-answers'!$A$2:$I$50,6,0)</f>
        <v>0</v>
      </c>
    </row>
    <row r="101" spans="13:17">
      <c r="M101" s="516"/>
      <c r="N101" s="516"/>
      <c r="O101" s="387"/>
      <c r="P101" s="384" t="str">
        <f>VLOOKUP(N100,'imp-answers'!$A$2:$I$50,3,0)</f>
        <v>Yes, for some incident types</v>
      </c>
      <c r="Q101" s="384">
        <f>VLOOKUP(N100,'imp-answers'!$A$2:$I$50,7,0)</f>
        <v>0.25</v>
      </c>
    </row>
    <row r="102" spans="13:17">
      <c r="M102" s="516"/>
      <c r="N102" s="516"/>
      <c r="O102" s="389"/>
      <c r="P102" s="384" t="str">
        <f>VLOOKUP(N100,'imp-answers'!$A$2:$I$50,4,0)</f>
        <v>Yes, for at least half of the incident types</v>
      </c>
      <c r="Q102" s="384">
        <f>VLOOKUP(N100,'imp-answers'!$A$2:$I$50,8,0)</f>
        <v>0.5</v>
      </c>
    </row>
    <row r="103" spans="13:17">
      <c r="M103" s="516"/>
      <c r="N103" s="516"/>
      <c r="O103" s="388"/>
      <c r="P103" s="384" t="str">
        <f>VLOOKUP(N100,'imp-answers'!$A$2:$I$50,5,0)</f>
        <v>Yes, for most or all of the incident types</v>
      </c>
      <c r="Q103" s="384">
        <f>VLOOKUP(N100,'imp-answers'!$A$2:$I$50,9,0)</f>
        <v>1</v>
      </c>
    </row>
    <row r="104" spans="13:17">
      <c r="M104" s="516"/>
      <c r="N104" s="516"/>
      <c r="O104" s="391"/>
    </row>
    <row r="106" spans="13:17">
      <c r="M106" s="516" t="str">
        <f>CHAR(65+N106)</f>
        <v>R</v>
      </c>
      <c r="N106" s="516">
        <v>17</v>
      </c>
      <c r="O106" s="383"/>
      <c r="P106" s="384" t="str">
        <f>VLOOKUP(N106,'imp-answers'!$A$2:$I$50,2,0)</f>
        <v>No</v>
      </c>
      <c r="Q106" s="384">
        <f>VLOOKUP(N106,'imp-answers'!$A$2:$I$50,6,0)</f>
        <v>0</v>
      </c>
    </row>
    <row r="107" spans="13:17">
      <c r="M107" s="516"/>
      <c r="N107" s="516"/>
      <c r="O107" s="387"/>
      <c r="P107" s="384" t="str">
        <f>VLOOKUP(N106,'imp-answers'!$A$2:$I$50,3,0)</f>
        <v>Yes, for some incidents</v>
      </c>
      <c r="Q107" s="384">
        <f>VLOOKUP(N106,'imp-answers'!$A$2:$I$50,7,0)</f>
        <v>0.25</v>
      </c>
    </row>
    <row r="108" spans="13:17">
      <c r="M108" s="516"/>
      <c r="N108" s="516"/>
      <c r="O108" s="389"/>
      <c r="P108" s="384" t="str">
        <f>VLOOKUP(N106,'imp-answers'!$A$2:$I$50,4,0)</f>
        <v>Yes, for at least half of the incidents</v>
      </c>
      <c r="Q108" s="384">
        <f>VLOOKUP(N106,'imp-answers'!$A$2:$I$50,8,0)</f>
        <v>0.5</v>
      </c>
    </row>
    <row r="109" spans="13:17">
      <c r="M109" s="516"/>
      <c r="N109" s="516"/>
      <c r="O109" s="388"/>
      <c r="P109" s="384" t="str">
        <f>VLOOKUP(N106,'imp-answers'!$A$2:$I$50,5,0)</f>
        <v>Yes, for most or all of the incidents</v>
      </c>
      <c r="Q109" s="384">
        <f>VLOOKUP(N106,'imp-answers'!$A$2:$I$50,9,0)</f>
        <v>1</v>
      </c>
    </row>
    <row r="110" spans="13:17">
      <c r="M110" s="516"/>
      <c r="N110" s="516"/>
      <c r="O110" s="391"/>
    </row>
    <row r="112" spans="13:17">
      <c r="M112" s="516" t="str">
        <f>CHAR(65+N112)</f>
        <v>S</v>
      </c>
      <c r="N112" s="516">
        <v>18</v>
      </c>
      <c r="O112" s="383"/>
      <c r="P112" s="384" t="str">
        <f>VLOOKUP(N112,'imp-answers'!$A$2:$I$50,2,0)</f>
        <v>No</v>
      </c>
      <c r="Q112" s="384">
        <f>VLOOKUP(N112,'imp-answers'!$A$2:$I$50,6,0)</f>
        <v>0</v>
      </c>
    </row>
    <row r="113" spans="13:17">
      <c r="M113" s="516"/>
      <c r="N113" s="516"/>
      <c r="O113" s="387"/>
      <c r="P113" s="384" t="str">
        <f>VLOOKUP(N112,'imp-answers'!$A$2:$I$50,3,0)</f>
        <v>Yes, for some of the assets</v>
      </c>
      <c r="Q113" s="384">
        <f>VLOOKUP(N112,'imp-answers'!$A$2:$I$50,7,0)</f>
        <v>0.25</v>
      </c>
    </row>
    <row r="114" spans="13:17">
      <c r="M114" s="516"/>
      <c r="N114" s="516"/>
      <c r="O114" s="389"/>
      <c r="P114" s="384" t="str">
        <f>VLOOKUP(N112,'imp-answers'!$A$2:$I$50,4,0)</f>
        <v>Yes, for at least half of the assets</v>
      </c>
      <c r="Q114" s="384">
        <f>VLOOKUP(N112,'imp-answers'!$A$2:$I$50,8,0)</f>
        <v>0.5</v>
      </c>
    </row>
    <row r="115" spans="13:17">
      <c r="M115" s="516"/>
      <c r="N115" s="516"/>
      <c r="O115" s="388"/>
      <c r="P115" s="384" t="str">
        <f>VLOOKUP(N112,'imp-answers'!$A$2:$I$50,5,0)</f>
        <v>Yes, for most or all of the assets</v>
      </c>
      <c r="Q115" s="384">
        <f>VLOOKUP(N112,'imp-answers'!$A$2:$I$50,9,0)</f>
        <v>1</v>
      </c>
    </row>
    <row r="116" spans="13:17">
      <c r="M116" s="516"/>
      <c r="N116" s="516"/>
      <c r="O116" s="391"/>
    </row>
    <row r="118" spans="13:17">
      <c r="M118" s="516" t="str">
        <f>CHAR(65+N118)</f>
        <v>T</v>
      </c>
      <c r="N118" s="516">
        <v>19</v>
      </c>
      <c r="O118" s="383"/>
      <c r="P118" s="384" t="str">
        <f>VLOOKUP(N118,'imp-answers'!$A$2:$I$50,2,0)</f>
        <v>No</v>
      </c>
      <c r="Q118" s="384">
        <f>VLOOKUP(N118,'imp-answers'!$A$2:$I$50,6,0)</f>
        <v>0</v>
      </c>
    </row>
    <row r="119" spans="13:17">
      <c r="M119" s="516"/>
      <c r="N119" s="516"/>
      <c r="O119" s="387"/>
      <c r="P119" s="384" t="str">
        <f>VLOOKUP(N118,'imp-answers'!$A$2:$I$50,3,0)</f>
        <v>Yes, but we improve it ad-hoc</v>
      </c>
      <c r="Q119" s="384">
        <f>VLOOKUP(N118,'imp-answers'!$A$2:$I$50,7,0)</f>
        <v>0.25</v>
      </c>
    </row>
    <row r="120" spans="13:17">
      <c r="M120" s="516"/>
      <c r="N120" s="516"/>
      <c r="O120" s="389"/>
      <c r="P120" s="384" t="str">
        <f>VLOOKUP(N118,'imp-answers'!$A$2:$I$50,4,0)</f>
        <v>Yes, we we improve it at regular times</v>
      </c>
      <c r="Q120" s="384">
        <f>VLOOKUP(N118,'imp-answers'!$A$2:$I$50,8,0)</f>
        <v>0.5</v>
      </c>
    </row>
    <row r="121" spans="13:17">
      <c r="M121" s="516"/>
      <c r="N121" s="516"/>
      <c r="O121" s="388"/>
      <c r="P121" s="384" t="str">
        <f>VLOOKUP(N118,'imp-answers'!$A$2:$I$50,5,0)</f>
        <v>Yes, we improve it at least annually</v>
      </c>
      <c r="Q121" s="384">
        <f>VLOOKUP(N118,'imp-answers'!$A$2:$I$50,9,0)</f>
        <v>1</v>
      </c>
    </row>
    <row r="122" spans="13:17">
      <c r="M122" s="516"/>
      <c r="N122" s="516"/>
      <c r="O122" s="391"/>
    </row>
    <row r="124" spans="13:17">
      <c r="M124" s="516" t="str">
        <f>CHAR(65+N124)</f>
        <v>U</v>
      </c>
      <c r="N124" s="516">
        <v>20</v>
      </c>
      <c r="O124" s="383"/>
      <c r="P124" s="384" t="str">
        <f>VLOOKUP(N124,'imp-answers'!$A$2:$I$50,2,0)</f>
        <v>No</v>
      </c>
      <c r="Q124" s="384">
        <f>VLOOKUP(N124,'imp-answers'!$A$2:$I$50,6,0)</f>
        <v>0</v>
      </c>
    </row>
    <row r="125" spans="13:17">
      <c r="M125" s="516"/>
      <c r="N125" s="516"/>
      <c r="O125" s="387"/>
      <c r="P125" s="384" t="str">
        <f>VLOOKUP(N124,'imp-answers'!$A$2:$I$50,3,0)</f>
        <v>Yes, for some of the technology domains</v>
      </c>
      <c r="Q125" s="384">
        <f>VLOOKUP(N124,'imp-answers'!$A$2:$I$50,7,0)</f>
        <v>0.25</v>
      </c>
    </row>
    <row r="126" spans="13:17">
      <c r="M126" s="516"/>
      <c r="N126" s="516"/>
      <c r="O126" s="389"/>
      <c r="P126" s="384" t="str">
        <f>VLOOKUP(N124,'imp-answers'!$A$2:$I$50,4,0)</f>
        <v>Yes, for at least half of the technology domains</v>
      </c>
      <c r="Q126" s="384">
        <f>VLOOKUP(N124,'imp-answers'!$A$2:$I$50,8,0)</f>
        <v>0.5</v>
      </c>
    </row>
    <row r="127" spans="13:17">
      <c r="M127" s="516"/>
      <c r="N127" s="516"/>
      <c r="O127" s="388"/>
      <c r="P127" s="384" t="str">
        <f>VLOOKUP(N124,'imp-answers'!$A$2:$I$50,5,0)</f>
        <v>Yes, for most or all of the technology domains</v>
      </c>
      <c r="Q127" s="384">
        <f>VLOOKUP(N124,'imp-answers'!$A$2:$I$50,9,0)</f>
        <v>1</v>
      </c>
    </row>
    <row r="128" spans="13:17">
      <c r="M128" s="516"/>
      <c r="N128" s="516"/>
      <c r="O128" s="391"/>
    </row>
    <row r="130" spans="13:17">
      <c r="M130" s="516" t="str">
        <f>CHAR(65+N130)</f>
        <v>V</v>
      </c>
      <c r="N130" s="516">
        <v>21</v>
      </c>
      <c r="O130" s="383"/>
      <c r="P130" s="384" t="str">
        <f>VLOOKUP(N130,'imp-answers'!$A$2:$I$50,2,0)</f>
        <v>No</v>
      </c>
      <c r="Q130" s="384">
        <f>VLOOKUP(N130,'imp-answers'!$A$2:$I$50,6,0)</f>
        <v>0</v>
      </c>
    </row>
    <row r="131" spans="13:17">
      <c r="M131" s="516"/>
      <c r="N131" s="516"/>
      <c r="O131" s="387"/>
      <c r="P131" s="384" t="str">
        <f>VLOOKUP(N130,'imp-answers'!$A$2:$I$50,3,0)</f>
        <v>Yes, we review it annually</v>
      </c>
      <c r="Q131" s="384">
        <f>VLOOKUP(N130,'imp-answers'!$A$2:$I$50,7,0)</f>
        <v>0.25</v>
      </c>
    </row>
    <row r="132" spans="13:17">
      <c r="M132" s="516"/>
      <c r="N132" s="516"/>
      <c r="O132" s="389"/>
      <c r="P132" s="384" t="str">
        <f>VLOOKUP(N130,'imp-answers'!$A$2:$I$50,4,0)</f>
        <v>Yes, we consult the plan before making significant decisions</v>
      </c>
      <c r="Q132" s="384">
        <f>VLOOKUP(N130,'imp-answers'!$A$2:$I$50,8,0)</f>
        <v>0.5</v>
      </c>
    </row>
    <row r="133" spans="13:17">
      <c r="M133" s="516"/>
      <c r="N133" s="516"/>
      <c r="O133" s="388"/>
      <c r="P133" s="384" t="str">
        <f>VLOOKUP(N130,'imp-answers'!$A$2:$I$50,5,0)</f>
        <v>Yes, we consult the plan often, and it is aligned with our application security strategy</v>
      </c>
      <c r="Q133" s="384">
        <f>VLOOKUP(N130,'imp-answers'!$A$2:$I$50,9,0)</f>
        <v>1</v>
      </c>
    </row>
    <row r="134" spans="13:17">
      <c r="M134" s="516"/>
      <c r="N134" s="516"/>
      <c r="O134" s="391"/>
    </row>
    <row r="136" spans="13:17">
      <c r="M136" s="516" t="str">
        <f>CHAR(65+N136)</f>
        <v>W</v>
      </c>
      <c r="N136" s="516">
        <v>22</v>
      </c>
      <c r="O136" s="383"/>
      <c r="P136" s="384" t="str">
        <f>VLOOKUP(N136,'imp-answers'!$A$2:$I$50,2,0)</f>
        <v>No</v>
      </c>
      <c r="Q136" s="384">
        <f>VLOOKUP(N136,'imp-answers'!$A$2:$I$50,6,0)</f>
        <v>0</v>
      </c>
    </row>
    <row r="137" spans="13:17">
      <c r="M137" s="516"/>
      <c r="N137" s="516"/>
      <c r="O137" s="387"/>
      <c r="P137" s="384" t="str">
        <f>VLOOKUP(N136,'imp-answers'!$A$2:$I$50,3,0)</f>
        <v>Yes, for some teams</v>
      </c>
      <c r="Q137" s="384">
        <f>VLOOKUP(N136,'imp-answers'!$A$2:$I$50,7,0)</f>
        <v>0.25</v>
      </c>
    </row>
    <row r="138" spans="13:17">
      <c r="M138" s="516"/>
      <c r="N138" s="516"/>
      <c r="O138" s="389"/>
      <c r="P138" s="384" t="str">
        <f>VLOOKUP(N136,'imp-answers'!$A$2:$I$50,4,0)</f>
        <v>Yes, for at least half of the teams</v>
      </c>
      <c r="Q138" s="384">
        <f>VLOOKUP(N136,'imp-answers'!$A$2:$I$50,8,0)</f>
        <v>0.5</v>
      </c>
    </row>
    <row r="139" spans="13:17">
      <c r="M139" s="516"/>
      <c r="N139" s="516"/>
      <c r="O139" s="388"/>
      <c r="P139" s="384" t="str">
        <f>VLOOKUP(N136,'imp-answers'!$A$2:$I$50,5,0)</f>
        <v>Yes, for most or all of the teams</v>
      </c>
      <c r="Q139" s="384">
        <f>VLOOKUP(N136,'imp-answers'!$A$2:$I$50,9,0)</f>
        <v>1</v>
      </c>
    </row>
    <row r="140" spans="13:17">
      <c r="M140" s="516"/>
      <c r="N140" s="516"/>
      <c r="O140" s="391"/>
    </row>
    <row r="142" spans="13:17">
      <c r="M142" s="516" t="str">
        <f>CHAR(65+N142)</f>
        <v>X</v>
      </c>
      <c r="N142" s="516">
        <v>23</v>
      </c>
      <c r="O142" s="383"/>
      <c r="P142" s="384" t="str">
        <f>VLOOKUP(N142,'imp-answers'!$A$2:$I$50,2,0)</f>
        <v>No</v>
      </c>
      <c r="Q142" s="384">
        <f>VLOOKUP(N142,'imp-answers'!$A$2:$I$50,6,0)</f>
        <v>0</v>
      </c>
    </row>
    <row r="143" spans="13:17">
      <c r="M143" s="516"/>
      <c r="N143" s="516"/>
      <c r="O143" s="387"/>
      <c r="P143" s="384" t="str">
        <f>VLOOKUP(N142,'imp-answers'!$A$2:$I$50,3,0)</f>
        <v>Yes, some of it</v>
      </c>
      <c r="Q143" s="384">
        <f>VLOOKUP(N142,'imp-answers'!$A$2:$I$50,7,0)</f>
        <v>0.25</v>
      </c>
    </row>
    <row r="144" spans="13:17">
      <c r="M144" s="516"/>
      <c r="N144" s="516"/>
      <c r="O144" s="389"/>
      <c r="P144" s="384" t="str">
        <f>VLOOKUP(N142,'imp-answers'!$A$2:$I$50,4,0)</f>
        <v>Yes, at least half of it</v>
      </c>
      <c r="Q144" s="384">
        <f>VLOOKUP(N142,'imp-answers'!$A$2:$I$50,8,0)</f>
        <v>0.5</v>
      </c>
    </row>
    <row r="145" spans="13:17">
      <c r="M145" s="516"/>
      <c r="N145" s="516"/>
      <c r="O145" s="388"/>
      <c r="P145" s="384" t="str">
        <f>VLOOKUP(N142,'imp-answers'!$A$2:$I$50,5,0)</f>
        <v>Yes, most or all of it</v>
      </c>
      <c r="Q145" s="384">
        <f>VLOOKUP(N142,'imp-answers'!$A$2:$I$50,9,0)</f>
        <v>1</v>
      </c>
    </row>
    <row r="146" spans="13:17">
      <c r="M146" s="516"/>
      <c r="N146" s="516"/>
      <c r="O146" s="391"/>
    </row>
    <row r="148" spans="13:17">
      <c r="M148" s="516" t="str">
        <f>CHAR(65+N148)</f>
        <v>Y</v>
      </c>
      <c r="N148" s="516">
        <v>24</v>
      </c>
      <c r="O148" s="383"/>
      <c r="P148" s="384" t="str">
        <f>VLOOKUP(N148,'imp-answers'!$A$2:$I$50,2,0)</f>
        <v>No</v>
      </c>
      <c r="Q148" s="384">
        <f>VLOOKUP(N148,'imp-answers'!$A$2:$I$50,6,0)</f>
        <v>0</v>
      </c>
    </row>
    <row r="149" spans="13:17">
      <c r="M149" s="516"/>
      <c r="N149" s="516"/>
      <c r="O149" s="387"/>
      <c r="P149" s="384" t="str">
        <f>VLOOKUP(N148,'imp-answers'!$A$2:$I$50,3,0)</f>
        <v>Yes, it covers general risks</v>
      </c>
      <c r="Q149" s="384">
        <f>VLOOKUP(N148,'imp-answers'!$A$2:$I$50,7,0)</f>
        <v>0.25</v>
      </c>
    </row>
    <row r="150" spans="13:17">
      <c r="M150" s="516"/>
      <c r="N150" s="516"/>
      <c r="O150" s="389"/>
      <c r="P150" s="384" t="str">
        <f>VLOOKUP(N148,'imp-answers'!$A$2:$I$50,4,0)</f>
        <v>Yes, it covers organization-specific risks</v>
      </c>
      <c r="Q150" s="384">
        <f>VLOOKUP(N148,'imp-answers'!$A$2:$I$50,8,0)</f>
        <v>0.5</v>
      </c>
    </row>
    <row r="151" spans="13:17">
      <c r="M151" s="516"/>
      <c r="N151" s="516"/>
      <c r="O151" s="388"/>
      <c r="P151" s="384" t="str">
        <f>VLOOKUP(N148,'imp-answers'!$A$2:$I$50,5,0)</f>
        <v>Yes, it covers risks and opportunities</v>
      </c>
      <c r="Q151" s="384">
        <f>VLOOKUP(N148,'imp-answers'!$A$2:$I$50,9,0)</f>
        <v>1</v>
      </c>
    </row>
    <row r="152" spans="13:17">
      <c r="M152" s="516"/>
      <c r="N152" s="516"/>
      <c r="O152" s="391"/>
    </row>
  </sheetData>
  <mergeCells count="60">
    <mergeCell ref="A1:K1"/>
    <mergeCell ref="C3:E3"/>
    <mergeCell ref="H4:H7"/>
    <mergeCell ref="M4:M8"/>
    <mergeCell ref="N4:N8"/>
    <mergeCell ref="H9:H12"/>
    <mergeCell ref="M10:M14"/>
    <mergeCell ref="N10:N14"/>
    <mergeCell ref="H14:H17"/>
    <mergeCell ref="M16:M20"/>
    <mergeCell ref="N16:N20"/>
    <mergeCell ref="H19:H22"/>
    <mergeCell ref="M22:M26"/>
    <mergeCell ref="N22:N26"/>
    <mergeCell ref="H24:H27"/>
    <mergeCell ref="M28:M32"/>
    <mergeCell ref="N28:N32"/>
    <mergeCell ref="H29:H32"/>
    <mergeCell ref="H34:H37"/>
    <mergeCell ref="M34:M38"/>
    <mergeCell ref="N34:N38"/>
    <mergeCell ref="H39:H42"/>
    <mergeCell ref="M40:M44"/>
    <mergeCell ref="N40:N44"/>
    <mergeCell ref="M46:M50"/>
    <mergeCell ref="N46:N50"/>
    <mergeCell ref="M52:M56"/>
    <mergeCell ref="N52:N56"/>
    <mergeCell ref="M58:M62"/>
    <mergeCell ref="N58:N62"/>
    <mergeCell ref="M64:M68"/>
    <mergeCell ref="N64:N68"/>
    <mergeCell ref="M70:M74"/>
    <mergeCell ref="N70:N74"/>
    <mergeCell ref="M76:M80"/>
    <mergeCell ref="N76:N80"/>
    <mergeCell ref="M82:M86"/>
    <mergeCell ref="N82:N86"/>
    <mergeCell ref="M88:M92"/>
    <mergeCell ref="N88:N92"/>
    <mergeCell ref="M94:M98"/>
    <mergeCell ref="N94:N98"/>
    <mergeCell ref="M100:M104"/>
    <mergeCell ref="N100:N104"/>
    <mergeCell ref="M106:M110"/>
    <mergeCell ref="N106:N110"/>
    <mergeCell ref="M112:M116"/>
    <mergeCell ref="N112:N116"/>
    <mergeCell ref="M118:M122"/>
    <mergeCell ref="N118:N12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1"/>
  <sheetViews>
    <sheetView zoomScale="90" zoomScaleNormal="90" workbookViewId="0">
      <selection activeCell="F26" sqref="F26"/>
    </sheetView>
  </sheetViews>
  <sheetFormatPr baseColWidth="10" defaultColWidth="8.83203125" defaultRowHeight="13"/>
  <cols>
    <col min="1" max="3" width="11.5" customWidth="1"/>
    <col min="4" max="4" width="19.6640625" customWidth="1"/>
    <col min="5" max="5" width="11.5" customWidth="1"/>
    <col min="6" max="6" width="90.6640625" customWidth="1"/>
    <col min="7" max="7" width="64.33203125" customWidth="1"/>
    <col min="8" max="1025" width="11.5" customWidth="1"/>
  </cols>
  <sheetData>
    <row r="1" spans="1:8">
      <c r="A1" s="96" t="s">
        <v>267</v>
      </c>
      <c r="B1" s="96" t="s">
        <v>268</v>
      </c>
      <c r="C1" s="96" t="s">
        <v>205</v>
      </c>
      <c r="D1" s="96" t="s">
        <v>269</v>
      </c>
      <c r="E1" s="96" t="s">
        <v>180</v>
      </c>
      <c r="F1" s="96" t="s">
        <v>270</v>
      </c>
      <c r="G1" s="96" t="s">
        <v>271</v>
      </c>
      <c r="H1" s="96" t="s">
        <v>272</v>
      </c>
    </row>
    <row r="2" spans="1:8" ht="56">
      <c r="A2" s="96" t="s">
        <v>166</v>
      </c>
      <c r="B2" s="96" t="s">
        <v>155</v>
      </c>
      <c r="C2" s="96" t="s">
        <v>163</v>
      </c>
      <c r="D2" s="96" t="s">
        <v>273</v>
      </c>
      <c r="E2" s="96">
        <v>3</v>
      </c>
      <c r="F2" s="96" t="s">
        <v>274</v>
      </c>
      <c r="G2" s="12" t="s">
        <v>275</v>
      </c>
      <c r="H2" s="96">
        <v>12</v>
      </c>
    </row>
    <row r="3" spans="1:8" ht="56">
      <c r="A3" s="96" t="s">
        <v>176</v>
      </c>
      <c r="B3" s="96" t="s">
        <v>155</v>
      </c>
      <c r="C3" s="96" t="s">
        <v>170</v>
      </c>
      <c r="D3" s="96" t="s">
        <v>276</v>
      </c>
      <c r="E3" s="96">
        <v>3</v>
      </c>
      <c r="F3" s="96" t="s">
        <v>277</v>
      </c>
      <c r="G3" s="12" t="s">
        <v>278</v>
      </c>
      <c r="H3" s="96">
        <v>18</v>
      </c>
    </row>
    <row r="4" spans="1:8" ht="56">
      <c r="A4" s="96" t="s">
        <v>151</v>
      </c>
      <c r="B4" s="96" t="s">
        <v>133</v>
      </c>
      <c r="C4" s="96" t="s">
        <v>148</v>
      </c>
      <c r="D4" s="96" t="s">
        <v>279</v>
      </c>
      <c r="E4" s="96">
        <v>3</v>
      </c>
      <c r="F4" s="96" t="s">
        <v>280</v>
      </c>
      <c r="G4" s="12" t="s">
        <v>281</v>
      </c>
      <c r="H4" s="96">
        <v>23</v>
      </c>
    </row>
    <row r="5" spans="1:8" ht="112">
      <c r="A5" s="96" t="s">
        <v>101</v>
      </c>
      <c r="B5" s="96" t="s">
        <v>80</v>
      </c>
      <c r="C5" s="96" t="s">
        <v>94</v>
      </c>
      <c r="D5" s="96" t="s">
        <v>282</v>
      </c>
      <c r="E5" s="96">
        <v>3</v>
      </c>
      <c r="F5" s="96" t="s">
        <v>283</v>
      </c>
      <c r="G5" s="12" t="s">
        <v>284</v>
      </c>
      <c r="H5" s="96">
        <v>7</v>
      </c>
    </row>
    <row r="6" spans="1:8" ht="56">
      <c r="A6" s="96" t="s">
        <v>144</v>
      </c>
      <c r="B6" s="96" t="s">
        <v>133</v>
      </c>
      <c r="C6" s="96" t="s">
        <v>285</v>
      </c>
      <c r="D6" s="96" t="s">
        <v>286</v>
      </c>
      <c r="E6" s="96">
        <v>3</v>
      </c>
      <c r="F6" s="96" t="s">
        <v>287</v>
      </c>
      <c r="G6" s="12" t="s">
        <v>288</v>
      </c>
      <c r="H6" s="96">
        <v>5</v>
      </c>
    </row>
    <row r="7" spans="1:8" ht="56">
      <c r="A7" s="96" t="s">
        <v>121</v>
      </c>
      <c r="B7" s="96" t="s">
        <v>109</v>
      </c>
      <c r="C7" s="96" t="s">
        <v>119</v>
      </c>
      <c r="D7" s="96" t="s">
        <v>289</v>
      </c>
      <c r="E7" s="96">
        <v>2</v>
      </c>
      <c r="F7" s="96" t="s">
        <v>290</v>
      </c>
      <c r="G7" s="12" t="s">
        <v>291</v>
      </c>
      <c r="H7" s="96">
        <v>5</v>
      </c>
    </row>
    <row r="8" spans="1:8" ht="42">
      <c r="A8" s="96" t="s">
        <v>145</v>
      </c>
      <c r="B8" s="96" t="s">
        <v>133</v>
      </c>
      <c r="C8" s="96" t="s">
        <v>285</v>
      </c>
      <c r="D8" s="96" t="s">
        <v>292</v>
      </c>
      <c r="E8" s="96">
        <v>1</v>
      </c>
      <c r="F8" s="96" t="s">
        <v>293</v>
      </c>
      <c r="G8" s="12" t="s">
        <v>294</v>
      </c>
      <c r="H8" s="96">
        <v>5</v>
      </c>
    </row>
    <row r="9" spans="1:8" ht="56">
      <c r="A9" s="96" t="s">
        <v>95</v>
      </c>
      <c r="B9" s="96" t="s">
        <v>80</v>
      </c>
      <c r="C9" s="96" t="s">
        <v>94</v>
      </c>
      <c r="D9" s="96" t="s">
        <v>295</v>
      </c>
      <c r="E9" s="96">
        <v>1</v>
      </c>
      <c r="F9" s="96" t="s">
        <v>296</v>
      </c>
      <c r="G9" s="12" t="s">
        <v>297</v>
      </c>
      <c r="H9" s="96">
        <v>5</v>
      </c>
    </row>
    <row r="10" spans="1:8" ht="56">
      <c r="A10" s="96" t="s">
        <v>152</v>
      </c>
      <c r="B10" s="96" t="s">
        <v>133</v>
      </c>
      <c r="C10" s="96" t="s">
        <v>148</v>
      </c>
      <c r="D10" s="96" t="s">
        <v>298</v>
      </c>
      <c r="E10" s="96">
        <v>1</v>
      </c>
      <c r="F10" s="96" t="s">
        <v>299</v>
      </c>
      <c r="G10" s="12" t="s">
        <v>300</v>
      </c>
      <c r="H10" s="96">
        <v>12</v>
      </c>
    </row>
    <row r="11" spans="1:8" ht="56">
      <c r="A11" s="96" t="s">
        <v>171</v>
      </c>
      <c r="B11" s="96" t="s">
        <v>155</v>
      </c>
      <c r="C11" s="96" t="s">
        <v>170</v>
      </c>
      <c r="D11" s="96" t="s">
        <v>301</v>
      </c>
      <c r="E11" s="96">
        <v>1</v>
      </c>
      <c r="F11" s="96" t="s">
        <v>302</v>
      </c>
      <c r="G11" s="12" t="s">
        <v>303</v>
      </c>
      <c r="H11" s="96">
        <v>5</v>
      </c>
    </row>
    <row r="12" spans="1:8" ht="56">
      <c r="A12" s="96" t="s">
        <v>139</v>
      </c>
      <c r="B12" s="96" t="s">
        <v>133</v>
      </c>
      <c r="C12" s="96" t="s">
        <v>134</v>
      </c>
      <c r="D12" s="96" t="s">
        <v>304</v>
      </c>
      <c r="E12" s="96">
        <v>2</v>
      </c>
      <c r="F12" s="96" t="s">
        <v>305</v>
      </c>
      <c r="G12" s="12" t="s">
        <v>306</v>
      </c>
      <c r="H12" s="96">
        <v>5</v>
      </c>
    </row>
    <row r="13" spans="1:8" ht="42">
      <c r="A13" s="96" t="s">
        <v>167</v>
      </c>
      <c r="B13" s="96" t="s">
        <v>155</v>
      </c>
      <c r="C13" s="96" t="s">
        <v>163</v>
      </c>
      <c r="D13" s="96" t="s">
        <v>307</v>
      </c>
      <c r="E13" s="96">
        <v>1</v>
      </c>
      <c r="F13" s="96" t="s">
        <v>308</v>
      </c>
      <c r="G13" s="12" t="s">
        <v>309</v>
      </c>
      <c r="H13" s="96">
        <v>12</v>
      </c>
    </row>
    <row r="14" spans="1:8" ht="56">
      <c r="A14" s="96" t="s">
        <v>169</v>
      </c>
      <c r="B14" s="96" t="s">
        <v>155</v>
      </c>
      <c r="C14" s="96" t="s">
        <v>163</v>
      </c>
      <c r="D14" s="96" t="s">
        <v>307</v>
      </c>
      <c r="E14" s="96">
        <v>3</v>
      </c>
      <c r="F14" s="96" t="s">
        <v>310</v>
      </c>
      <c r="G14" s="12" t="s">
        <v>311</v>
      </c>
      <c r="H14" s="96">
        <v>12</v>
      </c>
    </row>
    <row r="15" spans="1:8" ht="84">
      <c r="A15" s="96" t="s">
        <v>173</v>
      </c>
      <c r="B15" s="96" t="s">
        <v>155</v>
      </c>
      <c r="C15" s="96" t="s">
        <v>170</v>
      </c>
      <c r="D15" s="96" t="s">
        <v>301</v>
      </c>
      <c r="E15" s="96">
        <v>3</v>
      </c>
      <c r="F15" s="96" t="s">
        <v>312</v>
      </c>
      <c r="G15" s="12" t="s">
        <v>313</v>
      </c>
      <c r="H15" s="96">
        <v>15</v>
      </c>
    </row>
    <row r="16" spans="1:8" ht="70">
      <c r="A16" s="96" t="s">
        <v>147</v>
      </c>
      <c r="B16" s="96" t="s">
        <v>133</v>
      </c>
      <c r="C16" s="96" t="s">
        <v>285</v>
      </c>
      <c r="D16" s="96" t="s">
        <v>292</v>
      </c>
      <c r="E16" s="96">
        <v>3</v>
      </c>
      <c r="F16" s="96" t="s">
        <v>314</v>
      </c>
      <c r="G16" s="12" t="s">
        <v>315</v>
      </c>
      <c r="H16" s="96">
        <v>7</v>
      </c>
    </row>
    <row r="17" spans="1:8" ht="84">
      <c r="A17" s="96" t="s">
        <v>98</v>
      </c>
      <c r="B17" s="96" t="s">
        <v>80</v>
      </c>
      <c r="C17" s="96" t="s">
        <v>94</v>
      </c>
      <c r="D17" s="96" t="s">
        <v>295</v>
      </c>
      <c r="E17" s="96">
        <v>3</v>
      </c>
      <c r="F17" s="96" t="s">
        <v>316</v>
      </c>
      <c r="G17" s="12" t="s">
        <v>317</v>
      </c>
      <c r="H17" s="96">
        <v>5</v>
      </c>
    </row>
    <row r="18" spans="1:8" ht="84">
      <c r="A18" s="96" t="s">
        <v>154</v>
      </c>
      <c r="B18" s="96" t="s">
        <v>133</v>
      </c>
      <c r="C18" s="96" t="s">
        <v>148</v>
      </c>
      <c r="D18" s="96" t="s">
        <v>298</v>
      </c>
      <c r="E18" s="96">
        <v>3</v>
      </c>
      <c r="F18" s="96" t="s">
        <v>318</v>
      </c>
      <c r="G18" s="12" t="s">
        <v>319</v>
      </c>
      <c r="H18" s="96">
        <v>19</v>
      </c>
    </row>
    <row r="19" spans="1:8" ht="56">
      <c r="A19" s="96" t="s">
        <v>124</v>
      </c>
      <c r="B19" s="96" t="s">
        <v>109</v>
      </c>
      <c r="C19" s="96" t="s">
        <v>119</v>
      </c>
      <c r="D19" s="96" t="s">
        <v>320</v>
      </c>
      <c r="E19" s="96">
        <v>2</v>
      </c>
      <c r="F19" s="96" t="s">
        <v>321</v>
      </c>
      <c r="G19" s="12" t="s">
        <v>322</v>
      </c>
      <c r="H19" s="96">
        <v>5</v>
      </c>
    </row>
    <row r="20" spans="1:8" ht="56">
      <c r="A20" s="96" t="s">
        <v>149</v>
      </c>
      <c r="B20" s="96" t="s">
        <v>133</v>
      </c>
      <c r="C20" s="96" t="s">
        <v>148</v>
      </c>
      <c r="D20" s="96" t="s">
        <v>279</v>
      </c>
      <c r="E20" s="96">
        <v>1</v>
      </c>
      <c r="F20" s="96" t="s">
        <v>323</v>
      </c>
      <c r="G20" s="12" t="s">
        <v>324</v>
      </c>
      <c r="H20" s="96">
        <v>2</v>
      </c>
    </row>
    <row r="21" spans="1:8" ht="56">
      <c r="A21" s="96" t="s">
        <v>99</v>
      </c>
      <c r="B21" s="96" t="s">
        <v>80</v>
      </c>
      <c r="C21" s="96" t="s">
        <v>94</v>
      </c>
      <c r="D21" s="96" t="s">
        <v>282</v>
      </c>
      <c r="E21" s="96">
        <v>1</v>
      </c>
      <c r="F21" s="96" t="s">
        <v>325</v>
      </c>
      <c r="G21" s="12" t="s">
        <v>326</v>
      </c>
      <c r="H21" s="96">
        <v>7</v>
      </c>
    </row>
    <row r="22" spans="1:8" ht="56">
      <c r="A22" s="96" t="s">
        <v>142</v>
      </c>
      <c r="B22" s="96" t="s">
        <v>133</v>
      </c>
      <c r="C22" s="96" t="s">
        <v>285</v>
      </c>
      <c r="D22" s="96" t="s">
        <v>286</v>
      </c>
      <c r="E22" s="96">
        <v>1</v>
      </c>
      <c r="F22" s="96" t="s">
        <v>327</v>
      </c>
      <c r="G22" s="12" t="s">
        <v>328</v>
      </c>
      <c r="H22" s="96">
        <v>2</v>
      </c>
    </row>
    <row r="23" spans="1:8" ht="42">
      <c r="A23" s="96" t="s">
        <v>174</v>
      </c>
      <c r="B23" s="96" t="s">
        <v>155</v>
      </c>
      <c r="C23" s="96" t="s">
        <v>170</v>
      </c>
      <c r="D23" s="96" t="s">
        <v>276</v>
      </c>
      <c r="E23" s="96">
        <v>1</v>
      </c>
      <c r="F23" s="96" t="s">
        <v>329</v>
      </c>
      <c r="G23" s="12" t="s">
        <v>330</v>
      </c>
      <c r="H23" s="96">
        <v>5</v>
      </c>
    </row>
    <row r="24" spans="1:8" ht="56">
      <c r="A24" s="96" t="s">
        <v>136</v>
      </c>
      <c r="B24" s="96" t="s">
        <v>133</v>
      </c>
      <c r="C24" s="96" t="s">
        <v>134</v>
      </c>
      <c r="D24" s="96" t="s">
        <v>331</v>
      </c>
      <c r="E24" s="96">
        <v>2</v>
      </c>
      <c r="F24" s="96" t="s">
        <v>332</v>
      </c>
      <c r="G24" s="12" t="s">
        <v>333</v>
      </c>
      <c r="H24" s="96">
        <v>5</v>
      </c>
    </row>
    <row r="25" spans="1:8" ht="28">
      <c r="A25" s="96" t="s">
        <v>164</v>
      </c>
      <c r="B25" s="96" t="s">
        <v>155</v>
      </c>
      <c r="C25" s="96" t="s">
        <v>163</v>
      </c>
      <c r="D25" s="96" t="s">
        <v>273</v>
      </c>
      <c r="E25" s="96">
        <v>1</v>
      </c>
      <c r="F25" s="96" t="s">
        <v>334</v>
      </c>
      <c r="G25" s="12" t="s">
        <v>335</v>
      </c>
      <c r="H25" s="96">
        <v>12</v>
      </c>
    </row>
    <row r="26" spans="1:8" ht="70">
      <c r="A26" s="96" t="s">
        <v>158</v>
      </c>
      <c r="B26" s="96" t="s">
        <v>155</v>
      </c>
      <c r="C26" s="96" t="s">
        <v>156</v>
      </c>
      <c r="D26" s="96" t="s">
        <v>336</v>
      </c>
      <c r="E26" s="96">
        <v>2</v>
      </c>
      <c r="F26" s="96" t="s">
        <v>337</v>
      </c>
      <c r="G26" s="12" t="s">
        <v>338</v>
      </c>
      <c r="H26" s="96">
        <v>5</v>
      </c>
    </row>
    <row r="27" spans="1:8" ht="84">
      <c r="A27" s="96" t="s">
        <v>77</v>
      </c>
      <c r="B27" s="96" t="s">
        <v>48</v>
      </c>
      <c r="C27" s="96" t="s">
        <v>68</v>
      </c>
      <c r="D27" s="96" t="s">
        <v>339</v>
      </c>
      <c r="E27" s="96">
        <v>2</v>
      </c>
      <c r="F27" s="96" t="s">
        <v>340</v>
      </c>
      <c r="G27" s="12" t="s">
        <v>341</v>
      </c>
      <c r="H27" s="96">
        <v>11</v>
      </c>
    </row>
    <row r="28" spans="1:8" ht="56">
      <c r="A28" s="96" t="s">
        <v>161</v>
      </c>
      <c r="B28" s="96" t="s">
        <v>155</v>
      </c>
      <c r="C28" s="96" t="s">
        <v>156</v>
      </c>
      <c r="D28" s="96" t="s">
        <v>342</v>
      </c>
      <c r="E28" s="96">
        <v>2</v>
      </c>
      <c r="F28" s="96" t="s">
        <v>343</v>
      </c>
      <c r="G28" s="12" t="s">
        <v>344</v>
      </c>
      <c r="H28" s="96">
        <v>16</v>
      </c>
    </row>
    <row r="29" spans="1:8" ht="84">
      <c r="A29" s="96" t="s">
        <v>71</v>
      </c>
      <c r="B29" s="96" t="s">
        <v>48</v>
      </c>
      <c r="C29" s="96" t="s">
        <v>68</v>
      </c>
      <c r="D29" s="96" t="s">
        <v>345</v>
      </c>
      <c r="E29" s="96">
        <v>2</v>
      </c>
      <c r="F29" s="96" t="s">
        <v>346</v>
      </c>
      <c r="G29" s="12" t="s">
        <v>347</v>
      </c>
      <c r="H29" s="96">
        <v>8</v>
      </c>
    </row>
    <row r="30" spans="1:8" ht="42">
      <c r="A30" s="96" t="s">
        <v>125</v>
      </c>
      <c r="B30" s="96" t="s">
        <v>109</v>
      </c>
      <c r="C30" s="96" t="s">
        <v>119</v>
      </c>
      <c r="D30" s="96" t="s">
        <v>320</v>
      </c>
      <c r="E30" s="96">
        <v>3</v>
      </c>
      <c r="F30" s="96" t="s">
        <v>348</v>
      </c>
      <c r="G30" s="12" t="s">
        <v>349</v>
      </c>
      <c r="H30" s="96">
        <v>5</v>
      </c>
    </row>
    <row r="31" spans="1:8" ht="42">
      <c r="A31" s="96" t="s">
        <v>138</v>
      </c>
      <c r="B31" s="96" t="s">
        <v>133</v>
      </c>
      <c r="C31" s="96" t="s">
        <v>134</v>
      </c>
      <c r="D31" s="96" t="s">
        <v>304</v>
      </c>
      <c r="E31" s="96">
        <v>1</v>
      </c>
      <c r="F31" s="96" t="s">
        <v>350</v>
      </c>
      <c r="G31" s="12" t="s">
        <v>351</v>
      </c>
      <c r="H31" s="96">
        <v>5</v>
      </c>
    </row>
    <row r="32" spans="1:8" ht="70">
      <c r="A32" s="96" t="s">
        <v>172</v>
      </c>
      <c r="B32" s="96" t="s">
        <v>155</v>
      </c>
      <c r="C32" s="96" t="s">
        <v>170</v>
      </c>
      <c r="D32" s="96" t="s">
        <v>301</v>
      </c>
      <c r="E32" s="96">
        <v>2</v>
      </c>
      <c r="F32" s="96" t="s">
        <v>352</v>
      </c>
      <c r="G32" s="12" t="s">
        <v>353</v>
      </c>
      <c r="H32" s="96">
        <v>14</v>
      </c>
    </row>
    <row r="33" spans="1:8" ht="84">
      <c r="A33" s="96" t="s">
        <v>96</v>
      </c>
      <c r="B33" s="96" t="s">
        <v>80</v>
      </c>
      <c r="C33" s="96" t="s">
        <v>94</v>
      </c>
      <c r="D33" s="96" t="s">
        <v>295</v>
      </c>
      <c r="E33" s="96">
        <v>2</v>
      </c>
      <c r="F33" s="96" t="s">
        <v>354</v>
      </c>
      <c r="G33" s="12" t="s">
        <v>355</v>
      </c>
      <c r="H33" s="96">
        <v>7</v>
      </c>
    </row>
    <row r="34" spans="1:8" ht="56">
      <c r="A34" s="96" t="s">
        <v>146</v>
      </c>
      <c r="B34" s="96" t="s">
        <v>133</v>
      </c>
      <c r="C34" s="96" t="s">
        <v>285</v>
      </c>
      <c r="D34" s="96" t="s">
        <v>292</v>
      </c>
      <c r="E34" s="96">
        <v>2</v>
      </c>
      <c r="F34" s="96" t="s">
        <v>356</v>
      </c>
      <c r="G34" s="12" t="s">
        <v>357</v>
      </c>
      <c r="H34" s="96">
        <v>7</v>
      </c>
    </row>
    <row r="35" spans="1:8" ht="84">
      <c r="A35" s="96" t="s">
        <v>153</v>
      </c>
      <c r="B35" s="96" t="s">
        <v>133</v>
      </c>
      <c r="C35" s="96" t="s">
        <v>148</v>
      </c>
      <c r="D35" s="96" t="s">
        <v>298</v>
      </c>
      <c r="E35" s="96">
        <v>2</v>
      </c>
      <c r="F35" s="96" t="s">
        <v>358</v>
      </c>
      <c r="G35" s="12" t="s">
        <v>359</v>
      </c>
      <c r="H35" s="96">
        <v>5</v>
      </c>
    </row>
    <row r="36" spans="1:8" ht="56">
      <c r="A36" s="96" t="s">
        <v>168</v>
      </c>
      <c r="B36" s="96" t="s">
        <v>155</v>
      </c>
      <c r="C36" s="96" t="s">
        <v>163</v>
      </c>
      <c r="D36" s="96" t="s">
        <v>307</v>
      </c>
      <c r="E36" s="96">
        <v>2</v>
      </c>
      <c r="F36" s="96" t="s">
        <v>360</v>
      </c>
      <c r="G36" s="12" t="s">
        <v>361</v>
      </c>
      <c r="H36" s="96">
        <v>12</v>
      </c>
    </row>
    <row r="37" spans="1:8" ht="84">
      <c r="A37" s="96" t="s">
        <v>137</v>
      </c>
      <c r="B37" s="96" t="s">
        <v>133</v>
      </c>
      <c r="C37" s="96" t="s">
        <v>134</v>
      </c>
      <c r="D37" s="96" t="s">
        <v>331</v>
      </c>
      <c r="E37" s="96">
        <v>3</v>
      </c>
      <c r="F37" s="96" t="s">
        <v>362</v>
      </c>
      <c r="G37" s="12" t="s">
        <v>363</v>
      </c>
      <c r="H37" s="96">
        <v>5</v>
      </c>
    </row>
    <row r="38" spans="1:8" ht="70">
      <c r="A38" s="96" t="s">
        <v>120</v>
      </c>
      <c r="B38" s="96" t="s">
        <v>109</v>
      </c>
      <c r="C38" s="96" t="s">
        <v>119</v>
      </c>
      <c r="D38" s="96" t="s">
        <v>289</v>
      </c>
      <c r="E38" s="96">
        <v>1</v>
      </c>
      <c r="F38" s="96" t="s">
        <v>364</v>
      </c>
      <c r="G38" s="12" t="s">
        <v>365</v>
      </c>
      <c r="H38" s="96">
        <v>5</v>
      </c>
    </row>
    <row r="39" spans="1:8" ht="56">
      <c r="A39" s="96" t="s">
        <v>122</v>
      </c>
      <c r="B39" s="96" t="s">
        <v>109</v>
      </c>
      <c r="C39" s="96" t="s">
        <v>119</v>
      </c>
      <c r="D39" s="96" t="s">
        <v>289</v>
      </c>
      <c r="E39" s="96">
        <v>3</v>
      </c>
      <c r="F39" s="96" t="s">
        <v>366</v>
      </c>
      <c r="G39" s="12" t="s">
        <v>367</v>
      </c>
      <c r="H39" s="96">
        <v>5</v>
      </c>
    </row>
    <row r="40" spans="1:8" ht="56">
      <c r="A40" s="96" t="s">
        <v>135</v>
      </c>
      <c r="B40" s="96" t="s">
        <v>133</v>
      </c>
      <c r="C40" s="96" t="s">
        <v>134</v>
      </c>
      <c r="D40" s="96" t="s">
        <v>331</v>
      </c>
      <c r="E40" s="96">
        <v>1</v>
      </c>
      <c r="F40" s="96" t="s">
        <v>368</v>
      </c>
      <c r="G40" s="12" t="s">
        <v>369</v>
      </c>
      <c r="H40" s="96">
        <v>5</v>
      </c>
    </row>
    <row r="41" spans="1:8" ht="84">
      <c r="A41" s="96" t="s">
        <v>175</v>
      </c>
      <c r="B41" s="96" t="s">
        <v>155</v>
      </c>
      <c r="C41" s="96" t="s">
        <v>170</v>
      </c>
      <c r="D41" s="96" t="s">
        <v>276</v>
      </c>
      <c r="E41" s="96">
        <v>2</v>
      </c>
      <c r="F41" s="96" t="s">
        <v>370</v>
      </c>
      <c r="G41" s="12" t="s">
        <v>371</v>
      </c>
      <c r="H41" s="96">
        <v>7</v>
      </c>
    </row>
    <row r="42" spans="1:8" ht="84">
      <c r="A42" s="96" t="s">
        <v>150</v>
      </c>
      <c r="B42" s="96" t="s">
        <v>133</v>
      </c>
      <c r="C42" s="96" t="s">
        <v>148</v>
      </c>
      <c r="D42" s="96" t="s">
        <v>279</v>
      </c>
      <c r="E42" s="96">
        <v>2</v>
      </c>
      <c r="F42" s="96" t="s">
        <v>372</v>
      </c>
      <c r="G42" s="12" t="s">
        <v>373</v>
      </c>
      <c r="H42" s="96">
        <v>2</v>
      </c>
    </row>
    <row r="43" spans="1:8" ht="42">
      <c r="A43" s="96" t="s">
        <v>143</v>
      </c>
      <c r="B43" s="96" t="s">
        <v>133</v>
      </c>
      <c r="C43" s="96" t="s">
        <v>285</v>
      </c>
      <c r="D43" s="96" t="s">
        <v>286</v>
      </c>
      <c r="E43" s="96">
        <v>2</v>
      </c>
      <c r="F43" s="96" t="s">
        <v>374</v>
      </c>
      <c r="G43" s="12" t="s">
        <v>375</v>
      </c>
      <c r="H43" s="96">
        <v>2</v>
      </c>
    </row>
    <row r="44" spans="1:8" ht="98">
      <c r="A44" s="96" t="s">
        <v>100</v>
      </c>
      <c r="B44" s="96" t="s">
        <v>80</v>
      </c>
      <c r="C44" s="96" t="s">
        <v>94</v>
      </c>
      <c r="D44" s="96" t="s">
        <v>282</v>
      </c>
      <c r="E44" s="96">
        <v>2</v>
      </c>
      <c r="F44" s="96" t="s">
        <v>376</v>
      </c>
      <c r="G44" s="12" t="s">
        <v>377</v>
      </c>
      <c r="H44" s="96">
        <v>7</v>
      </c>
    </row>
    <row r="45" spans="1:8" ht="56">
      <c r="A45" s="96" t="s">
        <v>165</v>
      </c>
      <c r="B45" s="96" t="s">
        <v>155</v>
      </c>
      <c r="C45" s="96" t="s">
        <v>163</v>
      </c>
      <c r="D45" s="96" t="s">
        <v>273</v>
      </c>
      <c r="E45" s="96">
        <v>2</v>
      </c>
      <c r="F45" s="96" t="s">
        <v>378</v>
      </c>
      <c r="G45" s="12" t="s">
        <v>379</v>
      </c>
      <c r="H45" s="96">
        <v>12</v>
      </c>
    </row>
    <row r="46" spans="1:8" ht="84">
      <c r="A46" s="96" t="s">
        <v>140</v>
      </c>
      <c r="B46" s="96" t="s">
        <v>133</v>
      </c>
      <c r="C46" s="96" t="s">
        <v>134</v>
      </c>
      <c r="D46" s="96" t="s">
        <v>304</v>
      </c>
      <c r="E46" s="96">
        <v>3</v>
      </c>
      <c r="F46" s="96" t="s">
        <v>380</v>
      </c>
      <c r="G46" s="12" t="s">
        <v>381</v>
      </c>
      <c r="H46" s="96">
        <v>5</v>
      </c>
    </row>
    <row r="47" spans="1:8" ht="42">
      <c r="A47" s="96" t="s">
        <v>123</v>
      </c>
      <c r="B47" s="96" t="s">
        <v>109</v>
      </c>
      <c r="C47" s="96" t="s">
        <v>119</v>
      </c>
      <c r="D47" s="96" t="s">
        <v>320</v>
      </c>
      <c r="E47" s="96">
        <v>1</v>
      </c>
      <c r="F47" s="96" t="s">
        <v>382</v>
      </c>
      <c r="G47" s="12" t="s">
        <v>383</v>
      </c>
      <c r="H47" s="96">
        <v>5</v>
      </c>
    </row>
    <row r="48" spans="1:8" ht="70">
      <c r="A48" s="96" t="s">
        <v>73</v>
      </c>
      <c r="B48" s="96" t="s">
        <v>48</v>
      </c>
      <c r="C48" s="96" t="s">
        <v>68</v>
      </c>
      <c r="D48" s="96" t="s">
        <v>345</v>
      </c>
      <c r="E48" s="96">
        <v>3</v>
      </c>
      <c r="F48" s="96" t="s">
        <v>384</v>
      </c>
      <c r="G48" s="12" t="s">
        <v>385</v>
      </c>
      <c r="H48" s="96">
        <v>8</v>
      </c>
    </row>
    <row r="49" spans="1:8" ht="42">
      <c r="A49" s="96" t="s">
        <v>162</v>
      </c>
      <c r="B49" s="96" t="s">
        <v>155</v>
      </c>
      <c r="C49" s="96" t="s">
        <v>156</v>
      </c>
      <c r="D49" s="96" t="s">
        <v>342</v>
      </c>
      <c r="E49" s="96">
        <v>3</v>
      </c>
      <c r="F49" s="96" t="s">
        <v>386</v>
      </c>
      <c r="G49" s="12" t="s">
        <v>387</v>
      </c>
      <c r="H49" s="96">
        <v>7</v>
      </c>
    </row>
    <row r="50" spans="1:8" ht="42">
      <c r="A50" s="96" t="s">
        <v>157</v>
      </c>
      <c r="B50" s="96" t="s">
        <v>155</v>
      </c>
      <c r="C50" s="96" t="s">
        <v>156</v>
      </c>
      <c r="D50" s="96" t="s">
        <v>336</v>
      </c>
      <c r="E50" s="96">
        <v>1</v>
      </c>
      <c r="F50" s="96" t="s">
        <v>388</v>
      </c>
      <c r="G50" s="12" t="s">
        <v>389</v>
      </c>
      <c r="H50" s="96">
        <v>5</v>
      </c>
    </row>
    <row r="51" spans="1:8" ht="70">
      <c r="A51" s="96" t="s">
        <v>74</v>
      </c>
      <c r="B51" s="96" t="s">
        <v>48</v>
      </c>
      <c r="C51" s="96" t="s">
        <v>68</v>
      </c>
      <c r="D51" s="96" t="s">
        <v>339</v>
      </c>
      <c r="E51" s="96">
        <v>1</v>
      </c>
      <c r="F51" s="96" t="s">
        <v>390</v>
      </c>
      <c r="G51" s="12" t="s">
        <v>391</v>
      </c>
      <c r="H51" s="96">
        <v>22</v>
      </c>
    </row>
    <row r="52" spans="1:8" ht="126">
      <c r="A52" s="96" t="s">
        <v>79</v>
      </c>
      <c r="B52" s="96" t="s">
        <v>48</v>
      </c>
      <c r="C52" s="96" t="s">
        <v>68</v>
      </c>
      <c r="D52" s="96" t="s">
        <v>339</v>
      </c>
      <c r="E52" s="96">
        <v>3</v>
      </c>
      <c r="F52" s="96" t="s">
        <v>392</v>
      </c>
      <c r="G52" s="12" t="s">
        <v>393</v>
      </c>
      <c r="H52" s="96">
        <v>11</v>
      </c>
    </row>
    <row r="53" spans="1:8" ht="28">
      <c r="A53" s="96" t="s">
        <v>159</v>
      </c>
      <c r="B53" s="96" t="s">
        <v>155</v>
      </c>
      <c r="C53" s="96" t="s">
        <v>156</v>
      </c>
      <c r="D53" s="96" t="s">
        <v>336</v>
      </c>
      <c r="E53" s="96">
        <v>3</v>
      </c>
      <c r="F53" s="96" t="s">
        <v>394</v>
      </c>
      <c r="G53" s="12" t="s">
        <v>395</v>
      </c>
      <c r="H53" s="96">
        <v>5</v>
      </c>
    </row>
    <row r="54" spans="1:8" ht="28">
      <c r="A54" s="96" t="s">
        <v>160</v>
      </c>
      <c r="B54" s="96" t="s">
        <v>155</v>
      </c>
      <c r="C54" s="96" t="s">
        <v>156</v>
      </c>
      <c r="D54" s="96" t="s">
        <v>342</v>
      </c>
      <c r="E54" s="96">
        <v>1</v>
      </c>
      <c r="F54" s="96" t="s">
        <v>396</v>
      </c>
      <c r="G54" s="12" t="s">
        <v>397</v>
      </c>
      <c r="H54" s="96">
        <v>17</v>
      </c>
    </row>
    <row r="55" spans="1:8" ht="126">
      <c r="A55" s="96" t="s">
        <v>69</v>
      </c>
      <c r="B55" s="96" t="s">
        <v>48</v>
      </c>
      <c r="C55" s="96" t="s">
        <v>68</v>
      </c>
      <c r="D55" s="96" t="s">
        <v>345</v>
      </c>
      <c r="E55" s="96">
        <v>1</v>
      </c>
      <c r="F55" s="96" t="s">
        <v>398</v>
      </c>
      <c r="G55" s="12" t="s">
        <v>399</v>
      </c>
      <c r="H55" s="96">
        <v>2</v>
      </c>
    </row>
    <row r="56" spans="1:8" ht="70">
      <c r="A56" s="96" t="s">
        <v>64</v>
      </c>
      <c r="B56" s="96" t="s">
        <v>48</v>
      </c>
      <c r="C56" s="96" t="s">
        <v>61</v>
      </c>
      <c r="D56" s="96" t="s">
        <v>400</v>
      </c>
      <c r="E56" s="96">
        <v>3</v>
      </c>
      <c r="F56" s="96" t="s">
        <v>401</v>
      </c>
      <c r="G56" s="12" t="s">
        <v>402</v>
      </c>
      <c r="H56" s="96">
        <v>4</v>
      </c>
    </row>
    <row r="57" spans="1:8" ht="56">
      <c r="A57" s="96" t="s">
        <v>84</v>
      </c>
      <c r="B57" s="96" t="s">
        <v>80</v>
      </c>
      <c r="C57" s="96" t="s">
        <v>81</v>
      </c>
      <c r="D57" s="96" t="s">
        <v>403</v>
      </c>
      <c r="E57" s="96">
        <v>2</v>
      </c>
      <c r="F57" s="96" t="s">
        <v>404</v>
      </c>
      <c r="G57" s="12" t="s">
        <v>405</v>
      </c>
      <c r="H57" s="96">
        <v>5</v>
      </c>
    </row>
    <row r="58" spans="1:8" ht="28">
      <c r="A58" s="96" t="s">
        <v>65</v>
      </c>
      <c r="B58" s="96" t="s">
        <v>48</v>
      </c>
      <c r="C58" s="96" t="s">
        <v>61</v>
      </c>
      <c r="D58" s="96" t="s">
        <v>406</v>
      </c>
      <c r="E58" s="96">
        <v>1</v>
      </c>
      <c r="F58" s="96" t="s">
        <v>407</v>
      </c>
      <c r="G58" s="12" t="s">
        <v>408</v>
      </c>
      <c r="H58" s="96">
        <v>5</v>
      </c>
    </row>
    <row r="59" spans="1:8" ht="42">
      <c r="A59" s="96" t="s">
        <v>128</v>
      </c>
      <c r="B59" s="96" t="s">
        <v>109</v>
      </c>
      <c r="C59" s="96" t="s">
        <v>126</v>
      </c>
      <c r="D59" s="96" t="s">
        <v>409</v>
      </c>
      <c r="E59" s="96">
        <v>2</v>
      </c>
      <c r="F59" s="96" t="s">
        <v>410</v>
      </c>
      <c r="G59" s="12" t="s">
        <v>411</v>
      </c>
      <c r="H59" s="96">
        <v>5</v>
      </c>
    </row>
    <row r="60" spans="1:8" ht="56">
      <c r="A60" s="96" t="s">
        <v>67</v>
      </c>
      <c r="B60" s="96" t="s">
        <v>48</v>
      </c>
      <c r="C60" s="96" t="s">
        <v>61</v>
      </c>
      <c r="D60" s="96" t="s">
        <v>406</v>
      </c>
      <c r="E60" s="96">
        <v>3</v>
      </c>
      <c r="F60" s="96" t="s">
        <v>412</v>
      </c>
      <c r="G60" s="12" t="s">
        <v>413</v>
      </c>
      <c r="H60" s="96">
        <v>4</v>
      </c>
    </row>
    <row r="61" spans="1:8" ht="126">
      <c r="A61" s="96" t="s">
        <v>90</v>
      </c>
      <c r="B61" s="96" t="s">
        <v>80</v>
      </c>
      <c r="C61" s="96" t="s">
        <v>81</v>
      </c>
      <c r="D61" s="96" t="s">
        <v>414</v>
      </c>
      <c r="E61" s="96">
        <v>2</v>
      </c>
      <c r="F61" s="96" t="s">
        <v>415</v>
      </c>
      <c r="G61" s="12" t="s">
        <v>416</v>
      </c>
      <c r="H61" s="96">
        <v>5</v>
      </c>
    </row>
    <row r="62" spans="1:8" ht="56">
      <c r="A62" s="96" t="s">
        <v>62</v>
      </c>
      <c r="B62" s="96" t="s">
        <v>48</v>
      </c>
      <c r="C62" s="96" t="s">
        <v>61</v>
      </c>
      <c r="D62" s="96" t="s">
        <v>400</v>
      </c>
      <c r="E62" s="96">
        <v>1</v>
      </c>
      <c r="F62" s="96" t="s">
        <v>417</v>
      </c>
      <c r="G62" s="12" t="s">
        <v>418</v>
      </c>
      <c r="H62" s="96">
        <v>5</v>
      </c>
    </row>
    <row r="63" spans="1:8" ht="70">
      <c r="A63" s="96" t="s">
        <v>131</v>
      </c>
      <c r="B63" s="96" t="s">
        <v>109</v>
      </c>
      <c r="C63" s="96" t="s">
        <v>126</v>
      </c>
      <c r="D63" s="96" t="s">
        <v>419</v>
      </c>
      <c r="E63" s="96">
        <v>2</v>
      </c>
      <c r="F63" s="96" t="s">
        <v>420</v>
      </c>
      <c r="G63" s="12" t="s">
        <v>421</v>
      </c>
      <c r="H63" s="96">
        <v>5</v>
      </c>
    </row>
    <row r="64" spans="1:8" ht="56">
      <c r="A64" s="96" t="s">
        <v>55</v>
      </c>
      <c r="B64" s="96" t="s">
        <v>48</v>
      </c>
      <c r="C64" s="96" t="s">
        <v>51</v>
      </c>
      <c r="D64" s="96" t="s">
        <v>422</v>
      </c>
      <c r="E64" s="96">
        <v>1</v>
      </c>
      <c r="F64" s="96" t="s">
        <v>423</v>
      </c>
      <c r="G64" s="12" t="s">
        <v>424</v>
      </c>
      <c r="H64" s="96">
        <v>24</v>
      </c>
    </row>
    <row r="65" spans="1:8" ht="42">
      <c r="A65" s="96" t="s">
        <v>103</v>
      </c>
      <c r="B65" s="96" t="s">
        <v>80</v>
      </c>
      <c r="C65" s="96" t="s">
        <v>425</v>
      </c>
      <c r="D65" s="96" t="s">
        <v>426</v>
      </c>
      <c r="E65" s="96">
        <v>1</v>
      </c>
      <c r="F65" s="96" t="s">
        <v>427</v>
      </c>
      <c r="G65" s="12" t="s">
        <v>428</v>
      </c>
      <c r="H65" s="96">
        <v>5</v>
      </c>
    </row>
    <row r="66" spans="1:8" ht="56">
      <c r="A66" s="96" t="s">
        <v>112</v>
      </c>
      <c r="B66" s="96" t="s">
        <v>109</v>
      </c>
      <c r="C66" s="96" t="s">
        <v>110</v>
      </c>
      <c r="D66" s="96" t="s">
        <v>429</v>
      </c>
      <c r="E66" s="96">
        <v>2</v>
      </c>
      <c r="F66" s="96" t="s">
        <v>430</v>
      </c>
      <c r="G66" s="12" t="s">
        <v>431</v>
      </c>
      <c r="H66" s="96">
        <v>5</v>
      </c>
    </row>
    <row r="67" spans="1:8" ht="56">
      <c r="A67" s="96" t="s">
        <v>108</v>
      </c>
      <c r="B67" s="96" t="s">
        <v>80</v>
      </c>
      <c r="C67" s="96" t="s">
        <v>425</v>
      </c>
      <c r="D67" s="96" t="s">
        <v>432</v>
      </c>
      <c r="E67" s="96">
        <v>3</v>
      </c>
      <c r="F67" s="96" t="s">
        <v>433</v>
      </c>
      <c r="G67" s="12" t="s">
        <v>434</v>
      </c>
      <c r="H67" s="96">
        <v>5</v>
      </c>
    </row>
    <row r="68" spans="1:8" ht="42">
      <c r="A68" s="96" t="s">
        <v>60</v>
      </c>
      <c r="B68" s="96" t="s">
        <v>48</v>
      </c>
      <c r="C68" s="96" t="s">
        <v>51</v>
      </c>
      <c r="D68" s="96" t="s">
        <v>435</v>
      </c>
      <c r="E68" s="96">
        <v>3</v>
      </c>
      <c r="F68" s="96" t="s">
        <v>436</v>
      </c>
      <c r="G68" s="12" t="s">
        <v>437</v>
      </c>
      <c r="H68" s="96">
        <v>13</v>
      </c>
    </row>
    <row r="69" spans="1:8" ht="112">
      <c r="A69" s="96" t="s">
        <v>58</v>
      </c>
      <c r="B69" s="96" t="s">
        <v>48</v>
      </c>
      <c r="C69" s="96" t="s">
        <v>51</v>
      </c>
      <c r="D69" s="96" t="s">
        <v>435</v>
      </c>
      <c r="E69" s="96">
        <v>1</v>
      </c>
      <c r="F69" s="96" t="s">
        <v>438</v>
      </c>
      <c r="G69" s="12" t="s">
        <v>439</v>
      </c>
      <c r="H69" s="96">
        <v>10</v>
      </c>
    </row>
    <row r="70" spans="1:8" ht="70">
      <c r="A70" s="96" t="s">
        <v>106</v>
      </c>
      <c r="B70" s="96" t="s">
        <v>80</v>
      </c>
      <c r="C70" s="96" t="s">
        <v>425</v>
      </c>
      <c r="D70" s="96" t="s">
        <v>432</v>
      </c>
      <c r="E70" s="96">
        <v>1</v>
      </c>
      <c r="F70" s="96" t="s">
        <v>440</v>
      </c>
      <c r="G70" s="12" t="s">
        <v>441</v>
      </c>
      <c r="H70" s="96">
        <v>5</v>
      </c>
    </row>
    <row r="71" spans="1:8" ht="98">
      <c r="A71" s="96" t="s">
        <v>116</v>
      </c>
      <c r="B71" s="96" t="s">
        <v>109</v>
      </c>
      <c r="C71" s="96" t="s">
        <v>110</v>
      </c>
      <c r="D71" s="96" t="s">
        <v>442</v>
      </c>
      <c r="E71" s="96">
        <v>2</v>
      </c>
      <c r="F71" s="96" t="s">
        <v>443</v>
      </c>
      <c r="G71" s="12" t="s">
        <v>444</v>
      </c>
      <c r="H71" s="96">
        <v>5</v>
      </c>
    </row>
    <row r="72" spans="1:8" ht="84">
      <c r="A72" s="96" t="s">
        <v>105</v>
      </c>
      <c r="B72" s="96" t="s">
        <v>80</v>
      </c>
      <c r="C72" s="96" t="s">
        <v>425</v>
      </c>
      <c r="D72" s="96" t="s">
        <v>426</v>
      </c>
      <c r="E72" s="96">
        <v>3</v>
      </c>
      <c r="F72" s="96" t="s">
        <v>445</v>
      </c>
      <c r="G72" s="12" t="s">
        <v>446</v>
      </c>
      <c r="H72" s="96">
        <v>5</v>
      </c>
    </row>
    <row r="73" spans="1:8" ht="112">
      <c r="A73" s="96" t="s">
        <v>57</v>
      </c>
      <c r="B73" s="96" t="s">
        <v>48</v>
      </c>
      <c r="C73" s="96" t="s">
        <v>51</v>
      </c>
      <c r="D73" s="96" t="s">
        <v>422</v>
      </c>
      <c r="E73" s="96">
        <v>3</v>
      </c>
      <c r="F73" s="96" t="s">
        <v>447</v>
      </c>
      <c r="G73" s="12" t="s">
        <v>448</v>
      </c>
      <c r="H73" s="96">
        <v>13</v>
      </c>
    </row>
    <row r="74" spans="1:8" ht="56">
      <c r="A74" s="96" t="s">
        <v>66</v>
      </c>
      <c r="B74" s="96" t="s">
        <v>48</v>
      </c>
      <c r="C74" s="96" t="s">
        <v>61</v>
      </c>
      <c r="D74" s="96" t="s">
        <v>406</v>
      </c>
      <c r="E74" s="96">
        <v>2</v>
      </c>
      <c r="F74" s="96" t="s">
        <v>449</v>
      </c>
      <c r="G74" s="12" t="s">
        <v>450</v>
      </c>
      <c r="H74" s="96">
        <v>3</v>
      </c>
    </row>
    <row r="75" spans="1:8" ht="70">
      <c r="A75" s="96" t="s">
        <v>82</v>
      </c>
      <c r="B75" s="96" t="s">
        <v>80</v>
      </c>
      <c r="C75" s="96" t="s">
        <v>81</v>
      </c>
      <c r="D75" s="96" t="s">
        <v>403</v>
      </c>
      <c r="E75" s="96">
        <v>1</v>
      </c>
      <c r="F75" s="96" t="s">
        <v>451</v>
      </c>
      <c r="G75" s="12" t="s">
        <v>452</v>
      </c>
      <c r="H75" s="96">
        <v>2</v>
      </c>
    </row>
    <row r="76" spans="1:8" ht="84">
      <c r="A76" s="96" t="s">
        <v>127</v>
      </c>
      <c r="B76" s="96" t="s">
        <v>109</v>
      </c>
      <c r="C76" s="96" t="s">
        <v>126</v>
      </c>
      <c r="D76" s="96" t="s">
        <v>409</v>
      </c>
      <c r="E76" s="96">
        <v>1</v>
      </c>
      <c r="F76" s="96" t="s">
        <v>453</v>
      </c>
      <c r="G76" s="12" t="s">
        <v>454</v>
      </c>
      <c r="H76" s="96">
        <v>5</v>
      </c>
    </row>
    <row r="77" spans="1:8" ht="84">
      <c r="A77" s="96" t="s">
        <v>132</v>
      </c>
      <c r="B77" s="96" t="s">
        <v>109</v>
      </c>
      <c r="C77" s="96" t="s">
        <v>126</v>
      </c>
      <c r="D77" s="96" t="s">
        <v>419</v>
      </c>
      <c r="E77" s="96">
        <v>3</v>
      </c>
      <c r="F77" s="96" t="s">
        <v>455</v>
      </c>
      <c r="G77" s="12" t="s">
        <v>456</v>
      </c>
      <c r="H77" s="96">
        <v>5</v>
      </c>
    </row>
    <row r="78" spans="1:8" ht="56">
      <c r="A78" s="96" t="s">
        <v>92</v>
      </c>
      <c r="B78" s="96" t="s">
        <v>80</v>
      </c>
      <c r="C78" s="96" t="s">
        <v>81</v>
      </c>
      <c r="D78" s="96" t="s">
        <v>414</v>
      </c>
      <c r="E78" s="96">
        <v>3</v>
      </c>
      <c r="F78" s="96" t="s">
        <v>457</v>
      </c>
      <c r="G78" s="12" t="s">
        <v>458</v>
      </c>
      <c r="H78" s="96">
        <v>13</v>
      </c>
    </row>
    <row r="79" spans="1:8" ht="70">
      <c r="A79" s="96" t="s">
        <v>63</v>
      </c>
      <c r="B79" s="96" t="s">
        <v>48</v>
      </c>
      <c r="C79" s="96" t="s">
        <v>61</v>
      </c>
      <c r="D79" s="96" t="s">
        <v>400</v>
      </c>
      <c r="E79" s="96">
        <v>2</v>
      </c>
      <c r="F79" s="96" t="s">
        <v>459</v>
      </c>
      <c r="G79" s="12" t="s">
        <v>460</v>
      </c>
      <c r="H79" s="96">
        <v>0</v>
      </c>
    </row>
    <row r="80" spans="1:8" ht="42">
      <c r="A80" s="96" t="s">
        <v>89</v>
      </c>
      <c r="B80" s="96" t="s">
        <v>80</v>
      </c>
      <c r="C80" s="96" t="s">
        <v>81</v>
      </c>
      <c r="D80" s="96" t="s">
        <v>414</v>
      </c>
      <c r="E80" s="96">
        <v>1</v>
      </c>
      <c r="F80" s="96" t="s">
        <v>461</v>
      </c>
      <c r="G80" s="12" t="s">
        <v>462</v>
      </c>
      <c r="H80" s="96">
        <v>2</v>
      </c>
    </row>
    <row r="81" spans="1:8" ht="56">
      <c r="A81" s="96" t="s">
        <v>130</v>
      </c>
      <c r="B81" s="96" t="s">
        <v>109</v>
      </c>
      <c r="C81" s="96" t="s">
        <v>126</v>
      </c>
      <c r="D81" s="96" t="s">
        <v>419</v>
      </c>
      <c r="E81" s="96">
        <v>1</v>
      </c>
      <c r="F81" s="96" t="s">
        <v>463</v>
      </c>
      <c r="G81" s="12" t="s">
        <v>464</v>
      </c>
      <c r="H81" s="96">
        <v>5</v>
      </c>
    </row>
    <row r="82" spans="1:8" ht="56">
      <c r="A82" s="96" t="s">
        <v>129</v>
      </c>
      <c r="B82" s="96" t="s">
        <v>109</v>
      </c>
      <c r="C82" s="96" t="s">
        <v>126</v>
      </c>
      <c r="D82" s="96" t="s">
        <v>409</v>
      </c>
      <c r="E82" s="96">
        <v>3</v>
      </c>
      <c r="F82" s="96" t="s">
        <v>465</v>
      </c>
      <c r="G82" s="12" t="s">
        <v>466</v>
      </c>
      <c r="H82" s="96">
        <v>5</v>
      </c>
    </row>
    <row r="83" spans="1:8" ht="56">
      <c r="A83" s="96" t="s">
        <v>86</v>
      </c>
      <c r="B83" s="96" t="s">
        <v>80</v>
      </c>
      <c r="C83" s="96" t="s">
        <v>81</v>
      </c>
      <c r="D83" s="96" t="s">
        <v>403</v>
      </c>
      <c r="E83" s="96">
        <v>3</v>
      </c>
      <c r="F83" s="96" t="s">
        <v>467</v>
      </c>
      <c r="G83" s="12" t="s">
        <v>468</v>
      </c>
      <c r="H83" s="96">
        <v>6</v>
      </c>
    </row>
    <row r="84" spans="1:8" ht="84">
      <c r="A84" s="96" t="s">
        <v>111</v>
      </c>
      <c r="B84" s="96" t="s">
        <v>109</v>
      </c>
      <c r="C84" s="96" t="s">
        <v>110</v>
      </c>
      <c r="D84" s="96" t="s">
        <v>429</v>
      </c>
      <c r="E84" s="96">
        <v>1</v>
      </c>
      <c r="F84" s="96" t="s">
        <v>469</v>
      </c>
      <c r="G84" s="12" t="s">
        <v>470</v>
      </c>
      <c r="H84" s="96">
        <v>5</v>
      </c>
    </row>
    <row r="85" spans="1:8" ht="70">
      <c r="A85" s="96" t="s">
        <v>104</v>
      </c>
      <c r="B85" s="96" t="s">
        <v>80</v>
      </c>
      <c r="C85" s="96" t="s">
        <v>425</v>
      </c>
      <c r="D85" s="96" t="s">
        <v>426</v>
      </c>
      <c r="E85" s="96">
        <v>2</v>
      </c>
      <c r="F85" s="96" t="s">
        <v>471</v>
      </c>
      <c r="G85" s="12" t="s">
        <v>472</v>
      </c>
      <c r="H85" s="96">
        <v>5</v>
      </c>
    </row>
    <row r="86" spans="1:8" ht="70">
      <c r="A86" s="96" t="s">
        <v>56</v>
      </c>
      <c r="B86" s="96" t="s">
        <v>48</v>
      </c>
      <c r="C86" s="96" t="s">
        <v>51</v>
      </c>
      <c r="D86" s="96" t="s">
        <v>422</v>
      </c>
      <c r="E86" s="96">
        <v>2</v>
      </c>
      <c r="F86" s="96" t="s">
        <v>473</v>
      </c>
      <c r="G86" s="12" t="s">
        <v>474</v>
      </c>
      <c r="H86" s="96">
        <v>21</v>
      </c>
    </row>
    <row r="87" spans="1:8" ht="112">
      <c r="A87" s="96" t="s">
        <v>118</v>
      </c>
      <c r="B87" s="96" t="s">
        <v>109</v>
      </c>
      <c r="C87" s="96" t="s">
        <v>110</v>
      </c>
      <c r="D87" s="96" t="s">
        <v>442</v>
      </c>
      <c r="E87" s="96">
        <v>3</v>
      </c>
      <c r="F87" s="96" t="s">
        <v>475</v>
      </c>
      <c r="G87" s="12" t="s">
        <v>476</v>
      </c>
      <c r="H87" s="96">
        <v>5</v>
      </c>
    </row>
    <row r="88" spans="1:8" ht="56">
      <c r="A88" s="96" t="s">
        <v>114</v>
      </c>
      <c r="B88" s="96" t="s">
        <v>109</v>
      </c>
      <c r="C88" s="96" t="s">
        <v>110</v>
      </c>
      <c r="D88" s="96" t="s">
        <v>442</v>
      </c>
      <c r="E88" s="96">
        <v>1</v>
      </c>
      <c r="F88" s="96" t="s">
        <v>477</v>
      </c>
      <c r="G88" s="12" t="s">
        <v>478</v>
      </c>
      <c r="H88" s="96">
        <v>5</v>
      </c>
    </row>
    <row r="89" spans="1:8" ht="56">
      <c r="A89" s="96" t="s">
        <v>107</v>
      </c>
      <c r="B89" s="96" t="s">
        <v>80</v>
      </c>
      <c r="C89" s="96" t="s">
        <v>425</v>
      </c>
      <c r="D89" s="96" t="s">
        <v>432</v>
      </c>
      <c r="E89" s="96">
        <v>2</v>
      </c>
      <c r="F89" s="96" t="s">
        <v>479</v>
      </c>
      <c r="G89" s="12" t="s">
        <v>480</v>
      </c>
      <c r="H89" s="96">
        <v>20</v>
      </c>
    </row>
    <row r="90" spans="1:8" ht="112">
      <c r="A90" s="96" t="s">
        <v>59</v>
      </c>
      <c r="B90" s="96" t="s">
        <v>48</v>
      </c>
      <c r="C90" s="96" t="s">
        <v>51</v>
      </c>
      <c r="D90" s="96" t="s">
        <v>435</v>
      </c>
      <c r="E90" s="96">
        <v>2</v>
      </c>
      <c r="F90" s="96" t="s">
        <v>481</v>
      </c>
      <c r="G90" s="12" t="s">
        <v>482</v>
      </c>
      <c r="H90" s="96">
        <v>1</v>
      </c>
    </row>
    <row r="91" spans="1:8" ht="70">
      <c r="A91" s="96" t="s">
        <v>113</v>
      </c>
      <c r="B91" s="96" t="s">
        <v>109</v>
      </c>
      <c r="C91" s="96" t="s">
        <v>110</v>
      </c>
      <c r="D91" s="96" t="s">
        <v>429</v>
      </c>
      <c r="E91" s="96">
        <v>3</v>
      </c>
      <c r="F91" s="96" t="s">
        <v>483</v>
      </c>
      <c r="G91" s="12" t="s">
        <v>484</v>
      </c>
      <c r="H91" s="96">
        <v>5</v>
      </c>
    </row>
  </sheetData>
  <autoFilter ref="A1:H91" xr:uid="{00000000-0009-0000-0000-000006000000}"/>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zoomScale="90" zoomScaleNormal="90" workbookViewId="0">
      <selection activeCell="A2" sqref="A2"/>
    </sheetView>
  </sheetViews>
  <sheetFormatPr baseColWidth="10" defaultColWidth="8.83203125" defaultRowHeight="13"/>
  <cols>
    <col min="1" max="2" width="11.5" customWidth="1"/>
    <col min="3" max="3" width="33.5" customWidth="1"/>
    <col min="4" max="4" width="27.5" customWidth="1"/>
    <col min="5" max="5" width="29.6640625" customWidth="1"/>
    <col min="6" max="1025" width="11.5" customWidth="1"/>
  </cols>
  <sheetData>
    <row r="1" spans="1:9">
      <c r="A1" s="96" t="s">
        <v>485</v>
      </c>
      <c r="B1" s="96" t="s">
        <v>223</v>
      </c>
      <c r="C1" s="96" t="s">
        <v>230</v>
      </c>
      <c r="D1" s="96" t="s">
        <v>237</v>
      </c>
      <c r="E1" s="96" t="s">
        <v>245</v>
      </c>
      <c r="F1" s="96" t="s">
        <v>486</v>
      </c>
      <c r="G1" s="96" t="s">
        <v>487</v>
      </c>
      <c r="H1" s="96" t="s">
        <v>488</v>
      </c>
      <c r="I1" s="96" t="s">
        <v>489</v>
      </c>
    </row>
    <row r="2" spans="1:9">
      <c r="A2" s="96">
        <v>0</v>
      </c>
      <c r="B2" s="96" t="s">
        <v>93</v>
      </c>
      <c r="C2" s="96" t="s">
        <v>490</v>
      </c>
      <c r="D2" s="96" t="s">
        <v>491</v>
      </c>
      <c r="E2" s="96" t="s">
        <v>492</v>
      </c>
      <c r="F2" s="96">
        <v>0</v>
      </c>
      <c r="G2" s="96">
        <v>0.25</v>
      </c>
      <c r="H2" s="96">
        <v>0.5</v>
      </c>
      <c r="I2" s="96">
        <v>1</v>
      </c>
    </row>
    <row r="3" spans="1:9">
      <c r="A3" s="96">
        <v>1</v>
      </c>
      <c r="B3" s="96" t="s">
        <v>93</v>
      </c>
      <c r="C3" s="96" t="s">
        <v>493</v>
      </c>
      <c r="D3" s="96" t="s">
        <v>494</v>
      </c>
      <c r="E3" s="96" t="s">
        <v>495</v>
      </c>
      <c r="F3" s="96">
        <v>0</v>
      </c>
      <c r="G3" s="96">
        <v>0.25</v>
      </c>
      <c r="H3" s="96">
        <v>0.5</v>
      </c>
      <c r="I3" s="96">
        <v>1</v>
      </c>
    </row>
    <row r="4" spans="1:9">
      <c r="A4" s="96">
        <v>2</v>
      </c>
      <c r="B4" s="96" t="s">
        <v>93</v>
      </c>
      <c r="C4" s="96" t="s">
        <v>70</v>
      </c>
      <c r="D4" s="96" t="s">
        <v>496</v>
      </c>
      <c r="E4" s="96" t="s">
        <v>83</v>
      </c>
      <c r="F4" s="96">
        <v>0</v>
      </c>
      <c r="G4" s="96">
        <v>0.25</v>
      </c>
      <c r="H4" s="96">
        <v>0.5</v>
      </c>
      <c r="I4" s="96">
        <v>1</v>
      </c>
    </row>
    <row r="5" spans="1:9">
      <c r="A5" s="96">
        <v>3</v>
      </c>
      <c r="B5" s="96" t="s">
        <v>93</v>
      </c>
      <c r="C5" s="96" t="s">
        <v>497</v>
      </c>
      <c r="D5" s="96" t="s">
        <v>498</v>
      </c>
      <c r="E5" s="96" t="s">
        <v>499</v>
      </c>
      <c r="F5" s="96">
        <v>0</v>
      </c>
      <c r="G5" s="96">
        <v>0.25</v>
      </c>
      <c r="H5" s="96">
        <v>0.5</v>
      </c>
      <c r="I5" s="96">
        <v>1</v>
      </c>
    </row>
    <row r="6" spans="1:9">
      <c r="A6" s="96">
        <v>4</v>
      </c>
      <c r="B6" s="96" t="s">
        <v>93</v>
      </c>
      <c r="C6" s="96" t="s">
        <v>500</v>
      </c>
      <c r="D6" s="96" t="s">
        <v>501</v>
      </c>
      <c r="E6" s="96" t="s">
        <v>502</v>
      </c>
      <c r="F6" s="96">
        <v>0</v>
      </c>
      <c r="G6" s="96">
        <v>0.25</v>
      </c>
      <c r="H6" s="96">
        <v>0.5</v>
      </c>
      <c r="I6" s="96">
        <v>1</v>
      </c>
    </row>
    <row r="7" spans="1:9">
      <c r="A7" s="96">
        <v>5</v>
      </c>
      <c r="B7" s="96" t="s">
        <v>93</v>
      </c>
      <c r="C7" s="96" t="s">
        <v>503</v>
      </c>
      <c r="D7" s="96" t="s">
        <v>504</v>
      </c>
      <c r="E7" s="96" t="s">
        <v>85</v>
      </c>
      <c r="F7" s="96">
        <v>0</v>
      </c>
      <c r="G7" s="96">
        <v>0.25</v>
      </c>
      <c r="H7" s="96">
        <v>0.5</v>
      </c>
      <c r="I7" s="96">
        <v>1</v>
      </c>
    </row>
    <row r="8" spans="1:9">
      <c r="A8" s="96">
        <v>6</v>
      </c>
      <c r="B8" s="96" t="s">
        <v>93</v>
      </c>
      <c r="C8" s="96" t="s">
        <v>505</v>
      </c>
      <c r="D8" s="96" t="s">
        <v>87</v>
      </c>
      <c r="E8" s="96" t="s">
        <v>506</v>
      </c>
      <c r="F8" s="96">
        <v>0</v>
      </c>
      <c r="G8" s="96">
        <v>0.25</v>
      </c>
      <c r="H8" s="96">
        <v>0.5</v>
      </c>
      <c r="I8" s="96">
        <v>1</v>
      </c>
    </row>
    <row r="9" spans="1:9">
      <c r="A9" s="96">
        <v>7</v>
      </c>
      <c r="B9" s="96" t="s">
        <v>93</v>
      </c>
      <c r="C9" s="96" t="s">
        <v>507</v>
      </c>
      <c r="D9" s="96" t="s">
        <v>508</v>
      </c>
      <c r="E9" s="96" t="s">
        <v>97</v>
      </c>
      <c r="F9" s="96">
        <v>0</v>
      </c>
      <c r="G9" s="96">
        <v>0.25</v>
      </c>
      <c r="H9" s="96">
        <v>0.5</v>
      </c>
      <c r="I9" s="96">
        <v>1</v>
      </c>
    </row>
    <row r="10" spans="1:9">
      <c r="A10" s="96">
        <v>8</v>
      </c>
      <c r="B10" s="96" t="s">
        <v>93</v>
      </c>
      <c r="C10" s="96" t="s">
        <v>509</v>
      </c>
      <c r="D10" s="96" t="s">
        <v>510</v>
      </c>
      <c r="E10" s="96" t="s">
        <v>72</v>
      </c>
      <c r="F10" s="96">
        <v>0</v>
      </c>
      <c r="G10" s="96">
        <v>0.25</v>
      </c>
      <c r="H10" s="96">
        <v>0.5</v>
      </c>
      <c r="I10" s="96">
        <v>1</v>
      </c>
    </row>
    <row r="11" spans="1:9">
      <c r="A11" s="96">
        <v>9</v>
      </c>
      <c r="B11" s="96" t="s">
        <v>93</v>
      </c>
      <c r="C11" s="96" t="s">
        <v>511</v>
      </c>
      <c r="D11" s="96" t="s">
        <v>512</v>
      </c>
      <c r="E11" s="96" t="s">
        <v>513</v>
      </c>
      <c r="F11" s="96">
        <v>0</v>
      </c>
      <c r="G11" s="96">
        <v>0.25</v>
      </c>
      <c r="H11" s="96">
        <v>0.5</v>
      </c>
      <c r="I11" s="96">
        <v>1</v>
      </c>
    </row>
    <row r="12" spans="1:9">
      <c r="A12" s="96">
        <v>10</v>
      </c>
      <c r="B12" s="96" t="s">
        <v>93</v>
      </c>
      <c r="C12" s="96" t="s">
        <v>514</v>
      </c>
      <c r="D12" s="96" t="s">
        <v>515</v>
      </c>
      <c r="E12" s="96" t="s">
        <v>516</v>
      </c>
      <c r="F12" s="96">
        <v>0</v>
      </c>
      <c r="G12" s="96">
        <v>0.25</v>
      </c>
      <c r="H12" s="96">
        <v>0.5</v>
      </c>
      <c r="I12" s="96">
        <v>1</v>
      </c>
    </row>
    <row r="13" spans="1:9">
      <c r="A13" s="96">
        <v>11</v>
      </c>
      <c r="B13" s="96" t="s">
        <v>93</v>
      </c>
      <c r="C13" s="96" t="s">
        <v>517</v>
      </c>
      <c r="D13" s="96" t="s">
        <v>518</v>
      </c>
      <c r="E13" s="96" t="s">
        <v>78</v>
      </c>
      <c r="F13" s="96">
        <v>0</v>
      </c>
      <c r="G13" s="96">
        <v>0.25</v>
      </c>
      <c r="H13" s="96">
        <v>0.5</v>
      </c>
      <c r="I13" s="96">
        <v>1</v>
      </c>
    </row>
    <row r="14" spans="1:9">
      <c r="A14" s="96">
        <v>12</v>
      </c>
      <c r="B14" s="96" t="s">
        <v>93</v>
      </c>
      <c r="C14" s="96" t="s">
        <v>519</v>
      </c>
      <c r="D14" s="96" t="s">
        <v>520</v>
      </c>
      <c r="E14" s="96" t="s">
        <v>521</v>
      </c>
      <c r="F14" s="96">
        <v>0</v>
      </c>
      <c r="G14" s="96">
        <v>0.25</v>
      </c>
      <c r="H14" s="96">
        <v>0.5</v>
      </c>
      <c r="I14" s="96">
        <v>1</v>
      </c>
    </row>
    <row r="15" spans="1:9">
      <c r="A15" s="96">
        <v>13</v>
      </c>
      <c r="B15" s="96" t="s">
        <v>93</v>
      </c>
      <c r="C15" s="96" t="s">
        <v>198</v>
      </c>
      <c r="D15" s="96" t="s">
        <v>522</v>
      </c>
      <c r="E15" s="96" t="s">
        <v>523</v>
      </c>
      <c r="F15" s="96">
        <v>0</v>
      </c>
      <c r="G15" s="96">
        <v>0.25</v>
      </c>
      <c r="H15" s="96">
        <v>0.5</v>
      </c>
      <c r="I15" s="96">
        <v>1</v>
      </c>
    </row>
    <row r="16" spans="1:9">
      <c r="A16" s="96">
        <v>14</v>
      </c>
      <c r="B16" s="96" t="s">
        <v>93</v>
      </c>
      <c r="C16" s="96" t="s">
        <v>524</v>
      </c>
      <c r="D16" s="96" t="s">
        <v>525</v>
      </c>
      <c r="E16" s="96" t="s">
        <v>526</v>
      </c>
      <c r="F16" s="96">
        <v>0</v>
      </c>
      <c r="G16" s="96">
        <v>0.25</v>
      </c>
      <c r="H16" s="96">
        <v>0.5</v>
      </c>
      <c r="I16" s="96">
        <v>1</v>
      </c>
    </row>
    <row r="17" spans="1:9">
      <c r="A17" s="96">
        <v>15</v>
      </c>
      <c r="B17" s="96" t="s">
        <v>93</v>
      </c>
      <c r="C17" s="96" t="s">
        <v>527</v>
      </c>
      <c r="D17" s="96" t="s">
        <v>248</v>
      </c>
      <c r="E17" s="96" t="s">
        <v>249</v>
      </c>
      <c r="F17" s="96">
        <v>0</v>
      </c>
      <c r="G17" s="96">
        <v>0.25</v>
      </c>
      <c r="H17" s="96">
        <v>0.5</v>
      </c>
      <c r="I17" s="96">
        <v>1</v>
      </c>
    </row>
    <row r="18" spans="1:9">
      <c r="A18" s="96">
        <v>16</v>
      </c>
      <c r="B18" s="96" t="s">
        <v>93</v>
      </c>
      <c r="C18" s="96" t="s">
        <v>528</v>
      </c>
      <c r="D18" s="96" t="s">
        <v>529</v>
      </c>
      <c r="E18" s="96" t="s">
        <v>530</v>
      </c>
      <c r="F18" s="96">
        <v>0</v>
      </c>
      <c r="G18" s="96">
        <v>0.25</v>
      </c>
      <c r="H18" s="96">
        <v>0.5</v>
      </c>
      <c r="I18" s="96">
        <v>1</v>
      </c>
    </row>
    <row r="19" spans="1:9">
      <c r="A19" s="96">
        <v>17</v>
      </c>
      <c r="B19" s="96" t="s">
        <v>93</v>
      </c>
      <c r="C19" s="96" t="s">
        <v>531</v>
      </c>
      <c r="D19" s="96" t="s">
        <v>532</v>
      </c>
      <c r="E19" s="96" t="s">
        <v>533</v>
      </c>
      <c r="F19" s="96">
        <v>0</v>
      </c>
      <c r="G19" s="96">
        <v>0.25</v>
      </c>
      <c r="H19" s="96">
        <v>0.5</v>
      </c>
      <c r="I19" s="96">
        <v>1</v>
      </c>
    </row>
    <row r="20" spans="1:9">
      <c r="A20" s="96">
        <v>18</v>
      </c>
      <c r="B20" s="96" t="s">
        <v>93</v>
      </c>
      <c r="C20" s="96" t="s">
        <v>534</v>
      </c>
      <c r="D20" s="96" t="s">
        <v>535</v>
      </c>
      <c r="E20" s="96" t="s">
        <v>536</v>
      </c>
      <c r="F20" s="96">
        <v>0</v>
      </c>
      <c r="G20" s="96">
        <v>0.25</v>
      </c>
      <c r="H20" s="96">
        <v>0.5</v>
      </c>
      <c r="I20" s="96">
        <v>1</v>
      </c>
    </row>
    <row r="21" spans="1:9">
      <c r="A21" s="96">
        <v>19</v>
      </c>
      <c r="B21" s="96" t="s">
        <v>93</v>
      </c>
      <c r="C21" s="96" t="s">
        <v>537</v>
      </c>
      <c r="D21" s="96" t="s">
        <v>538</v>
      </c>
      <c r="E21" s="96" t="s">
        <v>539</v>
      </c>
      <c r="F21" s="96">
        <v>0</v>
      </c>
      <c r="G21" s="96">
        <v>0.25</v>
      </c>
      <c r="H21" s="96">
        <v>0.5</v>
      </c>
      <c r="I21" s="96">
        <v>1</v>
      </c>
    </row>
    <row r="22" spans="1:9">
      <c r="A22" s="96">
        <v>20</v>
      </c>
      <c r="B22" s="96" t="s">
        <v>93</v>
      </c>
      <c r="C22" s="96" t="s">
        <v>540</v>
      </c>
      <c r="D22" s="96" t="s">
        <v>541</v>
      </c>
      <c r="E22" s="96" t="s">
        <v>542</v>
      </c>
      <c r="F22" s="96">
        <v>0</v>
      </c>
      <c r="G22" s="96">
        <v>0.25</v>
      </c>
      <c r="H22" s="96">
        <v>0.5</v>
      </c>
      <c r="I22" s="96">
        <v>1</v>
      </c>
    </row>
    <row r="23" spans="1:9">
      <c r="A23" s="96">
        <v>21</v>
      </c>
      <c r="B23" s="96" t="s">
        <v>93</v>
      </c>
      <c r="C23" s="96" t="s">
        <v>543</v>
      </c>
      <c r="D23" s="96" t="s">
        <v>544</v>
      </c>
      <c r="E23" s="96" t="s">
        <v>545</v>
      </c>
      <c r="F23" s="96">
        <v>0</v>
      </c>
      <c r="G23" s="96">
        <v>0.25</v>
      </c>
      <c r="H23" s="96">
        <v>0.5</v>
      </c>
      <c r="I23" s="96">
        <v>1</v>
      </c>
    </row>
    <row r="24" spans="1:9">
      <c r="A24" s="96">
        <v>22</v>
      </c>
      <c r="B24" s="96" t="s">
        <v>93</v>
      </c>
      <c r="C24" s="96" t="s">
        <v>546</v>
      </c>
      <c r="D24" s="96" t="s">
        <v>547</v>
      </c>
      <c r="E24" s="96" t="s">
        <v>75</v>
      </c>
      <c r="F24" s="96">
        <v>0</v>
      </c>
      <c r="G24" s="96">
        <v>0.25</v>
      </c>
      <c r="H24" s="96">
        <v>0.5</v>
      </c>
      <c r="I24" s="96">
        <v>1</v>
      </c>
    </row>
    <row r="25" spans="1:9">
      <c r="A25" s="96">
        <v>23</v>
      </c>
      <c r="B25" s="96" t="s">
        <v>93</v>
      </c>
      <c r="C25" s="96" t="s">
        <v>548</v>
      </c>
      <c r="D25" s="96" t="s">
        <v>549</v>
      </c>
      <c r="E25" s="96" t="s">
        <v>550</v>
      </c>
      <c r="F25" s="96">
        <v>0</v>
      </c>
      <c r="G25" s="96">
        <v>0.25</v>
      </c>
      <c r="H25" s="96">
        <v>0.5</v>
      </c>
      <c r="I25" s="96">
        <v>1</v>
      </c>
    </row>
    <row r="26" spans="1:9">
      <c r="A26" s="96">
        <v>24</v>
      </c>
      <c r="B26" s="96" t="s">
        <v>93</v>
      </c>
      <c r="C26" s="96" t="s">
        <v>551</v>
      </c>
      <c r="D26" s="96" t="s">
        <v>552</v>
      </c>
      <c r="E26" s="96" t="s">
        <v>553</v>
      </c>
      <c r="F26" s="96">
        <v>0</v>
      </c>
      <c r="G26" s="96">
        <v>0.25</v>
      </c>
      <c r="H26" s="96">
        <v>0.5</v>
      </c>
      <c r="I26" s="96">
        <v>1</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
  <sheetViews>
    <sheetView zoomScale="90" zoomScaleNormal="90" workbookViewId="0"/>
  </sheetViews>
  <sheetFormatPr baseColWidth="10" defaultColWidth="8.83203125" defaultRowHeight="13"/>
  <cols>
    <col min="1" max="1" width="170.33203125" style="393" customWidth="1"/>
    <col min="2" max="1025" width="8.83203125" style="393" customWidth="1"/>
  </cols>
  <sheetData>
    <row r="1" spans="1:1" ht="25">
      <c r="A1" s="394" t="s">
        <v>554</v>
      </c>
    </row>
  </sheetData>
  <sheetProtection sheet="1" objects="1" scenarios="1"/>
  <pageMargins left="0.75" right="0.75" top="1" bottom="1"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55</vt:i4>
      </vt:variant>
    </vt:vector>
  </HeadingPairs>
  <TitlesOfParts>
    <vt:vector size="64"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lpstr>Scorecard!Z_9846C184_355C_EA4B_8C35_9561D1AEE31C_.wvu.Cols</vt:lpstr>
      <vt:lpstr>'Roadmap Chart'!Z_9846C184_355C_EA4B_8C35_9561D1AEE31C_.wvu.PrintArea</vt:lpstr>
      <vt:lpstr>Interview!Z_9846C184_355C_EA4B_8C35_9561D1AEE31C_.wvu.Rows</vt:lpstr>
      <vt:lpstr>Roadmap!Z_9846C184_355C_EA4B_8C35_9561D1AEE31C_.wvu.Rows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dc:description/>
  <cp:lastModifiedBy>Davide Fucci</cp:lastModifiedBy>
  <cp:revision>1</cp:revision>
  <dcterms:created xsi:type="dcterms:W3CDTF">2009-06-08T07:01:59Z</dcterms:created>
  <dcterms:modified xsi:type="dcterms:W3CDTF">2023-03-13T15:53:29Z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