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B1AB6005-6B80-1249-AFC3-FA31DA9599B6}" xr6:coauthVersionLast="47" xr6:coauthVersionMax="47" xr10:uidLastSave="{00000000-0000-0000-0000-000000000000}"/>
  <workbookProtection workbookPassword="DD38" lockStructure="1"/>
  <bookViews>
    <workbookView xWindow="0" yWindow="500" windowWidth="38400" windowHeight="21100" activeTab="1" xr2:uid="{00000000-000D-0000-FFFF-FFFF00000000}"/>
  </bookViews>
  <sheets>
    <sheet name="Attribution and License" sheetId="8" state="hidden" r:id="rId1"/>
    <sheet name="Interview" sheetId="2" r:id="rId2"/>
    <sheet name="Scorecard" sheetId="3" state="hidden" r:id="rId3"/>
    <sheet name="Roadmap" sheetId="13" state="hidden" r:id="rId4"/>
    <sheet name="Roadmap Chart" sheetId="5" state="hidden"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8" i="13" l="1"/>
  <c r="R98" i="13" s="1"/>
  <c r="V98" i="13" s="1"/>
  <c r="N97" i="13"/>
  <c r="R97" i="13" s="1"/>
  <c r="V97" i="13" s="1"/>
  <c r="N96" i="13"/>
  <c r="R96" i="13" s="1"/>
  <c r="V96" i="13" s="1"/>
  <c r="N94" i="13"/>
  <c r="R94" i="13" s="1"/>
  <c r="V94" i="13" s="1"/>
  <c r="N93" i="13"/>
  <c r="R93" i="13" s="1"/>
  <c r="V93" i="13" s="1"/>
  <c r="N92" i="13"/>
  <c r="R92" i="13" s="1"/>
  <c r="V92" i="13" s="1"/>
  <c r="N89" i="13"/>
  <c r="R89" i="13" s="1"/>
  <c r="V89" i="13" s="1"/>
  <c r="N88" i="13"/>
  <c r="R88" i="13" s="1"/>
  <c r="V88" i="13" s="1"/>
  <c r="N87" i="13"/>
  <c r="R87" i="13" s="1"/>
  <c r="V87" i="13" s="1"/>
  <c r="N85" i="13"/>
  <c r="R85" i="13" s="1"/>
  <c r="V85" i="13" s="1"/>
  <c r="N84" i="13"/>
  <c r="R84" i="13" s="1"/>
  <c r="V84" i="13" s="1"/>
  <c r="N83" i="13"/>
  <c r="R83" i="13" s="1"/>
  <c r="V83" i="13" s="1"/>
  <c r="N80" i="13"/>
  <c r="R80" i="13" s="1"/>
  <c r="V80" i="13" s="1"/>
  <c r="N79" i="13"/>
  <c r="R79" i="13" s="1"/>
  <c r="V79" i="13" s="1"/>
  <c r="N78" i="13"/>
  <c r="R78" i="13" s="1"/>
  <c r="V78" i="13" s="1"/>
  <c r="N76" i="13"/>
  <c r="R76" i="13" s="1"/>
  <c r="V76" i="13" s="1"/>
  <c r="N75" i="13"/>
  <c r="R75" i="13" s="1"/>
  <c r="V75" i="13" s="1"/>
  <c r="N74" i="13"/>
  <c r="R74" i="13" s="1"/>
  <c r="V74" i="13" s="1"/>
  <c r="J98" i="13"/>
  <c r="J97" i="13"/>
  <c r="J96" i="13"/>
  <c r="J94" i="13"/>
  <c r="J93" i="13"/>
  <c r="J89" i="13"/>
  <c r="J88" i="13"/>
  <c r="J87" i="13"/>
  <c r="J85" i="13"/>
  <c r="J84" i="13"/>
  <c r="J80" i="13"/>
  <c r="J79" i="13"/>
  <c r="J78" i="13"/>
  <c r="J76" i="13"/>
  <c r="J75" i="13"/>
  <c r="F48" i="13"/>
  <c r="J48" i="13" s="1"/>
  <c r="F18" i="13"/>
  <c r="J18" i="13" s="1"/>
  <c r="N18" i="13" s="1"/>
  <c r="R18" i="13" s="1"/>
  <c r="V18" i="13" s="1"/>
  <c r="F19" i="13"/>
  <c r="J19" i="13" s="1"/>
  <c r="J20" i="13"/>
  <c r="F22" i="13"/>
  <c r="J22" i="13" s="1"/>
  <c r="F23" i="13"/>
  <c r="J23" i="13" s="1"/>
  <c r="F24" i="13"/>
  <c r="G53" i="2"/>
  <c r="Q151" i="4"/>
  <c r="P151" i="4"/>
  <c r="Q150" i="4"/>
  <c r="P150" i="4"/>
  <c r="Q149" i="4"/>
  <c r="P149" i="4"/>
  <c r="Q148" i="4"/>
  <c r="P148" i="4"/>
  <c r="G18" i="2" s="1"/>
  <c r="M148" i="4"/>
  <c r="Q145" i="4"/>
  <c r="P145" i="4"/>
  <c r="Q144" i="4"/>
  <c r="P144" i="4"/>
  <c r="Q143" i="4"/>
  <c r="P143" i="4"/>
  <c r="Q142" i="4"/>
  <c r="P142" i="4"/>
  <c r="G179" i="2" s="1"/>
  <c r="M142" i="4"/>
  <c r="Q139" i="4"/>
  <c r="P139" i="4"/>
  <c r="Q138" i="4"/>
  <c r="P138" i="4"/>
  <c r="Q137" i="4"/>
  <c r="P137" i="4"/>
  <c r="Q136" i="4"/>
  <c r="P136" i="4"/>
  <c r="M136" i="4"/>
  <c r="Q133" i="4"/>
  <c r="P133" i="4"/>
  <c r="Q132" i="4"/>
  <c r="P132" i="4"/>
  <c r="Q131" i="4"/>
  <c r="P131" i="4"/>
  <c r="Q130" i="4"/>
  <c r="P130" i="4"/>
  <c r="G20" i="2" s="1"/>
  <c r="M130" i="4"/>
  <c r="Q127" i="4"/>
  <c r="P127" i="4"/>
  <c r="Q126" i="4"/>
  <c r="P126" i="4"/>
  <c r="Q125" i="4"/>
  <c r="P125" i="4"/>
  <c r="Q124" i="4"/>
  <c r="P124" i="4"/>
  <c r="G98" i="2" s="1"/>
  <c r="M124" i="4"/>
  <c r="G18" i="13" l="1"/>
  <c r="K18" i="13"/>
  <c r="O18" i="13"/>
  <c r="N20" i="13"/>
  <c r="N22" i="13"/>
  <c r="J24" i="13"/>
  <c r="N23" i="13"/>
  <c r="N48" i="13"/>
  <c r="R48" i="13" s="1"/>
  <c r="V48" i="13" s="1"/>
  <c r="N19" i="13"/>
  <c r="K19" i="13"/>
  <c r="G19" i="13"/>
  <c r="B24" i="3"/>
  <c r="R23" i="13" l="1"/>
  <c r="V23" i="13" s="1"/>
  <c r="N24" i="13"/>
  <c r="R22" i="13"/>
  <c r="V22" i="13" s="1"/>
  <c r="R20" i="13"/>
  <c r="V20" i="13" s="1"/>
  <c r="O19" i="13"/>
  <c r="R19" i="13"/>
  <c r="V19" i="13" s="1"/>
  <c r="D85" i="2"/>
  <c r="R24" i="13" l="1"/>
  <c r="V24" i="13" s="1"/>
  <c r="F139" i="13"/>
  <c r="Q121" i="4" l="1"/>
  <c r="P121" i="4"/>
  <c r="Q120" i="4"/>
  <c r="P120" i="4"/>
  <c r="Q119" i="4"/>
  <c r="P119" i="4"/>
  <c r="Q118" i="4"/>
  <c r="P118" i="4"/>
  <c r="M118" i="4"/>
  <c r="G186" i="2" l="1"/>
  <c r="B8" i="5"/>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G126" i="13" s="1"/>
  <c r="F125" i="13"/>
  <c r="F124" i="13"/>
  <c r="F122" i="13"/>
  <c r="G122" i="13" s="1"/>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J64" i="13" s="1"/>
  <c r="F61" i="13"/>
  <c r="F60" i="13"/>
  <c r="F59" i="13"/>
  <c r="F57" i="13"/>
  <c r="F56" i="13"/>
  <c r="F55" i="13"/>
  <c r="J55" i="13" s="1"/>
  <c r="F52" i="13"/>
  <c r="F51" i="13"/>
  <c r="F50" i="13"/>
  <c r="J50" i="13" s="1"/>
  <c r="F47" i="13"/>
  <c r="F46" i="13"/>
  <c r="J46" i="13" s="1"/>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E122" i="13" s="1"/>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E93" i="13" s="1"/>
  <c r="A92" i="13"/>
  <c r="C92" i="13" s="1"/>
  <c r="A89" i="13"/>
  <c r="C89" i="13" s="1"/>
  <c r="A88" i="13"/>
  <c r="A87" i="13"/>
  <c r="A85" i="13"/>
  <c r="E85" i="13" s="1"/>
  <c r="A84" i="13"/>
  <c r="D84" i="13" s="1"/>
  <c r="A83" i="13"/>
  <c r="D83" i="13" s="1"/>
  <c r="A80" i="13"/>
  <c r="A79" i="13"/>
  <c r="E79" i="13" s="1"/>
  <c r="A78" i="13"/>
  <c r="E78" i="13" s="1"/>
  <c r="A76" i="13"/>
  <c r="A75" i="13"/>
  <c r="E75" i="13" s="1"/>
  <c r="A74" i="13"/>
  <c r="A70" i="13"/>
  <c r="E70" i="13" s="1"/>
  <c r="A69" i="13"/>
  <c r="C69" i="13" s="1"/>
  <c r="A68" i="13"/>
  <c r="D68" i="13" s="1"/>
  <c r="A66" i="13"/>
  <c r="C66" i="13" s="1"/>
  <c r="A65" i="13"/>
  <c r="A64" i="13"/>
  <c r="A61" i="13"/>
  <c r="E61" i="13" s="1"/>
  <c r="A60" i="13"/>
  <c r="E60" i="13" s="1"/>
  <c r="A59" i="13"/>
  <c r="B59" i="13" s="1"/>
  <c r="A57" i="13"/>
  <c r="E57" i="13" s="1"/>
  <c r="A56" i="13"/>
  <c r="D56" i="13" s="1"/>
  <c r="A55" i="13"/>
  <c r="E55" i="13" s="1"/>
  <c r="A52" i="13"/>
  <c r="E52" i="13" s="1"/>
  <c r="A51" i="13"/>
  <c r="E51" i="13" s="1"/>
  <c r="A50" i="13"/>
  <c r="D50" i="13" s="1"/>
  <c r="A48" i="13"/>
  <c r="A47" i="13"/>
  <c r="D47" i="13" s="1"/>
  <c r="A46" i="13"/>
  <c r="B46" i="13" s="1"/>
  <c r="A42" i="13"/>
  <c r="C42" i="13" s="1"/>
  <c r="A41" i="13"/>
  <c r="A40" i="13"/>
  <c r="A38" i="13"/>
  <c r="E38" i="13" s="1"/>
  <c r="A37" i="13"/>
  <c r="E37" i="13" s="1"/>
  <c r="A36" i="13"/>
  <c r="B36" i="13" s="1"/>
  <c r="A33" i="13"/>
  <c r="A32" i="13"/>
  <c r="D32" i="13" s="1"/>
  <c r="A31" i="13"/>
  <c r="D31" i="13" s="1"/>
  <c r="A29" i="13"/>
  <c r="E29" i="13" s="1"/>
  <c r="A28" i="13"/>
  <c r="E28" i="13" s="1"/>
  <c r="A27" i="13"/>
  <c r="D27" i="13" s="1"/>
  <c r="A24" i="13"/>
  <c r="E24" i="13" s="1"/>
  <c r="A23" i="13"/>
  <c r="A22" i="13"/>
  <c r="E22" i="13" s="1"/>
  <c r="A20" i="13"/>
  <c r="D20" i="13" s="1"/>
  <c r="A19" i="13"/>
  <c r="A18" i="13"/>
  <c r="E144" i="13"/>
  <c r="C144" i="13"/>
  <c r="A15" i="13"/>
  <c r="B83" i="13" l="1"/>
  <c r="E69" i="13"/>
  <c r="D69" i="13"/>
  <c r="C122" i="13"/>
  <c r="B130" i="13"/>
  <c r="C93" i="13"/>
  <c r="D130" i="13"/>
  <c r="D46" i="13"/>
  <c r="C46" i="13"/>
  <c r="D140" i="13"/>
  <c r="C130" i="13"/>
  <c r="D29" i="13"/>
  <c r="E132" i="13"/>
  <c r="D75" i="13"/>
  <c r="C75" i="13"/>
  <c r="D124" i="13"/>
  <c r="E56" i="13"/>
  <c r="D93" i="13"/>
  <c r="C29" i="13"/>
  <c r="C56" i="13"/>
  <c r="E32" i="13"/>
  <c r="C83" i="13"/>
  <c r="C148" i="13"/>
  <c r="C37" i="13"/>
  <c r="E83" i="13"/>
  <c r="D37" i="13"/>
  <c r="D122" i="13"/>
  <c r="J56" i="13"/>
  <c r="J68" i="13"/>
  <c r="J57" i="13"/>
  <c r="J69" i="13"/>
  <c r="G69" i="13"/>
  <c r="N46" i="13"/>
  <c r="R46" i="13" s="1"/>
  <c r="V46" i="13" s="1"/>
  <c r="J59" i="13"/>
  <c r="J70" i="13"/>
  <c r="J60" i="13"/>
  <c r="N50" i="13"/>
  <c r="R50" i="13" s="1"/>
  <c r="V50" i="13" s="1"/>
  <c r="J61" i="13"/>
  <c r="N64" i="13"/>
  <c r="R64" i="13" s="1"/>
  <c r="V64" i="13" s="1"/>
  <c r="J52" i="13"/>
  <c r="J65" i="13"/>
  <c r="N55" i="13"/>
  <c r="R55" i="13" s="1"/>
  <c r="V55" i="13" s="1"/>
  <c r="J66" i="13"/>
  <c r="J51"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J40" i="13"/>
  <c r="J41" i="13"/>
  <c r="J38" i="13"/>
  <c r="J36" i="13"/>
  <c r="J27" i="13"/>
  <c r="J28" i="13"/>
  <c r="J29" i="13"/>
  <c r="E113" i="13"/>
  <c r="E46" i="13"/>
  <c r="E124" i="13"/>
  <c r="E20" i="13"/>
  <c r="C32"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36" i="13" l="1"/>
  <c r="N102" i="13"/>
  <c r="N115" i="13"/>
  <c r="N132" i="13"/>
  <c r="N150" i="13"/>
  <c r="N52" i="13"/>
  <c r="R52" i="13" s="1"/>
  <c r="V52" i="13" s="1"/>
  <c r="N42" i="13"/>
  <c r="N144" i="13"/>
  <c r="N38" i="13"/>
  <c r="N108" i="13"/>
  <c r="N117" i="13"/>
  <c r="N131" i="13"/>
  <c r="N153" i="13"/>
  <c r="N60" i="13"/>
  <c r="R60" i="13" s="1"/>
  <c r="V60" i="13" s="1"/>
  <c r="N69" i="13"/>
  <c r="R69" i="13" s="1"/>
  <c r="V69" i="13" s="1"/>
  <c r="K69" i="13"/>
  <c r="N139" i="13"/>
  <c r="N31" i="13"/>
  <c r="N122" i="13"/>
  <c r="K122" i="13"/>
  <c r="N41" i="13"/>
  <c r="N107" i="13"/>
  <c r="N121" i="13"/>
  <c r="N134" i="13"/>
  <c r="N152" i="13"/>
  <c r="N154" i="13"/>
  <c r="N104" i="13"/>
  <c r="N106" i="13"/>
  <c r="N120" i="13"/>
  <c r="N136" i="13"/>
  <c r="N66" i="13"/>
  <c r="R66" i="13" s="1"/>
  <c r="V66" i="13" s="1"/>
  <c r="N70" i="13"/>
  <c r="R70" i="13" s="1"/>
  <c r="V70" i="13" s="1"/>
  <c r="N57" i="13"/>
  <c r="R57" i="13" s="1"/>
  <c r="V57" i="13" s="1"/>
  <c r="N135" i="13"/>
  <c r="N143" i="13"/>
  <c r="N111" i="13"/>
  <c r="K126" i="13"/>
  <c r="N126" i="13"/>
  <c r="N140" i="13"/>
  <c r="N33" i="13"/>
  <c r="N29" i="13"/>
  <c r="N113" i="13"/>
  <c r="N125" i="13"/>
  <c r="N145" i="13"/>
  <c r="N61" i="13"/>
  <c r="R61" i="13" s="1"/>
  <c r="V61" i="13" s="1"/>
  <c r="N59" i="13"/>
  <c r="N68" i="13"/>
  <c r="R68" i="13" s="1"/>
  <c r="V68" i="13" s="1"/>
  <c r="N37" i="13"/>
  <c r="N32" i="13"/>
  <c r="N141" i="13"/>
  <c r="N28" i="13"/>
  <c r="N112" i="13"/>
  <c r="N124" i="13"/>
  <c r="N149" i="13"/>
  <c r="N65" i="13"/>
  <c r="R65" i="13" s="1"/>
  <c r="V65" i="13" s="1"/>
  <c r="N27" i="13"/>
  <c r="N103" i="13"/>
  <c r="N116" i="13"/>
  <c r="N130" i="13"/>
  <c r="N148" i="13"/>
  <c r="N56" i="13"/>
  <c r="N51" i="13"/>
  <c r="R51" i="13" s="1"/>
  <c r="V51" i="13" s="1"/>
  <c r="N47" i="13"/>
  <c r="R47" i="13" s="1"/>
  <c r="V47" i="13" s="1"/>
  <c r="N40" i="13"/>
  <c r="K40" i="13"/>
  <c r="O69" i="13" l="1"/>
  <c r="S69" i="13"/>
  <c r="R140" i="13"/>
  <c r="R135" i="13"/>
  <c r="R136" i="13"/>
  <c r="R154" i="13"/>
  <c r="V154" i="13" s="1"/>
  <c r="R107" i="13"/>
  <c r="V107" i="13" s="1"/>
  <c r="R130" i="13"/>
  <c r="V130" i="13" s="1"/>
  <c r="R28" i="13"/>
  <c r="V28" i="13" s="1"/>
  <c r="R125" i="13"/>
  <c r="V125" i="13" s="1"/>
  <c r="R139" i="13"/>
  <c r="V139" i="13" s="1"/>
  <c r="R131" i="13"/>
  <c r="V131" i="13" s="1"/>
  <c r="R144" i="13"/>
  <c r="V144" i="13" s="1"/>
  <c r="R132" i="13"/>
  <c r="R116" i="13"/>
  <c r="R141" i="13"/>
  <c r="V141" i="13" s="1"/>
  <c r="R126" i="13"/>
  <c r="O126" i="13"/>
  <c r="R120" i="13"/>
  <c r="V120" i="13" s="1"/>
  <c r="R152" i="13"/>
  <c r="R117" i="13"/>
  <c r="V117" i="13" s="1"/>
  <c r="R115" i="13"/>
  <c r="R149" i="13"/>
  <c r="R59" i="13"/>
  <c r="R113" i="13"/>
  <c r="R41" i="13"/>
  <c r="V41" i="13" s="1"/>
  <c r="R42" i="13"/>
  <c r="V42" i="13" s="1"/>
  <c r="R103" i="13"/>
  <c r="R106" i="13"/>
  <c r="R134" i="13"/>
  <c r="R56" i="13"/>
  <c r="R124" i="13"/>
  <c r="R32" i="13"/>
  <c r="V32" i="13" s="1"/>
  <c r="R29" i="13"/>
  <c r="V29" i="13" s="1"/>
  <c r="R111" i="13"/>
  <c r="R122" i="13"/>
  <c r="V122" i="13" s="1"/>
  <c r="O122" i="13"/>
  <c r="R108" i="13"/>
  <c r="R102" i="13"/>
  <c r="R37" i="13"/>
  <c r="V37" i="13" s="1"/>
  <c r="R33" i="13"/>
  <c r="V33" i="13" s="1"/>
  <c r="R143" i="13"/>
  <c r="V143" i="13" s="1"/>
  <c r="R104" i="13"/>
  <c r="V104" i="13" s="1"/>
  <c r="R153" i="13"/>
  <c r="V153" i="13" s="1"/>
  <c r="R36" i="13"/>
  <c r="R148" i="13"/>
  <c r="V148" i="13" s="1"/>
  <c r="R27" i="13"/>
  <c r="V27" i="13" s="1"/>
  <c r="R112" i="13"/>
  <c r="R145" i="13"/>
  <c r="R121" i="13"/>
  <c r="R31" i="13"/>
  <c r="V31" i="13" s="1"/>
  <c r="R38" i="13"/>
  <c r="V38" i="13" s="1"/>
  <c r="R150" i="13"/>
  <c r="O40" i="13"/>
  <c r="R40" i="13"/>
  <c r="V40" i="13" s="1"/>
  <c r="S18" i="13"/>
  <c r="W69"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40" i="13" l="1"/>
  <c r="V59" i="13"/>
  <c r="V112" i="13"/>
  <c r="V111" i="13"/>
  <c r="V149" i="13"/>
  <c r="S122" i="13"/>
  <c r="V56" i="13"/>
  <c r="V132" i="13"/>
  <c r="V102" i="13"/>
  <c r="V134" i="13"/>
  <c r="V115" i="13"/>
  <c r="V136" i="13"/>
  <c r="V126" i="13"/>
  <c r="W126" i="13" s="1"/>
  <c r="S126" i="13"/>
  <c r="V121" i="13"/>
  <c r="V108" i="13"/>
  <c r="V106" i="13"/>
  <c r="V113" i="13"/>
  <c r="V135" i="13"/>
  <c r="V150" i="13"/>
  <c r="V145" i="13"/>
  <c r="V36" i="13"/>
  <c r="V124" i="13"/>
  <c r="V103" i="13"/>
  <c r="V152" i="13"/>
  <c r="V116" i="13"/>
  <c r="V140" i="13"/>
  <c r="W40" i="13"/>
  <c r="W18" i="13"/>
  <c r="W122"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K28" i="13" l="1"/>
  <c r="O28" i="13"/>
  <c r="W28" i="13"/>
  <c r="S28" i="13"/>
  <c r="G27" i="2"/>
  <c r="G23" i="13"/>
  <c r="K23" i="13"/>
  <c r="O23" i="13"/>
  <c r="S23" i="13"/>
  <c r="W23" i="13"/>
  <c r="K46" i="13"/>
  <c r="K50" i="13"/>
  <c r="G121" i="13"/>
  <c r="G120" i="13"/>
  <c r="K36" i="13"/>
  <c r="K121" i="13"/>
  <c r="K112" i="13"/>
  <c r="O50" i="13"/>
  <c r="K111" i="13"/>
  <c r="K120" i="13"/>
  <c r="O46" i="13"/>
  <c r="O120" i="13"/>
  <c r="S46" i="13"/>
  <c r="W46" i="13"/>
  <c r="O112" i="13"/>
  <c r="O36" i="13"/>
  <c r="O111" i="13"/>
  <c r="O121" i="13"/>
  <c r="S50" i="13"/>
  <c r="S111" i="13"/>
  <c r="W120" i="13"/>
  <c r="S120" i="13"/>
  <c r="S121" i="13"/>
  <c r="S36" i="13"/>
  <c r="W50" i="13"/>
  <c r="S112" i="13"/>
  <c r="W111" i="13"/>
  <c r="W36" i="13"/>
  <c r="W112" i="13"/>
  <c r="W121" i="13"/>
  <c r="G41" i="2"/>
  <c r="G32" i="13"/>
  <c r="K32" i="13"/>
  <c r="O32" i="13"/>
  <c r="S32" i="13"/>
  <c r="W32" i="13"/>
  <c r="G43" i="2"/>
  <c r="G36" i="2"/>
  <c r="G29" i="13"/>
  <c r="G33" i="13"/>
  <c r="K33" i="13"/>
  <c r="K29" i="13"/>
  <c r="O33" i="13"/>
  <c r="O29" i="13"/>
  <c r="S33" i="13"/>
  <c r="S29" i="13"/>
  <c r="W29" i="13"/>
  <c r="W33" i="13"/>
  <c r="G184" i="2"/>
  <c r="G156" i="2"/>
  <c r="G136" i="2"/>
  <c r="G118" i="2"/>
  <c r="G190" i="2"/>
  <c r="G225" i="2"/>
  <c r="G100" i="2"/>
  <c r="G154" i="2"/>
  <c r="G134" i="2"/>
  <c r="G115" i="2"/>
  <c r="G96" i="2"/>
  <c r="G104" i="2"/>
  <c r="G79" i="2"/>
  <c r="G218" i="2"/>
  <c r="G151" i="2"/>
  <c r="G132" i="2"/>
  <c r="G113" i="2"/>
  <c r="G93" i="2"/>
  <c r="G70" i="2"/>
  <c r="G158" i="2"/>
  <c r="G149" i="2"/>
  <c r="G129" i="2"/>
  <c r="G111" i="2"/>
  <c r="G91" i="2"/>
  <c r="G106" i="2"/>
  <c r="G165" i="2"/>
  <c r="G141" i="2"/>
  <c r="G32" i="2"/>
  <c r="G139" i="2"/>
  <c r="G194" i="2"/>
  <c r="G147" i="2"/>
  <c r="G127" i="2"/>
  <c r="G108" i="2"/>
  <c r="G63" i="2"/>
  <c r="G39" i="2"/>
  <c r="G192" i="2"/>
  <c r="G168" i="2"/>
  <c r="G143" i="2"/>
  <c r="G125" i="2"/>
  <c r="G122" i="2"/>
  <c r="G120" i="2"/>
  <c r="K94" i="13"/>
  <c r="K98" i="13"/>
  <c r="K75" i="13"/>
  <c r="K80" i="13"/>
  <c r="K76" i="13"/>
  <c r="K96" i="13"/>
  <c r="K79" i="13"/>
  <c r="K89" i="13"/>
  <c r="K84" i="13"/>
  <c r="K78" i="13"/>
  <c r="K97" i="13"/>
  <c r="K93" i="13"/>
  <c r="K85" i="13"/>
  <c r="K87" i="13"/>
  <c r="K88" i="13"/>
  <c r="G31" i="13"/>
  <c r="G74" i="13"/>
  <c r="G125" i="13"/>
  <c r="G115" i="13"/>
  <c r="O96" i="13"/>
  <c r="G84" i="13"/>
  <c r="G85" i="13"/>
  <c r="O93" i="13"/>
  <c r="G83" i="13"/>
  <c r="G80" i="13"/>
  <c r="G96" i="13"/>
  <c r="G97" i="13"/>
  <c r="G152" i="13"/>
  <c r="G68" i="13"/>
  <c r="K55" i="13"/>
  <c r="G130" i="13"/>
  <c r="O76" i="13"/>
  <c r="G94" i="13"/>
  <c r="G93" i="13"/>
  <c r="G108" i="13"/>
  <c r="G27" i="13"/>
  <c r="G79" i="13"/>
  <c r="K64" i="13"/>
  <c r="G107" i="13"/>
  <c r="G106" i="13"/>
  <c r="G76" i="13"/>
  <c r="G92" i="13"/>
  <c r="G57" i="13"/>
  <c r="G70" i="13"/>
  <c r="G66" i="13"/>
  <c r="G113" i="13"/>
  <c r="G75" i="13"/>
  <c r="G88" i="13"/>
  <c r="G78" i="13"/>
  <c r="G104" i="13"/>
  <c r="G51" i="13"/>
  <c r="G65" i="13"/>
  <c r="G47" i="13"/>
  <c r="G132" i="13"/>
  <c r="G131" i="13"/>
  <c r="G148" i="13"/>
  <c r="G87" i="13"/>
  <c r="G102" i="13"/>
  <c r="G89" i="13"/>
  <c r="O88" i="13"/>
  <c r="G98" i="13"/>
  <c r="G103" i="13"/>
  <c r="K104" i="13"/>
  <c r="K66" i="13"/>
  <c r="O92" i="13"/>
  <c r="S78" i="13"/>
  <c r="O89" i="13"/>
  <c r="O55" i="13"/>
  <c r="O94" i="13"/>
  <c r="O79" i="13"/>
  <c r="K31" i="13"/>
  <c r="K27" i="13"/>
  <c r="K148" i="13"/>
  <c r="S96" i="13"/>
  <c r="O87" i="13"/>
  <c r="S88" i="13"/>
  <c r="O80" i="13"/>
  <c r="K106" i="13"/>
  <c r="K70" i="13"/>
  <c r="K103" i="13"/>
  <c r="O78" i="13"/>
  <c r="O98" i="13"/>
  <c r="K102" i="13"/>
  <c r="K108" i="13"/>
  <c r="S93" i="13"/>
  <c r="K57" i="13"/>
  <c r="K115" i="13"/>
  <c r="K152" i="13"/>
  <c r="K51" i="13"/>
  <c r="O64" i="13"/>
  <c r="S76" i="13"/>
  <c r="K107" i="13"/>
  <c r="K65" i="13"/>
  <c r="O74" i="13"/>
  <c r="O84" i="13"/>
  <c r="O83" i="13"/>
  <c r="K113" i="13"/>
  <c r="O85" i="13"/>
  <c r="K132" i="13"/>
  <c r="K131" i="13"/>
  <c r="K125" i="13"/>
  <c r="K68" i="13"/>
  <c r="K130" i="13"/>
  <c r="K47" i="13"/>
  <c r="O97" i="13"/>
  <c r="O75" i="13"/>
  <c r="O66" i="13"/>
  <c r="O132" i="13"/>
  <c r="W93" i="13"/>
  <c r="S66" i="13"/>
  <c r="S47" i="13"/>
  <c r="O68" i="13"/>
  <c r="O152" i="13"/>
  <c r="O103" i="13"/>
  <c r="S64" i="13"/>
  <c r="W88" i="13"/>
  <c r="S65" i="13"/>
  <c r="O125" i="13"/>
  <c r="S68" i="13"/>
  <c r="O107" i="13"/>
  <c r="S92" i="13"/>
  <c r="S85" i="13"/>
  <c r="W64" i="13"/>
  <c r="O65" i="13"/>
  <c r="O113" i="13"/>
  <c r="O47" i="13"/>
  <c r="S98" i="13"/>
  <c r="S75" i="13"/>
  <c r="S84" i="13"/>
  <c r="S94" i="13"/>
  <c r="O130" i="13"/>
  <c r="O131" i="13"/>
  <c r="O106" i="13"/>
  <c r="O108" i="13"/>
  <c r="O148" i="13"/>
  <c r="O51" i="13"/>
  <c r="S57" i="13"/>
  <c r="S83" i="13"/>
  <c r="S55" i="13"/>
  <c r="W76" i="13"/>
  <c r="O57" i="13"/>
  <c r="O115" i="13"/>
  <c r="O102" i="13"/>
  <c r="O104" i="13"/>
  <c r="O27" i="13"/>
  <c r="S51" i="13"/>
  <c r="W78" i="13"/>
  <c r="S79" i="13"/>
  <c r="O70" i="13"/>
  <c r="O31" i="13"/>
  <c r="S97" i="13"/>
  <c r="W96" i="13"/>
  <c r="W68" i="13"/>
  <c r="S103" i="13"/>
  <c r="W27" i="13"/>
  <c r="S70" i="13"/>
  <c r="S89" i="13"/>
  <c r="W125" i="13"/>
  <c r="W85" i="13"/>
  <c r="W47" i="13"/>
  <c r="S132" i="13"/>
  <c r="W131" i="13"/>
  <c r="S125" i="13"/>
  <c r="S102" i="13"/>
  <c r="S113" i="13"/>
  <c r="S27" i="13"/>
  <c r="W87" i="13"/>
  <c r="W80" i="13"/>
  <c r="W75" i="13"/>
  <c r="W84" i="13"/>
  <c r="W89" i="13"/>
  <c r="S31" i="13"/>
  <c r="S130" i="13"/>
  <c r="S152" i="13"/>
  <c r="S87" i="13"/>
  <c r="S80" i="13"/>
  <c r="W83" i="13"/>
  <c r="W94" i="13"/>
  <c r="S148" i="13"/>
  <c r="W98" i="13"/>
  <c r="W97" i="13"/>
  <c r="W66" i="13"/>
  <c r="W31" i="13"/>
  <c r="S131" i="13"/>
  <c r="W74" i="13"/>
  <c r="W79" i="13"/>
  <c r="W65" i="13"/>
  <c r="S106" i="13"/>
  <c r="W70" i="13"/>
  <c r="S115" i="13"/>
  <c r="S108" i="13"/>
  <c r="S74" i="13"/>
  <c r="W107" i="13"/>
  <c r="W57" i="13"/>
  <c r="S104" i="13"/>
  <c r="S107" i="13"/>
  <c r="W51" i="13"/>
  <c r="W92" i="13"/>
  <c r="W148" i="13"/>
  <c r="W104" i="13"/>
  <c r="W55" i="13"/>
  <c r="W130" i="13"/>
  <c r="W106" i="13"/>
  <c r="W132" i="13"/>
  <c r="W152" i="13"/>
  <c r="W103" i="13"/>
  <c r="W115" i="13"/>
  <c r="W113" i="13"/>
  <c r="W108" i="13"/>
  <c r="W102" i="13"/>
  <c r="G65" i="2"/>
  <c r="K48" i="13"/>
  <c r="G48" i="13"/>
  <c r="O48" i="13"/>
  <c r="S48" i="13"/>
  <c r="W48" i="13"/>
  <c r="G77" i="2"/>
  <c r="G201" i="2"/>
  <c r="G84" i="2"/>
  <c r="G227" i="2"/>
  <c r="G82" i="2"/>
  <c r="G172" i="2"/>
  <c r="G170" i="2"/>
  <c r="G86" i="2"/>
  <c r="G56" i="13"/>
  <c r="G136" i="13"/>
  <c r="G153" i="13"/>
  <c r="G59" i="13"/>
  <c r="G61" i="13"/>
  <c r="G117" i="13"/>
  <c r="G116" i="13"/>
  <c r="G60" i="13"/>
  <c r="K153" i="13"/>
  <c r="K61" i="13"/>
  <c r="K60" i="13"/>
  <c r="K56" i="13"/>
  <c r="K117" i="13"/>
  <c r="K116" i="13"/>
  <c r="K136" i="13"/>
  <c r="K59" i="13"/>
  <c r="O61" i="13"/>
  <c r="O56" i="13"/>
  <c r="S61" i="13"/>
  <c r="O116" i="13"/>
  <c r="O59" i="13"/>
  <c r="O117" i="13"/>
  <c r="S60" i="13"/>
  <c r="O60" i="13"/>
  <c r="O136" i="13"/>
  <c r="O153" i="13"/>
  <c r="W153" i="13"/>
  <c r="W60" i="13"/>
  <c r="S153" i="13"/>
  <c r="W61" i="13"/>
  <c r="S59" i="13"/>
  <c r="W117" i="13"/>
  <c r="S116" i="13"/>
  <c r="S117" i="13"/>
  <c r="S56" i="13"/>
  <c r="S136" i="13"/>
  <c r="W56" i="13"/>
  <c r="W116" i="13"/>
  <c r="W59" i="13"/>
  <c r="W136" i="13"/>
  <c r="G50" i="2"/>
  <c r="G48" i="2"/>
  <c r="G37" i="13"/>
  <c r="G38" i="13"/>
  <c r="K37" i="13"/>
  <c r="K38" i="13"/>
  <c r="O38" i="13"/>
  <c r="O37" i="13"/>
  <c r="W38" i="13"/>
  <c r="W37" i="13"/>
  <c r="S37" i="13"/>
  <c r="S38" i="13"/>
  <c r="G25" i="2"/>
  <c r="K22" i="13"/>
  <c r="G22" i="13"/>
  <c r="O22" i="13"/>
  <c r="S22" i="13"/>
  <c r="W22" i="13"/>
  <c r="G55" i="2"/>
  <c r="G57" i="2"/>
  <c r="G42" i="13"/>
  <c r="G41" i="13"/>
  <c r="K42" i="13"/>
  <c r="K41" i="13"/>
  <c r="O42" i="13"/>
  <c r="S41" i="13"/>
  <c r="O41" i="13"/>
  <c r="W42" i="13"/>
  <c r="W41" i="13"/>
  <c r="S42" i="13"/>
  <c r="G204" i="2"/>
  <c r="G182" i="2"/>
  <c r="G208" i="2"/>
  <c r="G211" i="2"/>
  <c r="G213" i="2"/>
  <c r="G215" i="2"/>
  <c r="G206" i="2"/>
  <c r="G139" i="13"/>
  <c r="G124" i="13"/>
  <c r="G143" i="13"/>
  <c r="G140" i="13"/>
  <c r="G141" i="13"/>
  <c r="G145" i="13"/>
  <c r="G144" i="13"/>
  <c r="K143" i="13"/>
  <c r="K145" i="13"/>
  <c r="K124" i="13"/>
  <c r="K141" i="13"/>
  <c r="K140" i="13"/>
  <c r="K144" i="13"/>
  <c r="K139" i="13"/>
  <c r="O140" i="13"/>
  <c r="O139" i="13"/>
  <c r="O124" i="13"/>
  <c r="O145" i="13"/>
  <c r="O141" i="13"/>
  <c r="O143" i="13"/>
  <c r="O144" i="13"/>
  <c r="S141" i="13"/>
  <c r="W144" i="13"/>
  <c r="S145" i="13"/>
  <c r="W143" i="13"/>
  <c r="W141" i="13"/>
  <c r="S144" i="13"/>
  <c r="S143" i="13"/>
  <c r="W139" i="13"/>
  <c r="S139" i="13"/>
  <c r="S124" i="13"/>
  <c r="S140" i="13"/>
  <c r="W145" i="13"/>
  <c r="W140" i="13"/>
  <c r="W124" i="13"/>
  <c r="G72" i="2"/>
  <c r="G22" i="2"/>
  <c r="G29" i="2"/>
  <c r="K20" i="13"/>
  <c r="G20" i="13"/>
  <c r="G24" i="13"/>
  <c r="O20" i="13"/>
  <c r="K24" i="13"/>
  <c r="O24" i="13"/>
  <c r="G52" i="13"/>
  <c r="O52" i="13"/>
  <c r="K52" i="13"/>
  <c r="S52" i="13"/>
  <c r="S20" i="13"/>
  <c r="W52" i="13"/>
  <c r="W24" i="13"/>
  <c r="W20" i="13"/>
  <c r="S24" i="13"/>
  <c r="G220" i="2"/>
  <c r="G149" i="13"/>
  <c r="K149" i="13"/>
  <c r="O149" i="13"/>
  <c r="S149" i="13"/>
  <c r="W149" i="13"/>
  <c r="G222" i="2"/>
  <c r="G150" i="13"/>
  <c r="K150" i="13"/>
  <c r="O150" i="13"/>
  <c r="S150" i="13"/>
  <c r="W150" i="13"/>
  <c r="G199" i="2"/>
  <c r="G135" i="13"/>
  <c r="K135" i="13"/>
  <c r="O135" i="13"/>
  <c r="S135" i="13"/>
  <c r="W135" i="13"/>
  <c r="G197" i="2"/>
  <c r="G134" i="13"/>
  <c r="K134" i="13"/>
  <c r="O134" i="13"/>
  <c r="S134" i="13"/>
  <c r="W134" i="13"/>
  <c r="G229" i="2"/>
  <c r="G154" i="13"/>
  <c r="K154" i="13"/>
  <c r="O154" i="13"/>
  <c r="W154" i="13"/>
  <c r="S154" i="13"/>
  <c r="G28" i="13"/>
  <c r="G68" i="2"/>
  <c r="G177" i="2"/>
  <c r="G163" i="2"/>
  <c r="G161" i="2"/>
  <c r="G46" i="2"/>
  <c r="G61" i="2"/>
  <c r="G175" i="2"/>
  <c r="G46" i="13"/>
  <c r="G112" i="13"/>
  <c r="G36" i="13"/>
  <c r="G111" i="13"/>
  <c r="G50" i="13"/>
  <c r="G75" i="2"/>
  <c r="G89" i="2"/>
  <c r="G64" i="13"/>
  <c r="G55" i="13"/>
  <c r="G34" i="2"/>
  <c r="M2" i="4"/>
  <c r="M1" i="4" s="1"/>
  <c r="H79" i="2" l="1"/>
  <c r="F18" i="3" s="1"/>
  <c r="H141" i="13"/>
  <c r="H140" i="13"/>
  <c r="H139" i="13"/>
  <c r="H147" i="2"/>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J74" i="13" s="1"/>
  <c r="K74" i="13" s="1"/>
  <c r="L74" i="13" s="1"/>
  <c r="D40" i="3" s="1"/>
  <c r="D25" i="3"/>
  <c r="J175" i="2"/>
  <c r="D64" i="3"/>
  <c r="Y55" i="13"/>
  <c r="M148" i="13"/>
  <c r="J132" i="2"/>
  <c r="J92" i="13" s="1"/>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J83" i="13" s="1"/>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18" i="5"/>
  <c r="AA18" i="5"/>
  <c r="K18" i="5"/>
  <c r="J95" i="3"/>
  <c r="X20" i="3"/>
  <c r="J16" i="3"/>
  <c r="Z85" i="3"/>
  <c r="J77" i="3"/>
  <c r="V94" i="3"/>
  <c r="F13" i="5"/>
  <c r="AD17" i="5"/>
  <c r="Y25" i="3"/>
  <c r="Z26" i="3"/>
  <c r="Z28" i="3"/>
  <c r="W17" i="3"/>
  <c r="F14" i="5"/>
  <c r="H14" i="5"/>
  <c r="AB15" i="5"/>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G67" i="3" l="1"/>
  <c r="J58" i="3"/>
  <c r="V54" i="3"/>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<sst xmlns="http://schemas.openxmlformats.org/spreadsheetml/2006/main" count="1418" uniqueCount="561">
  <si>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</si>
  <si>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</si>
  <si>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</si>
  <si>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</si>
  <si>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</si>
  <si>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</si>
  <si>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</si>
  <si>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</si>
  <si>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</si>
  <si>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</si>
  <si>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</si>
  <si>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</si>
  <si>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</si>
  <si>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</si>
  <si>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</si>
  <si>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</si>
  <si>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</si>
  <si>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</si>
  <si>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</si>
  <si>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</si>
  <si>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</si>
  <si>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</si>
  <si>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</si>
  <si>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</si>
  <si>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</si>
  <si>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</si>
  <si>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</si>
  <si>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</si>
  <si>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</si>
  <si>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</si>
  <si>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</si>
  <si>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</si>
  <si>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</si>
  <si>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</si>
  <si>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</si>
  <si>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</si>
  <si>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</si>
  <si>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</si>
  <si>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</si>
  <si>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</si>
  <si>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</si>
  <si>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</si>
  <si>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</si>
  <si>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</si>
  <si>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</si>
  <si>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</si>
  <si>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</si>
  <si>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</si>
  <si>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</si>
  <si>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</si>
  <si>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</si>
  <si>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</si>
  <si>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</si>
  <si>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</si>
  <si>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</si>
  <si>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</si>
  <si>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</si>
  <si>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</si>
  <si>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</si>
  <si>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</si>
  <si>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</si>
  <si>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</si>
  <si>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</si>
  <si>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</si>
  <si>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</si>
  <si>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</si>
  <si>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</si>
  <si>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</si>
  <si>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</si>
  <si>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</si>
  <si>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</si>
  <si>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</si>
  <si>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</si>
  <si>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</si>
  <si>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</si>
  <si>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</si>
  <si>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</si>
  <si>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</si>
  <si>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</si>
  <si>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</si>
  <si>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</si>
  <si>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</si>
  <si>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</si>
  <si>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</si>
  <si>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</si>
  <si>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</si>
  <si>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</si>
  <si>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</si>
  <si>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</si>
  <si>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</si>
  <si>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</si>
  <si>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</si>
  <si>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</si>
  <si>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</si>
  <si>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</si>
  <si>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</si>
  <si>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</si>
  <si>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</si>
  <si>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</si>
  <si>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</si>
  <si>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</si>
  <si>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</si>
  <si>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</si>
  <si>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</si>
  <si>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</si>
  <si>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</si>
  <si>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</si>
  <si>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</si>
  <si>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</si>
  <si>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</si>
  <si>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</si>
  <si>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</si>
  <si>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</si>
  <si>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</si>
  <si>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</si>
  <si>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</si>
  <si>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</si>
  <si>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</si>
  <si>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</si>
  <si>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</si>
  <si>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</si>
  <si>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</si>
  <si>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</si>
  <si>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</si>
  <si>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</si>
  <si>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</si>
  <si>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</si>
  <si>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</si>
  <si>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</si>
  <si>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</si>
  <si>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</si>
  <si>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</si>
  <si>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</si>
  <si>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</si>
  <si>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</si>
  <si>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</si>
  <si>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</si>
  <si>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</si>
  <si>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</si>
  <si>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</si>
  <si>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</si>
  <si>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</si>
  <si>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</si>
  <si>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</si>
  <si>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</si>
  <si>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</si>
  <si>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</si>
  <si>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</si>
  <si>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</si>
  <si>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</si>
  <si>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</si>
  <si>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</si>
  <si>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</si>
  <si>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</si>
  <si>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</si>
  <si>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</si>
  <si>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</si>
  <si>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</si>
  <si>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</si>
  <si>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</si>
  <si>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</si>
  <si>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</si>
  <si>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</si>
  <si>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</si>
  <si>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</si>
  <si>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</si>
  <si>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</si>
  <si>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</si>
  <si>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</si>
  <si>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</si>
  <si>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</si>
  <si>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</si>
  <si>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</si>
  <si>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</si>
  <si>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</si>
  <si>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</si>
  <si>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</si>
  <si>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</si>
  <si>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</si>
  <si>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</si>
  <si>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</si>
  <si>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</si>
  <si>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</si>
  <si>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</si>
  <si>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</si>
  <si>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</si>
  <si>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</si>
  <si>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</si>
  <si>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</si>
  <si>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</si>
  <si>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</si>
  <si>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</si>
  <si>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</si>
  <si>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</si>
  <si>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</si>
  <si>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</si>
  <si>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</si>
  <si>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</si>
  <si>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</si>
  <si>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</si>
  <si>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</si>
  <si>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</si>
  <si>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</si>
  <si>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</si>
  <si>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</si>
  <si>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</si>
  <si>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</si>
  <si>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</si>
  <si>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</si>
  <si>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</si>
  <si>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</si>
  <si>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</si>
  <si>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</si>
  <si>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</si>
  <si>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</si>
  <si>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</si>
  <si>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</si>
  <si>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</si>
  <si>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</si>
  <si>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</si>
  <si>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</si>
  <si>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</si>
  <si>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</si>
  <si>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</si>
  <si>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</si>
  <si>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</si>
  <si>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</si>
  <si>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</si>
  <si>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</si>
  <si>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</si>
  <si>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</si>
  <si>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</si>
  <si>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</si>
  <si>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</si>
  <si>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</si>
  <si>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</si>
  <si>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</si>
  <si>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</si>
  <si>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</si>
  <si>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</si>
  <si>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</si>
  <si>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</si>
  <si>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</si>
  <si>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</si>
  <si>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</si>
  <si>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</si>
  <si>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</si>
  <si>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</si>
  <si>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</si>
  <si>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</si>
  <si>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</si>
  <si>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</si>
  <si>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</si>
  <si>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</si>
  <si>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</si>
  <si>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</si>
  <si>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</si>
  <si>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</si>
  <si>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</si>
  <si>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</si>
  <si>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</si>
  <si>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</si>
  <si>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</si>
  <si>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</si>
  <si>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</si>
  <si>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</si>
  <si>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</si>
  <si>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</si>
  <si>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</si>
  <si>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</si>
  <si>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</si>
  <si>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</si>
  <si>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</si>
  <si>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</si>
  <si>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</si>
  <si>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</si>
  <si>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</si>
  <si>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</si>
  <si>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</si>
  <si>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</si>
  <si>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</si>
  <si>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</si>
  <si>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</si>
  <si>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</si>
  <si>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</si>
  <si>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</si>
  <si>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</si>
  <si>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</si>
  <si>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</si>
  <si>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</si>
  <si>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</si>
  <si>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</si>
  <si>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</si>
  <si>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</si>
  <si>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</si>
  <si>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</si>
  <si>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</si>
  <si>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</si>
  <si>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</si>
  <si>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</si>
  <si>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</si>
  <si>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</si>
  <si>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</si>
  <si>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</si>
  <si>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</si>
  <si>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</si>
  <si>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</si>
  <si>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</si>
  <si>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</si>
  <si>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</si>
  <si>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</si>
  <si>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</si>
  <si>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</si>
  <si>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</si>
  <si>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</si>
  <si>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</si>
  <si>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</si>
  <si>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</si>
  <si>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</si>
  <si>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</si>
  <si>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</si>
  <si>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</si>
  <si>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</si>
  <si>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</si>
  <si>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</si>
  <si>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</si>
  <si>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</si>
  <si>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</si>
  <si>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</si>
  <si>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</si>
  <si>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</si>
  <si>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</si>
  <si>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</si>
  <si>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</si>
  <si>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</si>
  <si>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</si>
  <si>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</si>
  <si>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</si>
  <si>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</si>
  <si>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</si>
  <si>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</si>
  <si>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</si>
  <si>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</si>
  <si>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</si>
  <si>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</si>
  <si>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</si>
  <si>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</si>
  <si>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</si>
  <si>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</si>
  <si>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</si>
  <si>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</si>
  <si>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</si>
  <si>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</si>
  <si>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</si>
  <si>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</si>
  <si>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</si>
  <si>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</si>
  <si>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</si>
  <si>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</si>
  <si>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</si>
  <si>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</si>
  <si>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</si>
  <si>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</si>
  <si>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</si>
  <si>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</si>
  <si>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</si>
  <si>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</si>
  <si>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</si>
  <si>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</si>
  <si>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</si>
  <si>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</si>
  <si>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</si>
  <si>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</si>
  <si>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</si>
  <si>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</si>
  <si>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</si>
  <si>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</si>
  <si>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</si>
  <si>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</si>
  <si>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</si>
  <si>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</si>
  <si>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</si>
  <si>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</si>
  <si>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</si>
  <si>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</si>
  <si>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</si>
  <si>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</si>
  <si>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</si>
  <si>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</si>
  <si>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</si>
  <si>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</si>
  <si>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</si>
  <si>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</si>
  <si>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</si>
  <si>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</si>
  <si>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</si>
  <si>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</si>
  <si>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</si>
  <si>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</si>
  <si>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</si>
  <si>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</si>
  <si>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</si>
  <si>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</si>
  <si>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</si>
  <si>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</si>
  <si>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</si>
  <si>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</si>
  <si>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</si>
  <si>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</si>
  <si>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</si>
  <si>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</si>
  <si>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</si>
  <si>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</si>
  <si>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</si>
  <si>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</si>
  <si>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</si>
  <si>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</si>
  <si>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</si>
  <si>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</si>
  <si>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</si>
  <si>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</si>
  <si>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</si>
  <si>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</si>
  <si>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</si>
  <si>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</si>
  <si>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</si>
  <si>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</si>
  <si>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</si>
  <si>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</si>
  <si>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</si>
  <si>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</si>
  <si>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</si>
  <si>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</si>
  <si>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</si>
  <si>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</si>
  <si>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</si>
  <si>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</si>
  <si>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</si>
  <si>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</si>
  <si>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</si>
  <si>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</si>
  <si>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</si>
  <si>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</si>
  <si>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</si>
  <si>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</si>
  <si>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</si>
  <si>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</si>
  <si>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</si>
  <si>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</si>
  <si>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</si>
  <si>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</si>
  <si>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</si>
  <si>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</si>
  <si>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</si>
  <si>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</si>
  <si>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</si>
  <si>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</si>
  <si>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</si>
  <si>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</si>
  <si>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</si>
  <si>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</si>
  <si>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</si>
  <si>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</si>
  <si>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</si>
  <si>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</si>
  <si>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</si>
  <si>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</si>
  <si>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</si>
  <si>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</si>
  <si>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</si>
  <si>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</si>
  <si>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</si>
  <si>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</si>
  <si>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</si>
  <si>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</si>
  <si>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</si>
  <si>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</si>
  <si>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</si>
  <si>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</si>
  <si>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</si>
  <si>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</si>
  <si>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</si>
  <si>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</si>
  <si>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</si>
  <si>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</si>
  <si>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</si>
  <si>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</si>
  <si>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</si>
  <si>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</si>
  <si>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</si>
  <si>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</si>
  <si>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</si>
  <si>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</si>
  <si>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</si>
  <si>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</si>
  <si>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</si>
  <si>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</si>
  <si>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</si>
  <si>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</si>
  <si>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</si>
  <si>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</si>
  <si>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</si>
  <si>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</si>
  <si>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</si>
  <si>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</si>
  <si>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</si>
  <si>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</si>
  <si>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</si>
  <si>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</si>
  <si>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</si>
  <si>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</si>
  <si>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</si>
  <si>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</si>
  <si>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</si>
  <si>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</si>
  <si>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</si>
  <si>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</si>
  <si>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</si>
  <si>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</si>
  <si>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</si>
  <si>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</si>
  <si>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</si>
  <si>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</si>
  <si>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</si>
  <si>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</si>
  <si>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</si>
  <si>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</si>
  <si>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</si>
  <si>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</si>
  <si>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</si>
  <si>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</si>
  <si>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</si>
  <si>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Team Security Master</t>
  </si>
  <si>
    <t>very easy</t>
  </si>
  <si>
    <t>easy</t>
  </si>
  <si>
    <t>difficult</t>
  </si>
  <si>
    <t>very difficult</t>
  </si>
  <si>
    <t>How confident are you with your answers to the questions in this stream?</t>
  </si>
  <si>
    <t>How easy was it for you to answer the questions in this stream?</t>
  </si>
  <si>
    <t>very confident</t>
  </si>
  <si>
    <t>confident</t>
  </si>
  <si>
    <t>unconfident</t>
  </si>
  <si>
    <t>very unconfident</t>
  </si>
  <si>
    <t>Comments</t>
  </si>
  <si>
    <t>Name:</t>
  </si>
  <si>
    <t>Start Time (hh:mm):</t>
  </si>
  <si>
    <t>End Time (hh:mm):</t>
  </si>
  <si>
    <t>If you are not familiar with a Stream at all, you may choose to leave the entire Stream blank.</t>
  </si>
  <si>
    <t>Security Masters / 
Team Security Masters</t>
  </si>
  <si>
    <t>Add your name (cell D14) and start time (cell I14).</t>
  </si>
  <si>
    <t>Add end time and the bottom (cell I232).</t>
  </si>
  <si>
    <t>If you answer at least one question in a Stream (column F), also answer how easy it was for you to answer (column L) and how confident you were to answer it (column M). If you are not able to answer a question in a Stream, leave it blank.</t>
  </si>
  <si>
    <t>Tue Dec  7 16:41:48 CSTM 2021</t>
  </si>
  <si>
    <t>Tue Dec  7 18:29:32 CSTM 2021</t>
  </si>
  <si>
    <t>Role</t>
  </si>
  <si>
    <t>operations</t>
  </si>
  <si>
    <t>3a6a54e4eb49d8ff90528dbc49e637eb</t>
  </si>
  <si>
    <t>If you wish to provide additional informaiton for a question, please use the Comments column (column I) for it. Please also take Additional Infos for COMPANY (column K) into account.</t>
  </si>
  <si>
    <t>COMPANY</t>
  </si>
  <si>
    <t>Additional Infos for COMPANY</t>
  </si>
  <si>
    <t>Security Masters and Team Security Masters (Security Champion is a specific role on COMPANY higher up in our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</si>
</sst>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9"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family val="2"/>
    </font>
    <font>
      <b/>
      <sz val="10"/>
      <color rgb="FF010000"/>
      <name val="Arial"/>
      <family val="2"/>
    </font>
    <font>
      <sz val="10"/>
      <color theme="0"/>
      <name val="Arial"/>
      <family val="2"/>
    </font>
  </fonts>
  <fills count="30">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
      <patternFill patternType="solid">
        <fgColor theme="0" tint="-4.9989318521683403E-2"/>
        <bgColor indexed="64"/>
      </patternFill>
    </fill>
    <fill>
      <patternFill patternType="solid">
        <fgColor theme="6" tint="0.79998168889431442"/>
        <bgColor indexed="64"/>
      </patternFill>
    </fill>
  </fills>
  <borders count="12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style="thin">
        <color rgb="FF010000"/>
      </left>
      <right/>
      <top style="thin">
        <color indexed="8"/>
      </top>
      <bottom/>
      <diagonal/>
    </border>
    <border>
      <left style="thin">
        <color indexed="8"/>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auto="1"/>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auto="1"/>
      </top>
      <bottom style="thin">
        <color indexed="64"/>
      </bottom>
      <diagonal/>
    </border>
    <border>
      <left/>
      <right style="thin">
        <color indexed="8"/>
      </right>
      <top style="thin">
        <color indexed="64"/>
      </top>
      <bottom style="thin">
        <color indexed="64"/>
      </bottom>
      <diagonal/>
    </border>
    <border>
      <left style="thin">
        <color indexed="8"/>
      </left>
      <right style="thin">
        <color auto="1"/>
      </right>
      <top/>
      <bottom/>
      <diagonal/>
    </border>
    <border>
      <left/>
      <right style="thin">
        <color rgb="FF010000"/>
      </right>
      <top/>
      <bottom/>
      <diagonal/>
    </border>
    <border>
      <left style="thin">
        <color indexed="8"/>
      </left>
      <right style="thin">
        <color indexed="8"/>
      </right>
      <top/>
      <bottom style="thin">
        <color indexed="64"/>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auto="1"/>
      </bottom>
      <diagonal/>
    </border>
    <border>
      <left style="thin">
        <color indexed="8"/>
      </left>
      <right style="thin">
        <color indexed="8"/>
      </right>
      <top/>
      <bottom style="thin">
        <color indexed="64"/>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662">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5" fillId="0" borderId="0" xfId="1" applyFont="1"/>
    <xf numFmtId="0" fontId="15" fillId="0" borderId="0" xfId="1" applyFont="1" applyAlignment="1">
      <alignment horizontal="center"/>
    </xf>
    <xf numFmtId="0" fontId="16" fillId="0" borderId="46" xfId="1" applyFont="1" applyBorder="1" applyAlignment="1">
      <alignment horizontal="center"/>
    </xf>
    <xf numFmtId="0" fontId="14" fillId="0" borderId="0" xfId="1" applyFont="1" applyAlignment="1">
      <alignment horizontal="center"/>
    </xf>
    <xf numFmtId="0" fontId="16" fillId="0" borderId="0" xfId="1" applyFont="1" applyAlignment="1">
      <alignment horizontal="center"/>
    </xf>
    <xf numFmtId="0" fontId="16" fillId="0" borderId="47" xfId="1" applyFont="1" applyBorder="1" applyAlignment="1">
      <alignment horizontal="center"/>
    </xf>
    <xf numFmtId="0" fontId="16" fillId="0" borderId="44" xfId="1" applyFont="1" applyBorder="1" applyAlignment="1">
      <alignment horizontal="center"/>
    </xf>
    <xf numFmtId="0" fontId="16" fillId="0" borderId="48"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7" xfId="1" applyFont="1" applyBorder="1"/>
    <xf numFmtId="0" fontId="14" fillId="0" borderId="47"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8" xfId="1" applyFont="1" applyBorder="1"/>
    <xf numFmtId="0" fontId="22" fillId="0" borderId="0" xfId="1" applyFont="1"/>
    <xf numFmtId="0" fontId="22" fillId="0" borderId="19" xfId="1" applyFont="1" applyBorder="1"/>
    <xf numFmtId="0" fontId="23" fillId="0" borderId="48" xfId="1" applyFont="1" applyBorder="1"/>
    <xf numFmtId="0" fontId="23" fillId="0" borderId="0" xfId="1" applyFont="1"/>
    <xf numFmtId="0" fontId="23" fillId="0" borderId="44" xfId="1" applyFont="1" applyBorder="1"/>
    <xf numFmtId="0" fontId="24" fillId="0" borderId="48" xfId="1" applyFont="1" applyBorder="1"/>
    <xf numFmtId="0" fontId="24" fillId="0" borderId="0" xfId="1" applyFont="1"/>
    <xf numFmtId="0" fontId="24" fillId="0" borderId="44" xfId="1" applyFont="1" applyBorder="1"/>
    <xf numFmtId="0" fontId="25" fillId="0" borderId="47" xfId="1" applyFont="1" applyBorder="1"/>
    <xf numFmtId="0" fontId="25" fillId="0" borderId="0" xfId="1" applyFont="1"/>
    <xf numFmtId="0" fontId="25" fillId="0" borderId="44" xfId="1" applyFont="1" applyBorder="1"/>
    <xf numFmtId="0" fontId="26" fillId="0" borderId="46" xfId="1" applyFont="1" applyBorder="1"/>
    <xf numFmtId="0" fontId="26" fillId="0" borderId="46" xfId="1" applyFont="1" applyBorder="1" applyAlignment="1">
      <alignment horizontal="center"/>
    </xf>
    <xf numFmtId="0" fontId="20" fillId="0" borderId="46"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49"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2" fillId="2" borderId="8" xfId="0" applyNumberFormat="1" applyFont="1" applyFill="1" applyBorder="1" applyAlignment="1">
      <alignment horizontal="center"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7" xfId="1" applyNumberFormat="1" applyFont="1" applyBorder="1" applyAlignment="1" applyProtection="1">
      <alignment horizontal="center"/>
      <protection locked="0"/>
    </xf>
    <xf numFmtId="2" fontId="14" fillId="0" borderId="0" xfId="1" applyNumberFormat="1" applyFont="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2" fillId="8" borderId="12" xfId="0" applyFont="1" applyFill="1" applyBorder="1" applyAlignment="1">
      <alignment horizontal="center" wrapText="1"/>
    </xf>
    <xf numFmtId="0" fontId="2" fillId="14" borderId="9" xfId="0" applyFont="1" applyFill="1" applyBorder="1" applyAlignment="1">
      <alignment horizontal="center"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4" xfId="0" applyNumberFormat="1" applyFont="1" applyFill="1" applyBorder="1" applyAlignment="1">
      <alignment wrapText="1"/>
    </xf>
    <xf numFmtId="0" fontId="1" fillId="3" borderId="55" xfId="0" applyNumberFormat="1" applyFont="1" applyFill="1" applyBorder="1" applyAlignment="1">
      <alignment horizontal="center" wrapText="1"/>
    </xf>
    <xf numFmtId="0" fontId="1"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59" xfId="0" applyNumberFormat="1" applyFont="1" applyFill="1" applyBorder="1" applyAlignment="1">
      <alignment horizontal="right" vertical="top" wrapText="1"/>
    </xf>
    <xf numFmtId="0" fontId="2"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5"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5"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7"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2" fillId="0" borderId="54" xfId="0" applyNumberFormat="1" applyFont="1" applyFill="1" applyBorder="1" applyAlignment="1">
      <alignment horizontal="center" wrapText="1"/>
    </xf>
    <xf numFmtId="0" fontId="2" fillId="0" borderId="61" xfId="0" applyNumberFormat="1" applyFont="1" applyFill="1" applyBorder="1" applyAlignment="1">
      <alignment horizontal="center" wrapText="1"/>
    </xf>
    <xf numFmtId="0" fontId="2" fillId="0" borderId="57" xfId="0" applyNumberFormat="1" applyFont="1" applyFill="1" applyBorder="1" applyAlignment="1">
      <alignment horizontal="center" vertical="top" wrapText="1"/>
    </xf>
    <xf numFmtId="0" fontId="2" fillId="0" borderId="61"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1" xfId="0" applyFont="1" applyFill="1" applyBorder="1" applyAlignment="1">
      <alignment wrapText="1"/>
    </xf>
    <xf numFmtId="0" fontId="2" fillId="8" borderId="62" xfId="0" applyFont="1" applyFill="1" applyBorder="1" applyAlignment="1">
      <alignment horizontal="center" wrapText="1"/>
    </xf>
    <xf numFmtId="0" fontId="2" fillId="10" borderId="62" xfId="0" applyFont="1" applyFill="1" applyBorder="1" applyAlignment="1">
      <alignment horizontal="center" wrapText="1"/>
    </xf>
    <xf numFmtId="0" fontId="2" fillId="19" borderId="62" xfId="0" applyFont="1" applyFill="1" applyBorder="1" applyAlignment="1">
      <alignment horizontal="center" vertical="top" wrapText="1"/>
    </xf>
    <xf numFmtId="0" fontId="2" fillId="14" borderId="62" xfId="0" applyFont="1" applyFill="1" applyBorder="1" applyAlignment="1">
      <alignment horizontal="center" vertical="top" wrapText="1"/>
    </xf>
    <xf numFmtId="164" fontId="32" fillId="0" borderId="63" xfId="0" applyNumberFormat="1" applyFont="1" applyFill="1" applyBorder="1" applyAlignment="1">
      <alignment horizontal="center"/>
    </xf>
    <xf numFmtId="164" fontId="32" fillId="21" borderId="65" xfId="0" applyNumberFormat="1" applyFont="1" applyFill="1" applyBorder="1" applyAlignment="1">
      <alignment horizontal="center"/>
    </xf>
    <xf numFmtId="164" fontId="32" fillId="0" borderId="64"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5" xfId="0" applyNumberFormat="1" applyFont="1" applyFill="1" applyBorder="1" applyAlignment="1">
      <alignment horizontal="center"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2"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2"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2"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7" xfId="0" applyFont="1" applyBorder="1" applyAlignment="1">
      <alignment vertical="top" wrapText="1"/>
    </xf>
    <xf numFmtId="0" fontId="2" fillId="0" borderId="78" xfId="0" applyFont="1" applyBorder="1" applyAlignment="1">
      <alignment horizontal="center" wrapText="1"/>
    </xf>
    <xf numFmtId="0" fontId="2" fillId="0" borderId="78"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0" xfId="0" applyNumberFormat="1" applyFont="1" applyFill="1" applyBorder="1" applyAlignment="1">
      <alignment horizontal="center" wrapText="1"/>
    </xf>
    <xf numFmtId="164" fontId="32" fillId="0" borderId="81"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79"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8" xfId="0" applyNumberFormat="1" applyFont="1" applyFill="1" applyBorder="1" applyAlignment="1">
      <alignment horizontal="center" wrapText="1"/>
    </xf>
    <xf numFmtId="0" fontId="2" fillId="0" borderId="85" xfId="0" applyNumberFormat="1" applyFont="1" applyFill="1" applyBorder="1" applyAlignment="1">
      <alignment horizontal="center" wrapText="1"/>
    </xf>
    <xf numFmtId="0" fontId="4" fillId="7" borderId="88" xfId="0" applyFont="1" applyFill="1" applyBorder="1" applyAlignment="1">
      <alignment horizontal="center" vertical="center" wrapText="1"/>
    </xf>
    <xf numFmtId="0" fontId="4" fillId="7" borderId="88" xfId="0" applyFont="1" applyFill="1" applyBorder="1" applyAlignment="1">
      <alignment wrapText="1"/>
    </xf>
    <xf numFmtId="2" fontId="14" fillId="0" borderId="92" xfId="1" applyNumberFormat="1" applyFont="1" applyBorder="1" applyAlignment="1" applyProtection="1">
      <alignment horizontal="center"/>
      <protection locked="0"/>
    </xf>
    <xf numFmtId="2" fontId="1" fillId="0" borderId="93" xfId="0" applyNumberFormat="1" applyFont="1" applyFill="1" applyBorder="1" applyAlignment="1">
      <alignment horizontal="center" wrapText="1"/>
    </xf>
    <xf numFmtId="2" fontId="14" fillId="0" borderId="94" xfId="1" applyNumberFormat="1" applyFont="1" applyBorder="1" applyAlignment="1" applyProtection="1">
      <alignment horizontal="center"/>
      <protection locked="0"/>
    </xf>
    <xf numFmtId="2" fontId="1" fillId="0" borderId="92"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2" fillId="0" borderId="95" xfId="0" applyNumberFormat="1" applyFont="1" applyFill="1" applyBorder="1" applyAlignment="1">
      <alignment horizontal="center" vertical="center" wrapText="1"/>
    </xf>
    <xf numFmtId="0" fontId="2" fillId="0" borderId="97" xfId="0" applyNumberFormat="1" applyFont="1" applyFill="1" applyBorder="1" applyAlignment="1">
      <alignment horizontal="center" vertical="center" wrapText="1"/>
    </xf>
    <xf numFmtId="0" fontId="1" fillId="0" borderId="59"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1" fillId="0" borderId="96" xfId="0" applyNumberFormat="1" applyFont="1" applyFill="1" applyBorder="1" applyAlignment="1">
      <alignment horizontal="left" wrapText="1"/>
    </xf>
    <xf numFmtId="14" fontId="15" fillId="0" borderId="0" xfId="1" applyNumberFormat="1" applyFont="1" applyAlignment="1">
      <alignment horizontal="left"/>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2"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xf numFmtId="0" fontId="2" fillId="26" borderId="62"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2" fillId="8" borderId="100" xfId="0" applyNumberFormat="1" applyFont="1" applyFill="1" applyBorder="1" applyAlignment="1">
      <alignment horizontal="center"/>
    </xf>
    <xf numFmtId="0" fontId="8" fillId="0" borderId="0" xfId="0" applyNumberFormat="1" applyFont="1" applyFill="1" applyBorder="1" applyAlignment="1">
      <alignment horizontal="left" vertical="center" wrapText="1"/>
    </xf>
    <xf numFmtId="0" fontId="37" fillId="28" borderId="98" xfId="0" applyNumberFormat="1" applyFont="1" applyFill="1" applyBorder="1" applyAlignment="1">
      <alignment vertical="center"/>
    </xf>
    <xf numFmtId="0" fontId="8" fillId="0" borderId="102" xfId="0" applyNumberFormat="1" applyFont="1" applyFill="1" applyBorder="1" applyAlignment="1">
      <alignment horizontal="left" wrapText="1"/>
    </xf>
    <xf numFmtId="0" fontId="2" fillId="8" borderId="104" xfId="0" applyFont="1" applyFill="1" applyBorder="1" applyAlignment="1">
      <alignment horizontal="center" wrapText="1"/>
    </xf>
    <xf numFmtId="0" fontId="2" fillId="0" borderId="7" xfId="0" applyFont="1" applyBorder="1" applyAlignment="1">
      <alignment vertical="top" wrapText="1"/>
    </xf>
    <xf numFmtId="0" fontId="1" fillId="0" borderId="105" xfId="0" applyNumberFormat="1" applyFont="1" applyFill="1" applyBorder="1" applyAlignment="1">
      <alignment horizontal="center"/>
    </xf>
    <xf numFmtId="164" fontId="1" fillId="0" borderId="105" xfId="0" applyNumberFormat="1" applyFont="1" applyFill="1" applyBorder="1" applyAlignment="1">
      <alignment horizontal="center"/>
    </xf>
    <xf numFmtId="0" fontId="1" fillId="4" borderId="106" xfId="0" applyNumberFormat="1" applyFont="1" applyFill="1" applyBorder="1" applyAlignment="1">
      <alignment wrapText="1"/>
    </xf>
    <xf numFmtId="0" fontId="1" fillId="4" borderId="107" xfId="0" applyNumberFormat="1" applyFont="1" applyFill="1" applyBorder="1" applyAlignment="1">
      <alignment wrapText="1"/>
    </xf>
    <xf numFmtId="0" fontId="2" fillId="0" borderId="98" xfId="0" applyNumberFormat="1" applyFont="1" applyFill="1" applyBorder="1" applyAlignment="1">
      <alignment vertical="center" wrapText="1"/>
    </xf>
    <xf numFmtId="164" fontId="1" fillId="0" borderId="102" xfId="0" applyNumberFormat="1" applyFont="1" applyFill="1" applyBorder="1" applyAlignment="1">
      <alignment horizontal="center" wrapText="1"/>
    </xf>
    <xf numFmtId="164" fontId="1" fillId="3" borderId="109" xfId="0" applyNumberFormat="1" applyFont="1" applyFill="1" applyBorder="1" applyAlignment="1">
      <alignment horizontal="center" wrapText="1"/>
    </xf>
    <xf numFmtId="0" fontId="8" fillId="0" borderId="98" xfId="0" applyNumberFormat="1" applyFont="1" applyFill="1" applyBorder="1" applyAlignment="1">
      <alignment horizontal="left" wrapText="1"/>
    </xf>
    <xf numFmtId="0" fontId="2" fillId="0" borderId="98" xfId="0" applyNumberFormat="1" applyFont="1" applyFill="1" applyBorder="1" applyAlignment="1">
      <alignment horizontal="center" vertical="center" wrapText="1"/>
    </xf>
    <xf numFmtId="0" fontId="1" fillId="0" borderId="98" xfId="0" applyNumberFormat="1" applyFont="1" applyFill="1" applyBorder="1" applyAlignment="1">
      <alignment horizontal="center" vertical="center" wrapText="1"/>
    </xf>
    <xf numFmtId="164" fontId="1" fillId="0" borderId="98" xfId="0" applyNumberFormat="1" applyFont="1" applyFill="1" applyBorder="1" applyAlignment="1">
      <alignment horizontal="center" vertical="center" wrapText="1"/>
    </xf>
    <xf numFmtId="0" fontId="2" fillId="8" borderId="110" xfId="0" applyFont="1" applyFill="1" applyBorder="1" applyAlignment="1">
      <alignment horizontal="center" wrapText="1"/>
    </xf>
    <xf numFmtId="0" fontId="2" fillId="8" borderId="80" xfId="0" applyNumberFormat="1" applyFont="1" applyFill="1" applyBorder="1" applyAlignment="1">
      <alignment horizontal="center" wrapText="1"/>
    </xf>
    <xf numFmtId="164" fontId="2" fillId="8" borderId="80" xfId="0" applyNumberFormat="1" applyFont="1" applyFill="1" applyBorder="1" applyAlignment="1">
      <alignment horizontal="center" wrapText="1"/>
    </xf>
    <xf numFmtId="0" fontId="2" fillId="3" borderId="105" xfId="0" applyNumberFormat="1" applyFont="1" applyFill="1" applyBorder="1" applyAlignment="1">
      <alignment horizontal="center" wrapText="1"/>
    </xf>
    <xf numFmtId="0" fontId="1" fillId="3" borderId="105" xfId="0" applyNumberFormat="1" applyFont="1" applyFill="1" applyBorder="1" applyAlignment="1">
      <alignment horizontal="center" wrapText="1"/>
    </xf>
    <xf numFmtId="164" fontId="1" fillId="3" borderId="111" xfId="0" applyNumberFormat="1" applyFont="1" applyFill="1" applyBorder="1" applyAlignment="1">
      <alignment horizontal="center" wrapText="1"/>
    </xf>
    <xf numFmtId="164" fontId="32" fillId="0" borderId="64" xfId="0" applyNumberFormat="1" applyFont="1" applyFill="1" applyBorder="1" applyAlignment="1">
      <alignment horizontal="center"/>
    </xf>
    <xf numFmtId="0" fontId="2" fillId="10" borderId="104" xfId="0" applyFont="1" applyFill="1" applyBorder="1" applyAlignment="1">
      <alignment horizontal="center" wrapText="1"/>
    </xf>
    <xf numFmtId="0" fontId="2" fillId="10" borderId="110" xfId="0" applyFont="1" applyFill="1" applyBorder="1" applyAlignment="1">
      <alignment horizontal="center" wrapText="1"/>
    </xf>
    <xf numFmtId="0" fontId="2" fillId="10" borderId="80" xfId="0" applyNumberFormat="1" applyFont="1" applyFill="1" applyBorder="1" applyAlignment="1">
      <alignment horizontal="center" wrapText="1"/>
    </xf>
    <xf numFmtId="164" fontId="2" fillId="10" borderId="80" xfId="0" applyNumberFormat="1" applyFont="1" applyFill="1" applyBorder="1" applyAlignment="1">
      <alignment horizontal="center" wrapText="1"/>
    </xf>
    <xf numFmtId="0" fontId="2" fillId="26" borderId="104" xfId="0" applyFont="1" applyFill="1" applyBorder="1" applyAlignment="1">
      <alignment horizontal="center" wrapText="1"/>
    </xf>
    <xf numFmtId="0" fontId="2" fillId="18" borderId="110" xfId="0" applyFont="1" applyFill="1" applyBorder="1" applyAlignment="1">
      <alignment horizontal="center" wrapText="1"/>
    </xf>
    <xf numFmtId="0" fontId="2" fillId="26" borderId="80" xfId="0" applyNumberFormat="1" applyFont="1" applyFill="1" applyBorder="1" applyAlignment="1">
      <alignment horizontal="center" wrapText="1"/>
    </xf>
    <xf numFmtId="0" fontId="2" fillId="18" borderId="80" xfId="0" applyNumberFormat="1" applyFont="1" applyFill="1" applyBorder="1" applyAlignment="1">
      <alignment horizontal="center" wrapText="1"/>
    </xf>
    <xf numFmtId="164" fontId="2" fillId="18" borderId="80" xfId="0" applyNumberFormat="1" applyFont="1" applyFill="1" applyBorder="1" applyAlignment="1">
      <alignment horizontal="center" wrapText="1"/>
    </xf>
    <xf numFmtId="0" fontId="1" fillId="3" borderId="36" xfId="0" applyNumberFormat="1" applyFont="1" applyFill="1" applyBorder="1" applyAlignment="1">
      <alignment horizontal="center" vertical="top" wrapText="1"/>
    </xf>
    <xf numFmtId="0" fontId="2" fillId="3" borderId="105" xfId="0" applyNumberFormat="1" applyFont="1" applyFill="1" applyBorder="1" applyAlignment="1">
      <alignment horizontal="center" vertical="top" wrapText="1"/>
    </xf>
    <xf numFmtId="0" fontId="1" fillId="3" borderId="105" xfId="0" applyNumberFormat="1" applyFont="1" applyFill="1" applyBorder="1" applyAlignment="1">
      <alignment horizontal="center" vertical="top" wrapText="1"/>
    </xf>
    <xf numFmtId="164" fontId="1" fillId="3" borderId="111" xfId="0" applyNumberFormat="1" applyFont="1" applyFill="1" applyBorder="1" applyAlignment="1">
      <alignment horizontal="center" vertical="top" wrapText="1"/>
    </xf>
    <xf numFmtId="0" fontId="2" fillId="19" borderId="104" xfId="0" applyFont="1" applyFill="1" applyBorder="1" applyAlignment="1">
      <alignment horizontal="center" vertical="top" wrapText="1"/>
    </xf>
    <xf numFmtId="0" fontId="2" fillId="12" borderId="110" xfId="0" applyFont="1" applyFill="1" applyBorder="1" applyAlignment="1">
      <alignment horizontal="center" wrapText="1"/>
    </xf>
    <xf numFmtId="0" fontId="2" fillId="12" borderId="80" xfId="0" applyNumberFormat="1" applyFont="1" applyFill="1" applyBorder="1" applyAlignment="1">
      <alignment horizontal="center" wrapText="1"/>
    </xf>
    <xf numFmtId="164" fontId="2" fillId="12" borderId="80" xfId="0" applyNumberFormat="1" applyFont="1" applyFill="1" applyBorder="1" applyAlignment="1">
      <alignment horizontal="center" wrapText="1"/>
    </xf>
    <xf numFmtId="0" fontId="2" fillId="14" borderId="121" xfId="0" applyFont="1" applyFill="1" applyBorder="1" applyAlignment="1">
      <alignment horizontal="center" vertical="top" wrapText="1"/>
    </xf>
    <xf numFmtId="0" fontId="2" fillId="14" borderId="110" xfId="0" applyFont="1" applyFill="1" applyBorder="1" applyAlignment="1">
      <alignment horizontal="center" wrapText="1"/>
    </xf>
    <xf numFmtId="0" fontId="2" fillId="14" borderId="80" xfId="0" applyNumberFormat="1" applyFont="1" applyFill="1" applyBorder="1" applyAlignment="1">
      <alignment horizontal="center" wrapText="1"/>
    </xf>
    <xf numFmtId="164" fontId="2" fillId="14" borderId="80" xfId="0" applyNumberFormat="1" applyFont="1" applyFill="1" applyBorder="1" applyAlignment="1">
      <alignment horizontal="center" wrapText="1"/>
    </xf>
    <xf numFmtId="0" fontId="1" fillId="0" borderId="107" xfId="0" applyNumberFormat="1" applyFont="1" applyFill="1" applyBorder="1" applyAlignment="1">
      <alignment horizontal="center" vertical="center" wrapText="1"/>
    </xf>
    <xf numFmtId="164" fontId="1" fillId="0" borderId="107" xfId="0" applyNumberFormat="1" applyFont="1" applyFill="1" applyBorder="1" applyAlignment="1">
      <alignment horizontal="center" vertical="center" wrapText="1"/>
    </xf>
    <xf numFmtId="0" fontId="38" fillId="0" borderId="0" xfId="0" applyNumberFormat="1" applyFont="1" applyFill="1" applyBorder="1" applyAlignment="1">
      <alignment wrapText="1"/>
    </xf>
    <xf numFmtId="0" fontId="1" fillId="29" borderId="29" xfId="0" applyNumberFormat="1" applyFont="1" applyFill="1" applyBorder="1" applyAlignment="1" applyProtection="1">
      <alignment vertical="center" wrapText="1"/>
      <protection locked="0"/>
    </xf>
    <xf numFmtId="0" fontId="34" fillId="0" borderId="0" xfId="0" applyNumberFormat="1" applyFont="1" applyFill="1" applyBorder="1" applyAlignment="1" applyProtection="1">
      <alignment horizontal="left" wrapText="1"/>
      <protection locked="0"/>
    </xf>
    <xf numFmtId="0" fontId="8" fillId="0" borderId="3" xfId="0" applyNumberFormat="1" applyFont="1" applyFill="1" applyBorder="1" applyAlignment="1" applyProtection="1">
      <alignment horizontal="left" wrapText="1"/>
      <protection locked="0"/>
    </xf>
    <xf numFmtId="0" fontId="8" fillId="0" borderId="102" xfId="0" applyNumberFormat="1" applyFont="1" applyFill="1" applyBorder="1" applyAlignment="1" applyProtection="1">
      <alignment horizontal="left" wrapText="1"/>
      <protection locked="0"/>
    </xf>
    <xf numFmtId="0" fontId="1" fillId="4" borderId="107" xfId="0" applyNumberFormat="1" applyFont="1" applyFill="1" applyBorder="1" applyAlignment="1" applyProtection="1">
      <alignment wrapText="1"/>
    </xf>
    <xf numFmtId="0" fontId="8" fillId="0" borderId="107" xfId="0" applyNumberFormat="1" applyFont="1" applyFill="1" applyBorder="1" applyAlignment="1" applyProtection="1">
      <alignment horizontal="left" wrapText="1"/>
    </xf>
    <xf numFmtId="0" fontId="1" fillId="4" borderId="108" xfId="0" applyNumberFormat="1" applyFont="1" applyFill="1" applyBorder="1" applyAlignment="1" applyProtection="1">
      <alignment wrapText="1"/>
    </xf>
    <xf numFmtId="0" fontId="2" fillId="8" borderId="80" xfId="0" applyNumberFormat="1" applyFont="1" applyFill="1" applyBorder="1" applyAlignment="1" applyProtection="1">
      <alignment horizontal="center"/>
    </xf>
    <xf numFmtId="0" fontId="2" fillId="8" borderId="109" xfId="0" applyNumberFormat="1" applyFont="1" applyFill="1" applyBorder="1" applyAlignment="1" applyProtection="1">
      <alignment horizontal="center"/>
    </xf>
    <xf numFmtId="0" fontId="2" fillId="8" borderId="109" xfId="0" applyFont="1" applyFill="1" applyBorder="1" applyAlignment="1" applyProtection="1">
      <alignment wrapText="1"/>
    </xf>
    <xf numFmtId="0" fontId="2" fillId="8" borderId="107" xfId="0" applyFont="1" applyFill="1" applyBorder="1" applyAlignment="1" applyProtection="1">
      <alignment wrapText="1"/>
    </xf>
    <xf numFmtId="0" fontId="2" fillId="8" borderId="108" xfId="0" applyFont="1" applyFill="1" applyBorder="1" applyAlignment="1" applyProtection="1">
      <alignment wrapText="1"/>
    </xf>
    <xf numFmtId="0" fontId="4" fillId="9" borderId="1" xfId="0" applyFont="1" applyFill="1" applyBorder="1" applyAlignment="1" applyProtection="1">
      <alignment wrapText="1"/>
    </xf>
    <xf numFmtId="0" fontId="2" fillId="10" borderId="12" xfId="0" applyFont="1" applyFill="1" applyBorder="1" applyAlignment="1" applyProtection="1">
      <alignment horizontal="center" wrapText="1"/>
    </xf>
    <xf numFmtId="0" fontId="2" fillId="10" borderId="2" xfId="0" applyNumberFormat="1" applyFont="1" applyFill="1" applyBorder="1" applyAlignment="1" applyProtection="1">
      <alignment horizontal="center" wrapText="1"/>
    </xf>
    <xf numFmtId="164" fontId="2" fillId="10" borderId="2" xfId="0" applyNumberFormat="1" applyFont="1" applyFill="1" applyBorder="1" applyAlignment="1" applyProtection="1">
      <alignment horizontal="center" wrapText="1"/>
    </xf>
    <xf numFmtId="0" fontId="2" fillId="10" borderId="2" xfId="0" applyNumberFormat="1" applyFont="1" applyFill="1" applyBorder="1" applyAlignment="1" applyProtection="1">
      <alignment horizontal="center"/>
    </xf>
    <xf numFmtId="0" fontId="2" fillId="10" borderId="100" xfId="0" applyNumberFormat="1" applyFont="1" applyFill="1" applyBorder="1" applyAlignment="1" applyProtection="1">
      <alignment horizontal="center"/>
    </xf>
    <xf numFmtId="0" fontId="2" fillId="10" borderId="11" xfId="0" applyFont="1" applyFill="1" applyBorder="1" applyAlignment="1" applyProtection="1">
      <alignment wrapText="1"/>
    </xf>
    <xf numFmtId="0" fontId="2" fillId="10" borderId="13" xfId="0" applyFont="1" applyFill="1" applyBorder="1" applyAlignment="1" applyProtection="1">
      <alignment wrapText="1"/>
    </xf>
    <xf numFmtId="0" fontId="2" fillId="10" borderId="12" xfId="0" applyFont="1" applyFill="1" applyBorder="1" applyAlignment="1" applyProtection="1">
      <alignment wrapText="1"/>
    </xf>
    <xf numFmtId="0" fontId="2" fillId="10" borderId="80" xfId="0" applyNumberFormat="1" applyFont="1" applyFill="1" applyBorder="1" applyAlignment="1" applyProtection="1">
      <alignment horizontal="center"/>
    </xf>
    <xf numFmtId="0" fontId="2" fillId="10" borderId="109" xfId="0" applyNumberFormat="1" applyFont="1" applyFill="1" applyBorder="1" applyAlignment="1" applyProtection="1">
      <alignment horizontal="center"/>
    </xf>
    <xf numFmtId="0" fontId="2" fillId="10" borderId="109" xfId="0" applyFont="1" applyFill="1" applyBorder="1" applyAlignment="1" applyProtection="1">
      <alignment wrapText="1"/>
    </xf>
    <xf numFmtId="0" fontId="2" fillId="10" borderId="107" xfId="0" applyFont="1" applyFill="1" applyBorder="1" applyAlignment="1" applyProtection="1">
      <alignment wrapText="1"/>
    </xf>
    <xf numFmtId="0" fontId="2" fillId="10" borderId="108" xfId="0" applyFont="1" applyFill="1" applyBorder="1" applyAlignment="1" applyProtection="1">
      <alignment wrapText="1"/>
    </xf>
    <xf numFmtId="0" fontId="30" fillId="25" borderId="107" xfId="0" applyFont="1" applyFill="1" applyBorder="1" applyAlignment="1" applyProtection="1">
      <alignment wrapText="1"/>
    </xf>
    <xf numFmtId="0" fontId="30" fillId="25" borderId="108" xfId="0" applyFont="1" applyFill="1" applyBorder="1" applyAlignment="1" applyProtection="1">
      <alignment wrapText="1"/>
    </xf>
    <xf numFmtId="0" fontId="2" fillId="26" borderId="115" xfId="0" applyFont="1" applyFill="1" applyBorder="1" applyAlignment="1" applyProtection="1">
      <alignment horizontal="center" wrapText="1"/>
    </xf>
    <xf numFmtId="0" fontId="2" fillId="26" borderId="116" xfId="0" applyNumberFormat="1" applyFont="1" applyFill="1" applyBorder="1" applyAlignment="1" applyProtection="1">
      <alignment horizontal="center" wrapText="1"/>
    </xf>
    <xf numFmtId="164" fontId="2" fillId="26" borderId="116" xfId="0" applyNumberFormat="1" applyFont="1" applyFill="1" applyBorder="1" applyAlignment="1" applyProtection="1">
      <alignment horizontal="center" wrapText="1"/>
    </xf>
    <xf numFmtId="0" fontId="2" fillId="26" borderId="116" xfId="0" applyNumberFormat="1" applyFont="1" applyFill="1" applyBorder="1" applyAlignment="1" applyProtection="1">
      <alignment horizontal="center"/>
    </xf>
    <xf numFmtId="0" fontId="2" fillId="26" borderId="114" xfId="0" applyNumberFormat="1" applyFont="1" applyFill="1" applyBorder="1" applyAlignment="1" applyProtection="1">
      <alignment horizontal="center"/>
    </xf>
    <xf numFmtId="0" fontId="2" fillId="26" borderId="114" xfId="0" applyFont="1" applyFill="1" applyBorder="1" applyAlignment="1" applyProtection="1">
      <alignment wrapText="1"/>
    </xf>
    <xf numFmtId="0" fontId="2" fillId="26" borderId="99" xfId="0" applyFont="1" applyFill="1" applyBorder="1" applyAlignment="1" applyProtection="1">
      <alignment wrapText="1"/>
    </xf>
    <xf numFmtId="0" fontId="2" fillId="26" borderId="115" xfId="0" applyFont="1" applyFill="1" applyBorder="1" applyAlignment="1" applyProtection="1">
      <alignment wrapText="1"/>
    </xf>
    <xf numFmtId="0" fontId="2" fillId="26" borderId="80" xfId="0" applyNumberFormat="1" applyFont="1" applyFill="1" applyBorder="1" applyAlignment="1" applyProtection="1">
      <alignment horizontal="center"/>
    </xf>
    <xf numFmtId="0" fontId="2" fillId="26" borderId="109" xfId="0" applyNumberFormat="1" applyFont="1" applyFill="1" applyBorder="1" applyAlignment="1" applyProtection="1">
      <alignment horizontal="center"/>
    </xf>
    <xf numFmtId="0" fontId="2" fillId="26" borderId="109" xfId="0" applyFont="1" applyFill="1" applyBorder="1" applyAlignment="1" applyProtection="1">
      <alignment wrapText="1"/>
    </xf>
    <xf numFmtId="0" fontId="2" fillId="26" borderId="107" xfId="0" applyFont="1" applyFill="1" applyBorder="1" applyAlignment="1" applyProtection="1">
      <alignment wrapText="1"/>
    </xf>
    <xf numFmtId="0" fontId="2" fillId="26" borderId="108" xfId="0" applyFont="1" applyFill="1" applyBorder="1" applyAlignment="1" applyProtection="1">
      <alignment wrapText="1"/>
    </xf>
    <xf numFmtId="0" fontId="2" fillId="26" borderId="2" xfId="0" applyNumberFormat="1" applyFont="1" applyFill="1" applyBorder="1" applyAlignment="1" applyProtection="1">
      <alignment horizontal="center"/>
    </xf>
    <xf numFmtId="0" fontId="2" fillId="26" borderId="100" xfId="0" applyNumberFormat="1" applyFont="1" applyFill="1" applyBorder="1" applyAlignment="1" applyProtection="1">
      <alignment horizontal="center"/>
    </xf>
    <xf numFmtId="0" fontId="2" fillId="26" borderId="10" xfId="0" applyFont="1" applyFill="1" applyBorder="1" applyAlignment="1" applyProtection="1">
      <alignment wrapText="1"/>
    </xf>
    <xf numFmtId="0" fontId="2" fillId="26" borderId="1" xfId="0" applyFont="1" applyFill="1" applyBorder="1" applyAlignment="1" applyProtection="1">
      <alignment wrapText="1"/>
    </xf>
    <xf numFmtId="0" fontId="2" fillId="26" borderId="9" xfId="0" applyFont="1" applyFill="1" applyBorder="1" applyAlignment="1" applyProtection="1">
      <alignment wrapText="1"/>
    </xf>
    <xf numFmtId="0" fontId="4" fillId="11" borderId="1" xfId="0" applyFont="1" applyFill="1" applyBorder="1" applyAlignment="1" applyProtection="1">
      <alignment wrapText="1"/>
    </xf>
    <xf numFmtId="0" fontId="2" fillId="12" borderId="12" xfId="0" applyFont="1" applyFill="1" applyBorder="1" applyAlignment="1" applyProtection="1">
      <alignment horizontal="center" wrapText="1"/>
    </xf>
    <xf numFmtId="0" fontId="2" fillId="12" borderId="2" xfId="0" applyNumberFormat="1" applyFont="1" applyFill="1" applyBorder="1" applyAlignment="1" applyProtection="1">
      <alignment horizontal="center" wrapText="1"/>
    </xf>
    <xf numFmtId="164" fontId="2" fillId="12" borderId="2" xfId="0" applyNumberFormat="1" applyFont="1" applyFill="1" applyBorder="1" applyAlignment="1" applyProtection="1">
      <alignment horizontal="center" wrapText="1"/>
    </xf>
    <xf numFmtId="0" fontId="2" fillId="12" borderId="2" xfId="0" applyNumberFormat="1" applyFont="1" applyFill="1" applyBorder="1" applyAlignment="1" applyProtection="1">
      <alignment horizontal="center"/>
    </xf>
    <xf numFmtId="0" fontId="2" fillId="12" borderId="100" xfId="0" applyNumberFormat="1" applyFont="1" applyFill="1" applyBorder="1" applyAlignment="1" applyProtection="1">
      <alignment horizontal="center"/>
    </xf>
    <xf numFmtId="0" fontId="2" fillId="12" borderId="11" xfId="0" applyFont="1" applyFill="1" applyBorder="1" applyAlignment="1" applyProtection="1">
      <alignment wrapText="1"/>
    </xf>
    <xf numFmtId="0" fontId="2" fillId="12" borderId="13" xfId="0" applyFont="1" applyFill="1" applyBorder="1" applyAlignment="1" applyProtection="1">
      <alignment wrapText="1"/>
    </xf>
    <xf numFmtId="0" fontId="2" fillId="12" borderId="12" xfId="0" applyFont="1" applyFill="1" applyBorder="1" applyAlignment="1" applyProtection="1">
      <alignment wrapText="1"/>
    </xf>
    <xf numFmtId="0" fontId="2" fillId="12" borderId="80" xfId="0" applyNumberFormat="1" applyFont="1" applyFill="1" applyBorder="1" applyAlignment="1" applyProtection="1">
      <alignment horizontal="center"/>
    </xf>
    <xf numFmtId="0" fontId="2" fillId="12" borderId="109" xfId="0" applyNumberFormat="1" applyFont="1" applyFill="1" applyBorder="1" applyAlignment="1" applyProtection="1">
      <alignment horizontal="center"/>
    </xf>
    <xf numFmtId="0" fontId="2" fillId="12" borderId="109" xfId="0" applyFont="1" applyFill="1" applyBorder="1" applyAlignment="1" applyProtection="1">
      <alignment wrapText="1"/>
    </xf>
    <xf numFmtId="0" fontId="2" fillId="12" borderId="107" xfId="0" applyFont="1" applyFill="1" applyBorder="1" applyAlignment="1" applyProtection="1">
      <alignment wrapText="1"/>
    </xf>
    <xf numFmtId="0" fontId="2" fillId="12" borderId="108" xfId="0" applyFont="1" applyFill="1" applyBorder="1" applyAlignment="1" applyProtection="1">
      <alignment wrapText="1"/>
    </xf>
    <xf numFmtId="0" fontId="4" fillId="13" borderId="107" xfId="0" applyFont="1" applyFill="1" applyBorder="1" applyAlignment="1" applyProtection="1">
      <alignment wrapText="1"/>
    </xf>
    <xf numFmtId="0" fontId="4" fillId="13" borderId="108" xfId="0" applyFont="1" applyFill="1" applyBorder="1" applyAlignment="1" applyProtection="1">
      <alignment wrapText="1"/>
    </xf>
    <xf numFmtId="0" fontId="2" fillId="14" borderId="119" xfId="0" applyFont="1" applyFill="1" applyBorder="1" applyAlignment="1" applyProtection="1">
      <alignment horizontal="center" wrapText="1"/>
    </xf>
    <xf numFmtId="0" fontId="2" fillId="14" borderId="120" xfId="0" applyNumberFormat="1" applyFont="1" applyFill="1" applyBorder="1" applyAlignment="1" applyProtection="1">
      <alignment horizontal="center" wrapText="1"/>
    </xf>
    <xf numFmtId="164" fontId="2" fillId="14" borderId="120" xfId="0" applyNumberFormat="1" applyFont="1" applyFill="1" applyBorder="1" applyAlignment="1" applyProtection="1">
      <alignment horizontal="center" wrapText="1"/>
    </xf>
    <xf numFmtId="0" fontId="2" fillId="14" borderId="120" xfId="0" applyNumberFormat="1" applyFont="1" applyFill="1" applyBorder="1" applyAlignment="1" applyProtection="1">
      <alignment horizontal="center"/>
    </xf>
    <xf numFmtId="0" fontId="2" fillId="14" borderId="117" xfId="0" applyNumberFormat="1" applyFont="1" applyFill="1" applyBorder="1" applyAlignment="1" applyProtection="1">
      <alignment horizontal="center"/>
    </xf>
    <xf numFmtId="0" fontId="2" fillId="14" borderId="117" xfId="0" applyFont="1" applyFill="1" applyBorder="1" applyAlignment="1" applyProtection="1">
      <alignment wrapText="1"/>
    </xf>
    <xf numFmtId="0" fontId="2" fillId="14" borderId="118" xfId="0" applyFont="1" applyFill="1" applyBorder="1" applyAlignment="1" applyProtection="1">
      <alignment wrapText="1"/>
    </xf>
    <xf numFmtId="0" fontId="2" fillId="14" borderId="119" xfId="0" applyFont="1" applyFill="1" applyBorder="1" applyAlignment="1" applyProtection="1">
      <alignment wrapText="1"/>
    </xf>
    <xf numFmtId="0" fontId="2" fillId="14" borderId="2" xfId="0" applyNumberFormat="1" applyFont="1" applyFill="1" applyBorder="1" applyAlignment="1" applyProtection="1">
      <alignment horizontal="center"/>
    </xf>
    <xf numFmtId="0" fontId="2" fillId="14" borderId="100" xfId="0" applyNumberFormat="1" applyFont="1" applyFill="1" applyBorder="1" applyAlignment="1" applyProtection="1">
      <alignment horizontal="center"/>
    </xf>
    <xf numFmtId="0" fontId="2" fillId="14" borderId="10" xfId="0" applyFont="1" applyFill="1" applyBorder="1" applyAlignment="1" applyProtection="1">
      <alignment wrapText="1"/>
    </xf>
    <xf numFmtId="0" fontId="2" fillId="14" borderId="1" xfId="0" applyFont="1" applyFill="1" applyBorder="1" applyAlignment="1" applyProtection="1">
      <alignment wrapText="1"/>
    </xf>
    <xf numFmtId="0" fontId="2" fillId="14" borderId="9" xfId="0" applyFont="1" applyFill="1" applyBorder="1" applyAlignment="1" applyProtection="1">
      <alignment wrapText="1"/>
    </xf>
    <xf numFmtId="0" fontId="2" fillId="14" borderId="80" xfId="0" applyNumberFormat="1" applyFont="1" applyFill="1" applyBorder="1" applyAlignment="1" applyProtection="1">
      <alignment horizontal="center"/>
    </xf>
    <xf numFmtId="0" fontId="2" fillId="14" borderId="109" xfId="0" applyNumberFormat="1" applyFont="1" applyFill="1" applyBorder="1" applyAlignment="1" applyProtection="1">
      <alignment horizontal="center"/>
    </xf>
    <xf numFmtId="0" fontId="2" fillId="14" borderId="109" xfId="0" applyFont="1" applyFill="1" applyBorder="1" applyAlignment="1" applyProtection="1">
      <alignment wrapText="1"/>
    </xf>
    <xf numFmtId="0" fontId="2" fillId="14" borderId="107" xfId="0" applyFont="1" applyFill="1" applyBorder="1" applyAlignment="1" applyProtection="1">
      <alignment wrapText="1"/>
    </xf>
    <xf numFmtId="0" fontId="2" fillId="14" borderId="108" xfId="0" applyFont="1" applyFill="1" applyBorder="1" applyAlignment="1" applyProtection="1">
      <alignment wrapText="1"/>
    </xf>
    <xf numFmtId="0" fontId="2" fillId="29" borderId="4" xfId="0" applyNumberFormat="1" applyFont="1" applyFill="1" applyBorder="1" applyAlignment="1" applyProtection="1">
      <alignment horizontal="center" wrapText="1"/>
      <protection locked="0"/>
    </xf>
    <xf numFmtId="0" fontId="2" fillId="29" borderId="6" xfId="0" applyNumberFormat="1" applyFont="1" applyFill="1" applyBorder="1" applyAlignment="1" applyProtection="1">
      <alignment horizontal="center" wrapText="1"/>
      <protection locked="0"/>
    </xf>
    <xf numFmtId="0" fontId="2" fillId="29" borderId="105" xfId="0" applyNumberFormat="1" applyFont="1" applyFill="1" applyBorder="1" applyAlignment="1" applyProtection="1">
      <alignment horizontal="center" wrapText="1"/>
      <protection locked="0"/>
    </xf>
    <xf numFmtId="0" fontId="2" fillId="29" borderId="54" xfId="0" applyNumberFormat="1" applyFont="1" applyFill="1" applyBorder="1" applyAlignment="1" applyProtection="1">
      <alignment horizontal="center" wrapText="1"/>
      <protection locked="0"/>
    </xf>
    <xf numFmtId="0" fontId="2" fillId="29" borderId="57" xfId="0" applyNumberFormat="1" applyFont="1" applyFill="1" applyBorder="1" applyAlignment="1" applyProtection="1">
      <alignment horizontal="center" wrapText="1"/>
      <protection locked="0"/>
    </xf>
    <xf numFmtId="0" fontId="2" fillId="29" borderId="113" xfId="0" applyNumberFormat="1" applyFont="1" applyFill="1" applyBorder="1" applyAlignment="1" applyProtection="1">
      <alignment horizontal="center" wrapText="1"/>
      <protection locked="0"/>
    </xf>
    <xf numFmtId="0" fontId="2" fillId="29" borderId="61" xfId="0" applyNumberFormat="1" applyFont="1" applyFill="1" applyBorder="1" applyAlignment="1" applyProtection="1">
      <alignment horizontal="center" wrapText="1"/>
      <protection locked="0"/>
    </xf>
    <xf numFmtId="0" fontId="1" fillId="29" borderId="98" xfId="0" applyNumberFormat="1" applyFont="1" applyFill="1" applyBorder="1" applyAlignment="1" applyProtection="1">
      <alignment horizontal="center" vertical="center"/>
      <protection locked="0"/>
    </xf>
    <xf numFmtId="0" fontId="1" fillId="29" borderId="108" xfId="0" applyNumberFormat="1" applyFont="1" applyFill="1" applyBorder="1" applyAlignment="1" applyProtection="1">
      <alignment horizontal="center" vertical="center"/>
      <protection locked="0"/>
    </xf>
    <xf numFmtId="0" fontId="2" fillId="29" borderId="122" xfId="0" applyNumberFormat="1" applyFont="1" applyFill="1" applyBorder="1" applyAlignment="1" applyProtection="1">
      <alignment horizontal="center" wrapText="1"/>
      <protection locked="0"/>
    </xf>
    <xf numFmtId="0" fontId="2" fillId="3" borderId="54" xfId="0" applyNumberFormat="1" applyFont="1" applyFill="1" applyBorder="1" applyAlignment="1" applyProtection="1">
      <alignment horizontal="center" wrapText="1"/>
    </xf>
    <xf numFmtId="0" fontId="2" fillId="3" borderId="37" xfId="0" applyNumberFormat="1" applyFont="1" applyFill="1" applyBorder="1" applyAlignment="1" applyProtection="1">
      <alignment horizontal="center" wrapText="1"/>
    </xf>
    <xf numFmtId="0" fontId="2" fillId="14" borderId="80" xfId="0" applyNumberFormat="1" applyFont="1" applyFill="1" applyBorder="1" applyAlignment="1" applyProtection="1">
      <alignment horizontal="center" wrapText="1"/>
    </xf>
    <xf numFmtId="2" fontId="33" fillId="22" borderId="79" xfId="0" applyNumberFormat="1" applyFont="1" applyFill="1" applyBorder="1" applyAlignment="1">
      <alignment horizontal="center" vertical="center"/>
    </xf>
    <xf numFmtId="0" fontId="1" fillId="29" borderId="15" xfId="0" applyNumberFormat="1" applyFont="1" applyFill="1" applyBorder="1" applyAlignment="1" applyProtection="1">
      <alignment horizontal="left" vertical="center"/>
      <protection locked="0"/>
    </xf>
    <xf numFmtId="0" fontId="1" fillId="29" borderId="9" xfId="0" applyNumberFormat="1" applyFont="1" applyFill="1" applyBorder="1" applyAlignment="1" applyProtection="1">
      <alignment horizontal="left" vertical="center"/>
      <protection locked="0"/>
    </xf>
    <xf numFmtId="2" fontId="33" fillId="20" borderId="79" xfId="0" applyNumberFormat="1" applyFont="1" applyFill="1" applyBorder="1" applyAlignment="1">
      <alignment horizontal="center" vertical="center"/>
    </xf>
    <xf numFmtId="2" fontId="33" fillId="24" borderId="101" xfId="0" applyNumberFormat="1" applyFont="1" applyFill="1" applyBorder="1" applyAlignment="1" applyProtection="1">
      <alignment horizontal="center" vertical="center"/>
      <protection locked="0"/>
    </xf>
    <xf numFmtId="2" fontId="33" fillId="24" borderId="79" xfId="0" applyNumberFormat="1" applyFont="1" applyFill="1" applyBorder="1" applyAlignment="1" applyProtection="1">
      <alignment horizontal="center" vertical="center"/>
      <protection locked="0"/>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2" xfId="0" applyNumberFormat="1" applyFont="1" applyFill="1" applyBorder="1" applyAlignment="1">
      <alignment horizontal="center" vertical="center" wrapText="1"/>
    </xf>
    <xf numFmtId="0" fontId="2" fillId="12" borderId="106" xfId="0" applyFont="1" applyFill="1" applyBorder="1" applyAlignment="1">
      <alignment horizontal="center" wrapText="1"/>
    </xf>
    <xf numFmtId="0" fontId="2" fillId="12" borderId="107" xfId="0" applyFont="1" applyFill="1" applyBorder="1" applyAlignment="1">
      <alignment horizontal="center" wrapText="1"/>
    </xf>
    <xf numFmtId="0" fontId="2" fillId="12" borderId="110" xfId="0" applyFont="1" applyFill="1" applyBorder="1" applyAlignment="1">
      <alignment horizontal="center" wrapText="1"/>
    </xf>
    <xf numFmtId="0" fontId="2" fillId="12" borderId="11" xfId="0" applyFont="1" applyFill="1" applyBorder="1" applyAlignment="1" applyProtection="1">
      <alignment horizontal="center" wrapText="1"/>
    </xf>
    <xf numFmtId="0" fontId="2" fillId="12" borderId="13" xfId="0" applyFont="1" applyFill="1" applyBorder="1" applyAlignment="1" applyProtection="1">
      <alignment horizontal="center" wrapText="1"/>
    </xf>
    <xf numFmtId="0" fontId="2" fillId="12" borderId="12" xfId="0" applyFont="1" applyFill="1" applyBorder="1" applyAlignment="1" applyProtection="1">
      <alignment horizontal="center" wrapText="1"/>
    </xf>
    <xf numFmtId="0" fontId="2" fillId="10" borderId="106" xfId="0" applyFont="1" applyFill="1" applyBorder="1" applyAlignment="1">
      <alignment horizontal="center" wrapText="1"/>
    </xf>
    <xf numFmtId="0" fontId="2" fillId="10" borderId="107" xfId="0" applyFont="1" applyFill="1" applyBorder="1" applyAlignment="1">
      <alignment horizontal="center" wrapText="1"/>
    </xf>
    <xf numFmtId="0" fontId="2" fillId="10" borderId="110" xfId="0" applyFont="1" applyFill="1" applyBorder="1" applyAlignment="1">
      <alignment horizontal="center" wrapText="1"/>
    </xf>
    <xf numFmtId="0" fontId="2" fillId="10" borderId="11" xfId="0" applyFont="1" applyFill="1" applyBorder="1" applyAlignment="1" applyProtection="1">
      <alignment horizontal="center" wrapText="1"/>
    </xf>
    <xf numFmtId="0" fontId="2" fillId="10" borderId="13" xfId="0" applyFont="1" applyFill="1" applyBorder="1" applyAlignment="1" applyProtection="1">
      <alignment horizontal="center" wrapText="1"/>
    </xf>
    <xf numFmtId="0" fontId="2" fillId="10" borderId="12" xfId="0" applyFont="1" applyFill="1" applyBorder="1" applyAlignment="1" applyProtection="1">
      <alignment horizontal="center" wrapText="1"/>
    </xf>
    <xf numFmtId="0" fontId="2" fillId="8" borderId="106" xfId="0" applyFont="1" applyFill="1" applyBorder="1" applyAlignment="1">
      <alignment horizontal="center" wrapText="1"/>
    </xf>
    <xf numFmtId="0" fontId="2" fillId="8" borderId="107" xfId="0" applyFont="1" applyFill="1" applyBorder="1" applyAlignment="1">
      <alignment horizontal="center" wrapText="1"/>
    </xf>
    <xf numFmtId="0" fontId="2" fillId="8" borderId="110"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29" borderId="68" xfId="0" applyNumberFormat="1" applyFont="1" applyFill="1" applyBorder="1" applyAlignment="1" applyProtection="1">
      <alignment horizontal="left" vertical="center"/>
      <protection locked="0"/>
    </xf>
    <xf numFmtId="0" fontId="32" fillId="29" borderId="69" xfId="0" applyNumberFormat="1" applyFont="1" applyFill="1" applyBorder="1" applyAlignment="1" applyProtection="1">
      <alignment horizontal="left" vertical="center"/>
      <protection locked="0"/>
    </xf>
    <xf numFmtId="0" fontId="1" fillId="29" borderId="4" xfId="0" applyNumberFormat="1" applyFont="1" applyFill="1" applyBorder="1" applyAlignment="1" applyProtection="1">
      <alignment horizontal="left" vertical="center"/>
      <protection locked="0"/>
    </xf>
    <xf numFmtId="0" fontId="1" fillId="29" borderId="7" xfId="0" applyNumberFormat="1" applyFont="1" applyFill="1" applyBorder="1" applyAlignment="1" applyProtection="1">
      <alignment horizontal="left" vertical="center"/>
      <protection locked="0"/>
    </xf>
    <xf numFmtId="0" fontId="30" fillId="25" borderId="106" xfId="0" applyFont="1" applyFill="1" applyBorder="1" applyAlignment="1" applyProtection="1">
      <alignment horizontal="center" wrapText="1"/>
    </xf>
    <xf numFmtId="0" fontId="30" fillId="25" borderId="107" xfId="0" applyFont="1" applyFill="1" applyBorder="1" applyAlignment="1" applyProtection="1">
      <alignment horizontal="center" wrapText="1"/>
    </xf>
    <xf numFmtId="0" fontId="2" fillId="26" borderId="114" xfId="0" applyFont="1" applyFill="1" applyBorder="1" applyAlignment="1" applyProtection="1">
      <alignment horizontal="center" wrapText="1"/>
    </xf>
    <xf numFmtId="0" fontId="2" fillId="26" borderId="99" xfId="0" applyFont="1" applyFill="1" applyBorder="1" applyAlignment="1" applyProtection="1">
      <alignment horizontal="center" wrapText="1"/>
    </xf>
    <xf numFmtId="0" fontId="2" fillId="26" borderId="115" xfId="0" applyFont="1" applyFill="1" applyBorder="1" applyAlignment="1" applyProtection="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32" fillId="29" borderId="66" xfId="0" applyNumberFormat="1" applyFont="1" applyFill="1" applyBorder="1" applyAlignment="1" applyProtection="1">
      <alignment horizontal="left" vertical="center"/>
      <protection locked="0"/>
    </xf>
    <xf numFmtId="0" fontId="32" fillId="29" borderId="67" xfId="0" applyNumberFormat="1" applyFont="1" applyFill="1" applyBorder="1" applyAlignment="1" applyProtection="1">
      <alignment horizontal="left" vertical="center"/>
      <protection locked="0"/>
    </xf>
    <xf numFmtId="0" fontId="32" fillId="29" borderId="70" xfId="0" applyNumberFormat="1" applyFont="1" applyFill="1" applyBorder="1" applyAlignment="1" applyProtection="1">
      <alignment horizontal="left" vertical="center"/>
      <protection locked="0"/>
    </xf>
    <xf numFmtId="0" fontId="2" fillId="26" borderId="102" xfId="0" applyFont="1" applyFill="1" applyBorder="1" applyAlignment="1">
      <alignment horizontal="center" vertic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2"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2" xfId="0" applyFont="1" applyFill="1" applyBorder="1" applyAlignment="1">
      <alignment horizontal="center" vertical="center" wrapText="1"/>
    </xf>
    <xf numFmtId="0" fontId="2" fillId="14" borderId="106" xfId="0" applyFont="1" applyFill="1" applyBorder="1" applyAlignment="1">
      <alignment horizontal="center" wrapText="1"/>
    </xf>
    <xf numFmtId="0" fontId="2" fillId="14" borderId="107" xfId="0" applyFont="1" applyFill="1" applyBorder="1" applyAlignment="1">
      <alignment horizontal="center" wrapText="1"/>
    </xf>
    <xf numFmtId="0" fontId="2" fillId="14" borderId="110"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26" borderId="106" xfId="0" applyFont="1" applyFill="1" applyBorder="1" applyAlignment="1">
      <alignment horizontal="center" wrapText="1"/>
    </xf>
    <xf numFmtId="0" fontId="2" fillId="26" borderId="107" xfId="0" applyFont="1" applyFill="1" applyBorder="1" applyAlignment="1">
      <alignment horizontal="center" wrapText="1"/>
    </xf>
    <xf numFmtId="0" fontId="2" fillId="26" borderId="110"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4" fillId="13" borderId="106" xfId="0" applyFont="1" applyFill="1" applyBorder="1" applyAlignment="1" applyProtection="1">
      <alignment horizontal="center" wrapText="1"/>
    </xf>
    <xf numFmtId="0" fontId="4" fillId="13" borderId="107" xfId="0" applyFont="1" applyFill="1" applyBorder="1" applyAlignment="1" applyProtection="1">
      <alignment horizontal="center" wrapText="1"/>
    </xf>
    <xf numFmtId="2" fontId="33" fillId="22" borderId="101" xfId="0" applyNumberFormat="1" applyFont="1" applyFill="1" applyBorder="1" applyAlignment="1">
      <alignment horizontal="center" vertical="center"/>
    </xf>
    <xf numFmtId="2" fontId="33" fillId="23" borderId="79" xfId="0" applyNumberFormat="1" applyFont="1" applyFill="1" applyBorder="1" applyAlignment="1" applyProtection="1">
      <alignment horizontal="center" vertical="center"/>
      <protection locked="0"/>
    </xf>
    <xf numFmtId="2" fontId="33" fillId="27" borderId="101" xfId="0" applyNumberFormat="1" applyFont="1" applyFill="1" applyBorder="1" applyAlignment="1" applyProtection="1">
      <alignment horizontal="center" vertical="center"/>
      <protection locked="0"/>
    </xf>
    <xf numFmtId="2" fontId="33" fillId="27" borderId="79" xfId="0" applyNumberFormat="1" applyFont="1" applyFill="1" applyBorder="1" applyAlignment="1" applyProtection="1">
      <alignment horizontal="center" vertical="center"/>
      <protection locked="0"/>
    </xf>
    <xf numFmtId="0" fontId="2" fillId="19" borderId="10" xfId="0" applyFont="1" applyFill="1" applyBorder="1" applyAlignment="1">
      <alignment horizontal="center" vertical="center" wrapText="1"/>
    </xf>
    <xf numFmtId="0" fontId="4" fillId="11" borderId="1" xfId="0" applyFont="1" applyFill="1" applyBorder="1" applyAlignment="1" applyProtection="1">
      <alignment horizontal="center" wrapText="1"/>
    </xf>
    <xf numFmtId="0" fontId="4" fillId="11" borderId="99" xfId="0" applyFont="1" applyFill="1" applyBorder="1" applyAlignment="1" applyProtection="1">
      <alignment horizontal="center" wrapText="1"/>
    </xf>
    <xf numFmtId="2" fontId="33" fillId="23" borderId="101" xfId="0" applyNumberFormat="1" applyFont="1" applyFill="1" applyBorder="1" applyAlignment="1" applyProtection="1">
      <alignment horizontal="center" vertical="center"/>
      <protection locked="0"/>
    </xf>
    <xf numFmtId="0" fontId="2" fillId="14" borderId="117" xfId="0" applyFont="1" applyFill="1" applyBorder="1" applyAlignment="1" applyProtection="1">
      <alignment horizontal="center" wrapText="1"/>
    </xf>
    <xf numFmtId="0" fontId="2" fillId="14" borderId="118" xfId="0" applyFont="1" applyFill="1" applyBorder="1" applyAlignment="1" applyProtection="1">
      <alignment horizontal="center" wrapText="1"/>
    </xf>
    <xf numFmtId="0" fontId="2" fillId="14" borderId="119" xfId="0" applyFont="1" applyFill="1" applyBorder="1" applyAlignment="1" applyProtection="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vertical="center" wrapText="1"/>
    </xf>
    <xf numFmtId="0" fontId="2" fillId="0" borderId="28" xfId="0" applyNumberFormat="1" applyFont="1" applyFill="1" applyBorder="1" applyAlignment="1">
      <alignment horizontal="right" vertical="center" wrapText="1"/>
    </xf>
    <xf numFmtId="0" fontId="1" fillId="29" borderId="105" xfId="0" applyNumberFormat="1" applyFont="1" applyFill="1" applyBorder="1" applyAlignment="1" applyProtection="1">
      <alignment horizontal="left" vertical="center"/>
      <protection locked="0"/>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4" fillId="7" borderId="99" xfId="0" applyFont="1" applyFill="1" applyBorder="1" applyAlignment="1">
      <alignment horizontal="center" wrapText="1"/>
    </xf>
    <xf numFmtId="0" fontId="2" fillId="10" borderId="102" xfId="0" applyFont="1" applyFill="1" applyBorder="1" applyAlignment="1">
      <alignment horizontal="center" vertical="center" wrapText="1"/>
    </xf>
    <xf numFmtId="2" fontId="11" fillId="8" borderId="14" xfId="0" applyNumberFormat="1" applyFont="1" applyFill="1" applyBorder="1" applyAlignment="1">
      <alignment horizontal="center" vertical="center"/>
    </xf>
    <xf numFmtId="2" fontId="11" fillId="8" borderId="3" xfId="0" applyNumberFormat="1" applyFont="1" applyFill="1" applyBorder="1" applyAlignment="1">
      <alignment horizontal="center" vertical="center"/>
    </xf>
    <xf numFmtId="0" fontId="32" fillId="29" borderId="112" xfId="0" applyNumberFormat="1" applyFont="1" applyFill="1" applyBorder="1" applyAlignment="1" applyProtection="1">
      <alignment horizontal="left" vertical="center"/>
      <protection locked="0"/>
    </xf>
    <xf numFmtId="0" fontId="1" fillId="29" borderId="60" xfId="0" applyNumberFormat="1" applyFont="1" applyFill="1" applyBorder="1" applyAlignment="1" applyProtection="1">
      <alignment horizontal="left" vertical="center"/>
      <protection locked="0"/>
    </xf>
    <xf numFmtId="0" fontId="1" fillId="29" borderId="6" xfId="0" applyNumberFormat="1" applyFont="1" applyFill="1" applyBorder="1" applyAlignment="1" applyProtection="1">
      <alignment horizontal="left" vertical="center"/>
      <protection locked="0"/>
    </xf>
    <xf numFmtId="0" fontId="2" fillId="8" borderId="58" xfId="0" applyNumberFormat="1" applyFont="1" applyFill="1" applyBorder="1" applyAlignment="1">
      <alignment horizontal="center" vertical="center" wrapText="1"/>
    </xf>
    <xf numFmtId="0" fontId="4" fillId="9" borderId="1" xfId="0" applyFont="1" applyFill="1" applyBorder="1" applyAlignment="1" applyProtection="1">
      <alignment horizontal="center" wrapText="1"/>
    </xf>
    <xf numFmtId="0" fontId="4" fillId="9" borderId="99" xfId="0" applyFont="1" applyFill="1" applyBorder="1" applyAlignment="1" applyProtection="1">
      <alignment horizontal="center" wrapText="1"/>
    </xf>
    <xf numFmtId="2" fontId="11" fillId="8" borderId="102"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0" xfId="0" applyNumberFormat="1" applyFont="1" applyFill="1" applyBorder="1" applyAlignment="1">
      <alignment horizontal="left" vertical="center"/>
    </xf>
    <xf numFmtId="0" fontId="1" fillId="0" borderId="105" xfId="0" applyNumberFormat="1" applyFont="1" applyFill="1" applyBorder="1" applyAlignment="1">
      <alignment horizontal="left" vertical="center"/>
    </xf>
    <xf numFmtId="0" fontId="7" fillId="29" borderId="103" xfId="0" applyNumberFormat="1" applyFont="1" applyFill="1" applyBorder="1" applyAlignment="1" applyProtection="1">
      <alignment horizontal="center" vertical="center"/>
      <protection locked="0"/>
    </xf>
    <xf numFmtId="0" fontId="0" fillId="29" borderId="83" xfId="0" applyNumberFormat="1" applyFont="1" applyFill="1" applyBorder="1" applyAlignment="1" applyProtection="1">
      <alignment horizontal="center" vertical="center"/>
      <protection locked="0"/>
    </xf>
    <xf numFmtId="0" fontId="0" fillId="29" borderId="104" xfId="0" applyNumberFormat="1" applyFont="1" applyFill="1" applyBorder="1" applyAlignment="1" applyProtection="1">
      <alignment horizontal="center" vertical="center"/>
      <protection locked="0"/>
    </xf>
    <xf numFmtId="0" fontId="1" fillId="29" borderId="103" xfId="0" applyNumberFormat="1" applyFont="1" applyFill="1" applyBorder="1" applyAlignment="1" applyProtection="1">
      <alignment horizontal="center" vertical="center" wrapText="1"/>
      <protection locked="0"/>
    </xf>
    <xf numFmtId="0" fontId="1" fillId="29" borderId="83" xfId="0" applyNumberFormat="1" applyFont="1" applyFill="1" applyBorder="1" applyAlignment="1" applyProtection="1">
      <alignment horizontal="center" vertical="center" wrapText="1"/>
      <protection locked="0"/>
    </xf>
    <xf numFmtId="0" fontId="1" fillId="29" borderId="104" xfId="0" applyNumberFormat="1" applyFont="1" applyFill="1" applyBorder="1" applyAlignment="1" applyProtection="1">
      <alignment horizontal="center" vertical="center" wrapText="1"/>
      <protection locked="0"/>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2" fillId="0" borderId="112" xfId="0" applyNumberFormat="1" applyFont="1" applyFill="1" applyBorder="1" applyAlignment="1">
      <alignment horizontal="left" vertical="center"/>
    </xf>
    <xf numFmtId="0" fontId="32" fillId="0" borderId="67" xfId="0" applyNumberFormat="1" applyFont="1" applyFill="1" applyBorder="1" applyAlignment="1">
      <alignment horizontal="left" vertical="center"/>
    </xf>
    <xf numFmtId="0" fontId="32" fillId="28" borderId="68" xfId="0" applyNumberFormat="1" applyFont="1" applyFill="1" applyBorder="1" applyAlignment="1">
      <alignment horizontal="left" vertical="center" wrapText="1"/>
    </xf>
    <xf numFmtId="0" fontId="32" fillId="28" borderId="69" xfId="0" applyNumberFormat="1" applyFont="1" applyFill="1" applyBorder="1" applyAlignment="1">
      <alignment horizontal="left" vertical="center" wrapText="1"/>
    </xf>
    <xf numFmtId="0" fontId="32" fillId="0" borderId="70" xfId="0" applyNumberFormat="1" applyFont="1" applyFill="1" applyBorder="1" applyAlignment="1">
      <alignment horizontal="left" vertical="center"/>
    </xf>
    <xf numFmtId="0" fontId="32" fillId="0" borderId="69" xfId="0" applyNumberFormat="1" applyFont="1" applyFill="1" applyBorder="1" applyAlignment="1">
      <alignment horizontal="left" vertical="center"/>
    </xf>
    <xf numFmtId="0" fontId="1" fillId="28" borderId="4" xfId="0" applyNumberFormat="1" applyFont="1" applyFill="1" applyBorder="1" applyAlignment="1">
      <alignment horizontal="left" vertical="center"/>
    </xf>
    <xf numFmtId="0" fontId="1" fillId="28" borderId="7" xfId="0" applyNumberFormat="1" applyFont="1" applyFill="1" applyBorder="1" applyAlignment="1">
      <alignment horizontal="left" vertical="center"/>
    </xf>
    <xf numFmtId="0" fontId="32" fillId="0" borderId="66"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1" fillId="28" borderId="15"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28" borderId="4"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1" fillId="0" borderId="7" xfId="0" applyNumberFormat="1" applyFont="1" applyFill="1" applyBorder="1" applyAlignment="1">
      <alignment horizontal="left" vertical="top"/>
    </xf>
    <xf numFmtId="0" fontId="1" fillId="0" borderId="98" xfId="0" applyNumberFormat="1" applyFont="1" applyFill="1" applyBorder="1" applyAlignment="1">
      <alignment horizontal="left" vertical="center"/>
    </xf>
    <xf numFmtId="0" fontId="28" fillId="4" borderId="52" xfId="0" applyNumberFormat="1" applyFont="1" applyFill="1" applyBorder="1" applyAlignment="1">
      <alignment horizontal="center" vertical="center" wrapText="1"/>
    </xf>
    <xf numFmtId="0" fontId="28" fillId="4"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xf>
    <xf numFmtId="0" fontId="29" fillId="4" borderId="46" xfId="0" applyNumberFormat="1" applyFont="1" applyFill="1" applyBorder="1" applyAlignment="1">
      <alignment horizontal="center" vertical="center"/>
    </xf>
    <xf numFmtId="0" fontId="29" fillId="4" borderId="53"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2" xfId="1" applyFont="1" applyFill="1" applyBorder="1" applyAlignment="1">
      <alignment horizontal="left" vertical="center" wrapText="1"/>
    </xf>
    <xf numFmtId="0" fontId="26" fillId="15" borderId="46" xfId="1" applyFont="1" applyFill="1" applyBorder="1" applyAlignment="1">
      <alignment horizontal="left" vertical="center"/>
    </xf>
    <xf numFmtId="0" fontId="26" fillId="15" borderId="53"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4"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4" fillId="7" borderId="89" xfId="0" applyFont="1" applyFill="1" applyBorder="1" applyAlignment="1">
      <alignment horizontal="center" wrapText="1"/>
    </xf>
    <xf numFmtId="0" fontId="4" fillId="7" borderId="88" xfId="0" applyFont="1" applyFill="1" applyBorder="1" applyAlignment="1">
      <alignment horizontal="center" wrapText="1"/>
    </xf>
    <xf numFmtId="0" fontId="4" fillId="7" borderId="87" xfId="0" applyFont="1" applyFill="1" applyBorder="1" applyAlignment="1">
      <alignment horizontal="center" wrapText="1"/>
    </xf>
    <xf numFmtId="0" fontId="2" fillId="10" borderId="71" xfId="0" applyFont="1" applyFill="1" applyBorder="1" applyAlignment="1">
      <alignment horizontal="center" vertical="center" wrapText="1"/>
    </xf>
    <xf numFmtId="0" fontId="2" fillId="10" borderId="72" xfId="0" applyFont="1" applyFill="1" applyBorder="1" applyAlignment="1">
      <alignment horizontal="center" vertical="center" wrapText="1"/>
    </xf>
    <xf numFmtId="0" fontId="2" fillId="10" borderId="75" xfId="0" applyFont="1" applyFill="1" applyBorder="1" applyAlignment="1">
      <alignment horizontal="center" vertical="center" wrapText="1"/>
    </xf>
    <xf numFmtId="0" fontId="2" fillId="10" borderId="76" xfId="0" applyFont="1" applyFill="1" applyBorder="1" applyAlignment="1">
      <alignment horizontal="center" vertical="center" wrapText="1"/>
    </xf>
    <xf numFmtId="0" fontId="2" fillId="26" borderId="71" xfId="0" applyFont="1" applyFill="1" applyBorder="1" applyAlignment="1">
      <alignment horizontal="center" vertical="center" wrapText="1"/>
    </xf>
    <xf numFmtId="0" fontId="2" fillId="26" borderId="72" xfId="0" applyFont="1" applyFill="1" applyBorder="1" applyAlignment="1">
      <alignment horizontal="center" vertical="center" wrapText="1"/>
    </xf>
    <xf numFmtId="0" fontId="2" fillId="26" borderId="75" xfId="0" applyFont="1" applyFill="1" applyBorder="1" applyAlignment="1">
      <alignment horizontal="center" vertical="center" wrapText="1"/>
    </xf>
    <xf numFmtId="0" fontId="4" fillId="9" borderId="90" xfId="0" applyFont="1" applyFill="1" applyBorder="1" applyAlignment="1">
      <alignment horizontal="center" wrapText="1"/>
    </xf>
    <xf numFmtId="0" fontId="4" fillId="9" borderId="13" xfId="0" applyFont="1" applyFill="1" applyBorder="1" applyAlignment="1">
      <alignment horizontal="center" wrapText="1"/>
    </xf>
    <xf numFmtId="0" fontId="4" fillId="9" borderId="91" xfId="0" applyFont="1" applyFill="1" applyBorder="1" applyAlignment="1">
      <alignment horizontal="center" wrapText="1"/>
    </xf>
    <xf numFmtId="0" fontId="30" fillId="25" borderId="90" xfId="0" applyFont="1" applyFill="1" applyBorder="1" applyAlignment="1">
      <alignment horizontal="center" wrapText="1"/>
    </xf>
    <xf numFmtId="0" fontId="30" fillId="25" borderId="13" xfId="0" applyFont="1" applyFill="1" applyBorder="1" applyAlignment="1">
      <alignment horizontal="center" wrapText="1"/>
    </xf>
    <xf numFmtId="0" fontId="30" fillId="25" borderId="91" xfId="0" applyFont="1" applyFill="1" applyBorder="1" applyAlignment="1">
      <alignment horizont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2" fontId="11" fillId="8" borderId="71" xfId="0" applyNumberFormat="1" applyFont="1" applyFill="1" applyBorder="1" applyAlignment="1">
      <alignment horizontal="center" vertical="center"/>
    </xf>
    <xf numFmtId="2" fontId="11" fillId="8" borderId="72" xfId="0" applyNumberFormat="1" applyFont="1" applyFill="1" applyBorder="1" applyAlignment="1">
      <alignment horizontal="center" vertical="center"/>
    </xf>
    <xf numFmtId="2" fontId="11" fillId="8" borderId="76" xfId="0" applyNumberFormat="1" applyFont="1" applyFill="1" applyBorder="1" applyAlignment="1">
      <alignment horizontal="center" vertical="center"/>
    </xf>
    <xf numFmtId="2" fontId="11" fillId="8" borderId="82" xfId="0" applyNumberFormat="1" applyFont="1" applyFill="1" applyBorder="1" applyAlignment="1">
      <alignment horizontal="center" vertical="center"/>
    </xf>
    <xf numFmtId="2" fontId="11" fillId="8" borderId="83" xfId="0" applyNumberFormat="1" applyFont="1" applyFill="1" applyBorder="1" applyAlignment="1">
      <alignment horizontal="center" vertical="center"/>
    </xf>
    <xf numFmtId="2" fontId="11" fillId="8" borderId="86" xfId="0" applyNumberFormat="1" applyFont="1" applyFill="1" applyBorder="1" applyAlignment="1">
      <alignment horizontal="center" vertical="center"/>
    </xf>
    <xf numFmtId="2" fontId="33" fillId="20" borderId="82" xfId="0" applyNumberFormat="1" applyFont="1" applyFill="1" applyBorder="1" applyAlignment="1">
      <alignment horizontal="center" vertical="center"/>
    </xf>
    <xf numFmtId="2" fontId="33" fillId="20" borderId="83"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4" borderId="82" xfId="0" applyNumberFormat="1" applyFont="1" applyFill="1" applyBorder="1" applyAlignment="1">
      <alignment horizontal="center" vertical="center"/>
    </xf>
    <xf numFmtId="2" fontId="33" fillId="24" borderId="83"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7" borderId="82" xfId="0" applyNumberFormat="1" applyFont="1" applyFill="1" applyBorder="1" applyAlignment="1">
      <alignment horizontal="center" vertical="center"/>
    </xf>
    <xf numFmtId="2" fontId="33" fillId="27" borderId="83"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0" fontId="4" fillId="11" borderId="90" xfId="0" applyFont="1" applyFill="1" applyBorder="1" applyAlignment="1">
      <alignment horizontal="center" wrapText="1"/>
    </xf>
    <xf numFmtId="0" fontId="4" fillId="11" borderId="13" xfId="0" applyFont="1" applyFill="1" applyBorder="1" applyAlignment="1">
      <alignment horizontal="center" wrapText="1"/>
    </xf>
    <xf numFmtId="0" fontId="4" fillId="11" borderId="91" xfId="0" applyFont="1" applyFill="1" applyBorder="1" applyAlignment="1">
      <alignment horizontal="center" wrapText="1"/>
    </xf>
    <xf numFmtId="0" fontId="4" fillId="13" borderId="90" xfId="0" applyFont="1" applyFill="1" applyBorder="1" applyAlignment="1">
      <alignment horizontal="center" wrapText="1"/>
    </xf>
    <xf numFmtId="0" fontId="4" fillId="13" borderId="13" xfId="0" applyFont="1" applyFill="1" applyBorder="1" applyAlignment="1">
      <alignment horizontal="center" wrapText="1"/>
    </xf>
    <xf numFmtId="0" fontId="4" fillId="13" borderId="91" xfId="0" applyFont="1" applyFill="1" applyBorder="1" applyAlignment="1">
      <alignment horizontal="center" wrapText="1"/>
    </xf>
    <xf numFmtId="0" fontId="2" fillId="14" borderId="71" xfId="0" applyFont="1" applyFill="1" applyBorder="1" applyAlignment="1">
      <alignment horizontal="center" vertical="center" wrapText="1"/>
    </xf>
    <xf numFmtId="0" fontId="2" fillId="14" borderId="72" xfId="0" applyFont="1" applyFill="1" applyBorder="1" applyAlignment="1">
      <alignment horizontal="center" vertical="center" wrapText="1"/>
    </xf>
    <xf numFmtId="0" fontId="2" fillId="14" borderId="76" xfId="0" applyFont="1" applyFill="1" applyBorder="1" applyAlignment="1">
      <alignment horizontal="center" vertical="center" wrapText="1"/>
    </xf>
    <xf numFmtId="2" fontId="33" fillId="27" borderId="84" xfId="0" applyNumberFormat="1" applyFont="1" applyFill="1" applyBorder="1" applyAlignment="1">
      <alignment horizontal="center" vertical="center"/>
    </xf>
    <xf numFmtId="2" fontId="33" fillId="23" borderId="82" xfId="0" applyNumberFormat="1" applyFont="1" applyFill="1" applyBorder="1" applyAlignment="1">
      <alignment horizontal="center" vertical="center"/>
    </xf>
    <xf numFmtId="2" fontId="33" fillId="23" borderId="83"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0" fontId="2" fillId="14" borderId="75" xfId="0" applyFont="1" applyFill="1" applyBorder="1" applyAlignment="1">
      <alignment horizontal="center" vertical="center" wrapText="1"/>
    </xf>
    <xf numFmtId="0" fontId="2" fillId="19" borderId="71" xfId="0" applyFont="1" applyFill="1" applyBorder="1" applyAlignment="1">
      <alignment horizontal="center" vertical="center" wrapText="1"/>
    </xf>
    <xf numFmtId="0" fontId="2" fillId="19" borderId="72" xfId="0" applyFont="1" applyFill="1" applyBorder="1" applyAlignment="1">
      <alignment horizontal="center" vertical="center" wrapText="1"/>
    </xf>
    <xf numFmtId="0" fontId="2" fillId="19" borderId="75" xfId="0" applyFont="1" applyFill="1" applyBorder="1" applyAlignment="1">
      <alignment horizontal="center" vertical="center" wrapText="1"/>
    </xf>
    <xf numFmtId="2" fontId="33" fillId="22" borderId="82" xfId="0" applyNumberFormat="1" applyFont="1" applyFill="1" applyBorder="1" applyAlignment="1">
      <alignment horizontal="center" vertical="center"/>
    </xf>
    <xf numFmtId="2" fontId="33" fillId="22" borderId="83" xfId="0" applyNumberFormat="1" applyFont="1" applyFill="1" applyBorder="1" applyAlignment="1">
      <alignment horizontal="center" vertical="center"/>
    </xf>
    <xf numFmtId="2" fontId="33" fillId="22" borderId="86" xfId="0" applyNumberFormat="1" applyFont="1" applyFill="1" applyBorder="1" applyAlignment="1">
      <alignment horizontal="center" vertical="center"/>
    </xf>
    <xf numFmtId="0" fontId="14" fillId="17" borderId="0" xfId="1" applyFont="1" applyFill="1" applyAlignment="1">
      <alignment horizontal="center"/>
    </xf>
    <xf numFmtId="0" fontId="15" fillId="17" borderId="0" xfId="1" applyFont="1" applyFill="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0.25</c:v>
                </c:pt>
                <c:pt idx="1">
                  <c:v>1.25</c:v>
                </c:pt>
                <c:pt idx="2">
                  <c:v>0.75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0.25</c:v>
                </c:pt>
                <c:pt idx="4">
                  <c:v>1.25</c:v>
                </c:pt>
                <c:pt idx="5">
                  <c:v>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0.5</c:v>
                </c:pt>
                <c:pt idx="7">
                  <c:v>1.75</c:v>
                </c:pt>
                <c:pt idx="8">
                  <c:v>0.5</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0.125</c:v>
                </c:pt>
                <c:pt idx="10">
                  <c:v>0</c:v>
                </c:pt>
                <c:pt idx="11">
                  <c:v>1</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1.875</c:v>
                </c:pt>
                <c:pt idx="14">
                  <c:v>2.25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0.25</c:v>
                </c:pt>
                <c:pt idx="1">
                  <c:v>0.25</c:v>
                </c:pt>
                <c:pt idx="2" formatCode="General">
                  <c:v>0.25</c:v>
                </c:pt>
                <c:pt idx="3">
                  <c:v>0.25</c:v>
                </c:pt>
                <c:pt idx="4" formatCode="General">
                  <c:v>0.25</c:v>
                </c:pt>
                <c:pt idx="5">
                  <c:v>0.25</c:v>
                </c:pt>
                <c:pt idx="6" formatCode="General">
                  <c:v>0.25</c:v>
                </c:pt>
                <c:pt idx="7">
                  <c:v>0.25</c:v>
                </c:pt>
                <c:pt idx="8" formatCode="General">
                  <c:v>0.25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1.25</c:v>
                </c:pt>
                <c:pt idx="1">
                  <c:v>1.25</c:v>
                </c:pt>
                <c:pt idx="2" formatCode="General">
                  <c:v>1.25</c:v>
                </c:pt>
                <c:pt idx="3">
                  <c:v>1.25</c:v>
                </c:pt>
                <c:pt idx="4" formatCode="General">
                  <c:v>1.25</c:v>
                </c:pt>
                <c:pt idx="5">
                  <c:v>1.25</c:v>
                </c:pt>
                <c:pt idx="6" formatCode="General">
                  <c:v>1.25</c:v>
                </c:pt>
                <c:pt idx="7">
                  <c:v>1.25</c:v>
                </c:pt>
                <c:pt idx="8" formatCode="General">
                  <c:v>1.25</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2.5</c:v>
                </c:pt>
                <c:pt idx="1">
                  <c:v>2.5</c:v>
                </c:pt>
                <c:pt idx="2" formatCode="General">
                  <c:v>2.5</c:v>
                </c:pt>
                <c:pt idx="3">
                  <c:v>2.5</c:v>
                </c:pt>
                <c:pt idx="4" formatCode="General">
                  <c:v>2.5</c:v>
                </c:pt>
                <c:pt idx="5">
                  <c:v>2.5</c:v>
                </c:pt>
                <c:pt idx="6" formatCode="General">
                  <c:v>2.5</c:v>
                </c:pt>
                <c:pt idx="7">
                  <c:v>2.5</c:v>
                </c:pt>
                <c:pt idx="8" formatCode="General">
                  <c:v>2.5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0.125</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0.75</c:v>
                </c:pt>
                <c:pt idx="1">
                  <c:v>0.75</c:v>
                </c:pt>
                <c:pt idx="2" formatCode="General">
                  <c:v>0.75</c:v>
                </c:pt>
                <c:pt idx="3">
                  <c:v>0.75</c:v>
                </c:pt>
                <c:pt idx="4" formatCode="General">
                  <c:v>0.75</c:v>
                </c:pt>
                <c:pt idx="5">
                  <c:v>0.75</c:v>
                </c:pt>
                <c:pt idx="6" formatCode="General">
                  <c:v>0.75</c:v>
                </c:pt>
                <c:pt idx="7">
                  <c:v>0.75</c:v>
                </c:pt>
                <c:pt idx="8" formatCode="General">
                  <c:v>0.75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1.875</c:v>
                </c:pt>
                <c:pt idx="1">
                  <c:v>1.875</c:v>
                </c:pt>
                <c:pt idx="2" formatCode="General">
                  <c:v>1.875</c:v>
                </c:pt>
                <c:pt idx="3">
                  <c:v>1.875</c:v>
                </c:pt>
                <c:pt idx="4" formatCode="General">
                  <c:v>1.875</c:v>
                </c:pt>
                <c:pt idx="5">
                  <c:v>1.875</c:v>
                </c:pt>
                <c:pt idx="6" formatCode="General">
                  <c:v>1.875</c:v>
                </c:pt>
                <c:pt idx="7">
                  <c:v>1.875</c:v>
                </c:pt>
                <c:pt idx="8" formatCode="General">
                  <c:v>1.875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2.25</c:v>
                </c:pt>
                <c:pt idx="1">
                  <c:v>2.25</c:v>
                </c:pt>
                <c:pt idx="2" formatCode="General">
                  <c:v>2.25</c:v>
                </c:pt>
                <c:pt idx="3">
                  <c:v>2.25</c:v>
                </c:pt>
                <c:pt idx="4" formatCode="General">
                  <c:v>2.25</c:v>
                </c:pt>
                <c:pt idx="5">
                  <c:v>2.25</c:v>
                </c:pt>
                <c:pt idx="6" formatCode="General">
                  <c:v>2.25</c:v>
                </c:pt>
                <c:pt idx="7">
                  <c:v>2.25</c:v>
                </c:pt>
                <c:pt idx="8" formatCode="General">
                  <c:v>2.25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0.375</c:v>
                </c:pt>
                <c:pt idx="1">
                  <c:v>1.25</c:v>
                </c:pt>
                <c:pt idx="2">
                  <c:v>0.75</c:v>
                </c:pt>
                <c:pt idx="3">
                  <c:v>0.25</c:v>
                </c:pt>
                <c:pt idx="4">
                  <c:v>1.25</c:v>
                </c:pt>
                <c:pt idx="5">
                  <c:v>2.5</c:v>
                </c:pt>
                <c:pt idx="6">
                  <c:v>0</c:v>
                </c:pt>
                <c:pt idx="7">
                  <c:v>0</c:v>
                </c:pt>
                <c:pt idx="8">
                  <c:v>0</c:v>
                </c:pt>
                <c:pt idx="9">
                  <c:v>0.125</c:v>
                </c:pt>
                <c:pt idx="10">
                  <c:v>0</c:v>
                </c:pt>
                <c:pt idx="11">
                  <c:v>1</c:v>
                </c:pt>
                <c:pt idx="12">
                  <c:v>0.75</c:v>
                </c:pt>
                <c:pt idx="13">
                  <c:v>1.875</c:v>
                </c:pt>
                <c:pt idx="14">
                  <c:v>2.25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0.375</c:v>
                </c:pt>
                <c:pt idx="1">
                  <c:v>1.25</c:v>
                </c:pt>
                <c:pt idx="2">
                  <c:v>0.75</c:v>
                </c:pt>
                <c:pt idx="3">
                  <c:v>0.25</c:v>
                </c:pt>
                <c:pt idx="4">
                  <c:v>1.25</c:v>
                </c:pt>
                <c:pt idx="5">
                  <c:v>2.5</c:v>
                </c:pt>
                <c:pt idx="6">
                  <c:v>0</c:v>
                </c:pt>
                <c:pt idx="7">
                  <c:v>0</c:v>
                </c:pt>
                <c:pt idx="8">
                  <c:v>0</c:v>
                </c:pt>
                <c:pt idx="9">
                  <c:v>0.125</c:v>
                </c:pt>
                <c:pt idx="10">
                  <c:v>0</c:v>
                </c:pt>
                <c:pt idx="11">
                  <c:v>1</c:v>
                </c:pt>
                <c:pt idx="12">
                  <c:v>0.75</c:v>
                </c:pt>
                <c:pt idx="13">
                  <c:v>1.875</c:v>
                </c:pt>
                <c:pt idx="14">
                  <c:v>2.25</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0.375</c:v>
                </c:pt>
                <c:pt idx="1">
                  <c:v>1.25</c:v>
                </c:pt>
                <c:pt idx="2">
                  <c:v>0.75</c:v>
                </c:pt>
                <c:pt idx="3">
                  <c:v>0.25</c:v>
                </c:pt>
                <c:pt idx="4">
                  <c:v>1.25</c:v>
                </c:pt>
                <c:pt idx="5">
                  <c:v>2.5</c:v>
                </c:pt>
                <c:pt idx="6">
                  <c:v>0</c:v>
                </c:pt>
                <c:pt idx="7">
                  <c:v>0</c:v>
                </c:pt>
                <c:pt idx="8">
                  <c:v>0</c:v>
                </c:pt>
                <c:pt idx="9">
                  <c:v>0.125</c:v>
                </c:pt>
                <c:pt idx="10">
                  <c:v>0</c:v>
                </c:pt>
                <c:pt idx="11">
                  <c:v>1</c:v>
                </c:pt>
                <c:pt idx="12">
                  <c:v>0.75</c:v>
                </c:pt>
                <c:pt idx="13">
                  <c:v>1.875</c:v>
                </c:pt>
                <c:pt idx="14">
                  <c:v>2.25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0.375</c:v>
                </c:pt>
                <c:pt idx="1">
                  <c:v>1.25</c:v>
                </c:pt>
                <c:pt idx="2">
                  <c:v>0.75</c:v>
                </c:pt>
                <c:pt idx="3">
                  <c:v>0.25</c:v>
                </c:pt>
                <c:pt idx="4">
                  <c:v>1.25</c:v>
                </c:pt>
                <c:pt idx="5">
                  <c:v>2.5</c:v>
                </c:pt>
                <c:pt idx="6">
                  <c:v>0</c:v>
                </c:pt>
                <c:pt idx="7">
                  <c:v>0</c:v>
                </c:pt>
                <c:pt idx="8">
                  <c:v>0</c:v>
                </c:pt>
                <c:pt idx="9">
                  <c:v>0.125</c:v>
                </c:pt>
                <c:pt idx="10">
                  <c:v>0</c:v>
                </c:pt>
                <c:pt idx="11">
                  <c:v>1</c:v>
                </c:pt>
                <c:pt idx="12">
                  <c:v>0.75</c:v>
                </c:pt>
                <c:pt idx="13">
                  <c:v>1.875</c:v>
                </c:pt>
                <c:pt idx="14">
                  <c:v>2.25</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0.25</c:v>
                </c:pt>
                <c:pt idx="1">
                  <c:v>1.25</c:v>
                </c:pt>
                <c:pt idx="2">
                  <c:v>0.75</c:v>
                </c:pt>
                <c:pt idx="3">
                  <c:v>0.25</c:v>
                </c:pt>
                <c:pt idx="4">
                  <c:v>1.25</c:v>
                </c:pt>
                <c:pt idx="5">
                  <c:v>2.5</c:v>
                </c:pt>
                <c:pt idx="6">
                  <c:v>0.5</c:v>
                </c:pt>
                <c:pt idx="7">
                  <c:v>1.75</c:v>
                </c:pt>
                <c:pt idx="8">
                  <c:v>0.5</c:v>
                </c:pt>
                <c:pt idx="9">
                  <c:v>0.125</c:v>
                </c:pt>
                <c:pt idx="10">
                  <c:v>0</c:v>
                </c:pt>
                <c:pt idx="11">
                  <c:v>1</c:v>
                </c:pt>
                <c:pt idx="12">
                  <c:v>0.75</c:v>
                </c:pt>
                <c:pt idx="13">
                  <c:v>1.875</c:v>
                </c:pt>
                <c:pt idx="14">
                  <c:v>2.25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0.375</c:v>
                </c:pt>
                <c:pt idx="1">
                  <c:v>1.25</c:v>
                </c:pt>
                <c:pt idx="2">
                  <c:v>0.75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0.25</c:v>
                </c:pt>
                <c:pt idx="4">
                  <c:v>1.25</c:v>
                </c:pt>
                <c:pt idx="5">
                  <c:v>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0.125</c:v>
                </c:pt>
                <c:pt idx="10">
                  <c:v>0</c:v>
                </c:pt>
                <c:pt idx="11">
                  <c:v>1</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1.875</c:v>
                </c:pt>
                <c:pt idx="14">
                  <c:v>2.25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1.75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0.375</c:v>
                </c:pt>
                <c:pt idx="1">
                  <c:v>1.25</c:v>
                </c:pt>
                <c:pt idx="2">
                  <c:v>0.75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0.25</c:v>
                </c:pt>
                <c:pt idx="4">
                  <c:v>1.25</c:v>
                </c:pt>
                <c:pt idx="5">
                  <c:v>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0.125</c:v>
                </c:pt>
                <c:pt idx="10">
                  <c:v>0</c:v>
                </c:pt>
                <c:pt idx="11">
                  <c:v>1</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1.875</c:v>
                </c:pt>
                <c:pt idx="14">
                  <c:v>2.25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0.375</c:v>
                </c:pt>
                <c:pt idx="1">
                  <c:v>1.25</c:v>
                </c:pt>
                <c:pt idx="2">
                  <c:v>0.75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0.25</c:v>
                </c:pt>
                <c:pt idx="4">
                  <c:v>1.25</c:v>
                </c:pt>
                <c:pt idx="5">
                  <c:v>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0.125</c:v>
                </c:pt>
                <c:pt idx="10">
                  <c:v>0</c:v>
                </c:pt>
                <c:pt idx="11">
                  <c:v>1</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1.875</c:v>
                </c:pt>
                <c:pt idx="14">
                  <c:v>2.25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0.375</c:v>
                </c:pt>
                <c:pt idx="1">
                  <c:v>1.25</c:v>
                </c:pt>
                <c:pt idx="2">
                  <c:v>0.75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0.25</c:v>
                </c:pt>
                <c:pt idx="4">
                  <c:v>1.25</c:v>
                </c:pt>
                <c:pt idx="5">
                  <c:v>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0.125</c:v>
                </c:pt>
                <c:pt idx="10">
                  <c:v>0</c:v>
                </c:pt>
                <c:pt idx="11">
                  <c:v>1</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1.875</c:v>
                </c:pt>
                <c:pt idx="14">
                  <c:v>2.25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0.25</c:v>
                </c:pt>
                <c:pt idx="1">
                  <c:v>0.375</c:v>
                </c:pt>
                <c:pt idx="2" formatCode="General">
                  <c:v>0.375</c:v>
                </c:pt>
                <c:pt idx="3">
                  <c:v>0.375</c:v>
                </c:pt>
                <c:pt idx="4" formatCode="General">
                  <c:v>0.375</c:v>
                </c:pt>
                <c:pt idx="5">
                  <c:v>0.375</c:v>
                </c:pt>
                <c:pt idx="6" formatCode="General">
                  <c:v>0.375</c:v>
                </c:pt>
                <c:pt idx="7">
                  <c:v>0.375</c:v>
                </c:pt>
                <c:pt idx="8" formatCode="General">
                  <c:v>0.375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1.25</c:v>
                </c:pt>
                <c:pt idx="1">
                  <c:v>1.25</c:v>
                </c:pt>
                <c:pt idx="2" formatCode="General">
                  <c:v>1.25</c:v>
                </c:pt>
                <c:pt idx="3">
                  <c:v>1.25</c:v>
                </c:pt>
                <c:pt idx="4" formatCode="General">
                  <c:v>1.25</c:v>
                </c:pt>
                <c:pt idx="5">
                  <c:v>1.25</c:v>
                </c:pt>
                <c:pt idx="6" formatCode="General">
                  <c:v>1.25</c:v>
                </c:pt>
                <c:pt idx="7">
                  <c:v>1.25</c:v>
                </c:pt>
                <c:pt idx="8" formatCode="General">
                  <c:v>1.25</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0.75</c:v>
                </c:pt>
                <c:pt idx="1">
                  <c:v>0.75</c:v>
                </c:pt>
                <c:pt idx="2" formatCode="General">
                  <c:v>0.75</c:v>
                </c:pt>
                <c:pt idx="3">
                  <c:v>0.75</c:v>
                </c:pt>
                <c:pt idx="4" formatCode="General">
                  <c:v>0.75</c:v>
                </c:pt>
                <c:pt idx="5">
                  <c:v>0.75</c:v>
                </c:pt>
                <c:pt idx="6" formatCode="General">
                  <c:v>0.75</c:v>
                </c:pt>
                <c:pt idx="7">
                  <c:v>0.75</c:v>
                </c:pt>
                <c:pt idx="8" formatCode="General">
                  <c:v>0.75</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56" bestFit="1" customWidth="1"/>
    <col min="2" max="2" width="100.5" style="56" customWidth="1"/>
    <col min="3" max="16384" width="8.83203125" style="56"/>
  </cols>
  <sheetData>
    <row r="1" spans="1:2" s="54" customFormat="1" ht="25" x14ac:dyDescent="0.25">
      <c r="A1" s="53" t="s">
        <v>429</v>
      </c>
      <c r="B1" s="53"/>
    </row>
    <row r="2" spans="1:2" x14ac:dyDescent="0.15">
      <c r="A2" s="55"/>
      <c r="B2" s="55"/>
    </row>
    <row r="3" spans="1:2" x14ac:dyDescent="0.15">
      <c r="A3" s="55" t="s">
        <v>6</v>
      </c>
      <c r="B3" s="276" t="s">
        <v>436</v>
      </c>
    </row>
    <row r="4" spans="1:2" x14ac:dyDescent="0.15">
      <c r="A4" s="55"/>
      <c r="B4" s="55"/>
    </row>
    <row r="5" spans="1:2" ht="42" x14ac:dyDescent="0.15">
      <c r="A5" s="55" t="s">
        <v>7</v>
      </c>
      <c r="B5" s="57" t="s">
        <v>430</v>
      </c>
    </row>
    <row r="7" spans="1:2" x14ac:dyDescent="0.15">
      <c r="A7" s="55" t="s">
        <v>9</v>
      </c>
      <c r="B7" s="55" t="s">
        <v>434</v>
      </c>
    </row>
    <row r="8" spans="1:2" ht="42" x14ac:dyDescent="0.15">
      <c r="A8" s="55"/>
      <c r="B8" s="57" t="s">
        <v>10</v>
      </c>
    </row>
    <row r="35" spans="1:2" x14ac:dyDescent="0.15">
      <c r="A35" s="55" t="s">
        <v>99</v>
      </c>
      <c r="B35" s="55" t="s">
        <v>435</v>
      </c>
    </row>
    <row r="36" spans="1:2" x14ac:dyDescent="0.15">
      <c r="A36" s="55" t="s">
        <v>28</v>
      </c>
      <c r="B36" s="55" t="s">
        <v>431</v>
      </c>
    </row>
    <row r="37" spans="1:2" x14ac:dyDescent="0.15">
      <c r="A37" s="55" t="s">
        <v>8</v>
      </c>
      <c r="B37" s="55" t="s">
        <v>437</v>
      </c>
    </row>
    <row r="39" spans="1:2" x14ac:dyDescent="0.15">
      <c r="A39" s="55" t="s">
        <v>99</v>
      </c>
      <c r="B39" s="55" t="s">
        <v>103</v>
      </c>
    </row>
    <row r="40" spans="1:2" x14ac:dyDescent="0.15">
      <c r="A40" s="55" t="s">
        <v>28</v>
      </c>
      <c r="B40" s="55" t="s">
        <v>104</v>
      </c>
    </row>
    <row r="41" spans="1:2" x14ac:dyDescent="0.15">
      <c r="A41" s="55"/>
      <c r="B41" s="55"/>
    </row>
    <row r="42" spans="1:2" x14ac:dyDescent="0.15">
      <c r="A42" s="55" t="s">
        <v>99</v>
      </c>
      <c r="B42" s="55" t="s">
        <v>105</v>
      </c>
    </row>
    <row r="43" spans="1:2" x14ac:dyDescent="0.15">
      <c r="A43" s="55" t="s">
        <v>51</v>
      </c>
      <c r="B43" s="55" t="s">
        <v>100</v>
      </c>
    </row>
    <row r="44" spans="1:2" x14ac:dyDescent="0.15">
      <c r="A44" s="55" t="s">
        <v>8</v>
      </c>
      <c r="B44" s="55" t="s">
        <v>52</v>
      </c>
    </row>
    <row r="45" spans="1:2" x14ac:dyDescent="0.15">
      <c r="A45" s="55"/>
      <c r="B45" s="55"/>
    </row>
    <row r="46" spans="1:2" x14ac:dyDescent="0.15">
      <c r="A46" s="55" t="s">
        <v>99</v>
      </c>
      <c r="B46" s="55" t="s">
        <v>106</v>
      </c>
    </row>
    <row r="47" spans="1:2" x14ac:dyDescent="0.15">
      <c r="A47" s="55" t="s">
        <v>101</v>
      </c>
      <c r="B47" s="55" t="s">
        <v>102</v>
      </c>
    </row>
    <row r="48" spans="1:2" x14ac:dyDescent="0.15">
      <c r="A48" s="55" t="s">
        <v>8</v>
      </c>
      <c r="B48" s="55"/>
    </row>
    <row r="49" spans="1:3" x14ac:dyDescent="0.15">
      <c r="A49" s="55"/>
      <c r="B49" s="55"/>
    </row>
    <row r="50" spans="1:3" ht="28" x14ac:dyDescent="0.15">
      <c r="A50" s="58" t="s">
        <v>53</v>
      </c>
      <c r="B50" s="59" t="s">
        <v>54</v>
      </c>
      <c r="C50" s="60"/>
    </row>
    <row r="51" spans="1:3" x14ac:dyDescent="0.15">
      <c r="A51" s="58"/>
      <c r="B51" s="58" t="s">
        <v>433</v>
      </c>
      <c r="C51" s="60"/>
    </row>
    <row r="52" spans="1:3" x14ac:dyDescent="0.15">
      <c r="A52" s="58"/>
      <c r="B52" s="126" t="s">
        <v>432</v>
      </c>
      <c r="C52" s="60"/>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33"/>
  <sheetViews>
    <sheetView tabSelected="1" topLeftCell="B1" zoomScale="115" zoomScaleNormal="115" workbookViewId="0">
      <selection activeCell="D15" sqref="D15"/>
    </sheetView>
  </sheetViews>
  <sheetFormatPr baseColWidth="10" defaultColWidth="8.83203125" defaultRowHeight="14" x14ac:dyDescent="0.15"/>
  <cols>
    <col min="1" max="1" width="10.33203125" style="22" hidden="1" customWidth="1"/>
    <col min="2" max="2" width="13.5" customWidth="1"/>
    <col min="3" max="3" width="7.33203125" style="135" customWidth="1"/>
    <col min="4" max="4" width="107.83203125" style="132" customWidth="1"/>
    <col min="5" max="5" width="5.1640625" style="147" hidden="1" customWidth="1"/>
    <col min="6" max="6" width="33.33203125" style="26" customWidth="1"/>
    <col min="7" max="7" width="8.6640625" style="22" hidden="1" customWidth="1"/>
    <col min="8" max="8" width="8.6640625" style="116" hidden="1" customWidth="1"/>
    <col min="9" max="9" width="48.6640625" customWidth="1"/>
    <col min="10" max="10" width="15" style="12" hidden="1" customWidth="1"/>
    <col min="11" max="11" width="26" customWidth="1"/>
    <col min="12" max="12" width="33.1640625" customWidth="1"/>
    <col min="13" max="13" width="35.33203125" customWidth="1"/>
    <col min="14" max="14" width="25.6640625" customWidth="1"/>
    <col min="15" max="15" width="28.6640625" customWidth="1"/>
    <col min="16" max="25" width="15" bestFit="1" customWidth="1"/>
  </cols>
  <sheetData>
    <row r="1" spans="1:25" ht="18" x14ac:dyDescent="0.2">
      <c r="A1"/>
      <c r="B1" s="513" t="str">
        <f>CONCATENATE("SAMM Assessment Interview: ",D11," For ",D10)</f>
        <v>SAMM Assessment Interview:  For COMPANY</v>
      </c>
      <c r="C1" s="513"/>
      <c r="D1" s="513"/>
      <c r="E1" s="513"/>
      <c r="F1" s="513"/>
      <c r="G1" s="513"/>
      <c r="H1" s="513"/>
      <c r="I1" s="513"/>
      <c r="J1" s="10"/>
      <c r="K1" s="1"/>
      <c r="L1" s="1"/>
      <c r="M1" s="1"/>
      <c r="N1" s="1"/>
      <c r="O1" s="1"/>
      <c r="P1" s="1"/>
      <c r="Q1" s="1"/>
      <c r="R1" s="1"/>
      <c r="S1" s="1"/>
      <c r="T1" s="1"/>
      <c r="U1" s="1"/>
      <c r="V1" s="1"/>
      <c r="W1" s="1"/>
      <c r="X1" s="1"/>
      <c r="Y1" s="1"/>
    </row>
    <row r="2" spans="1:25" ht="15" thickBot="1" x14ac:dyDescent="0.2">
      <c r="A2"/>
      <c r="B2" s="1"/>
      <c r="C2" s="134"/>
      <c r="D2" s="1"/>
      <c r="E2" s="19"/>
      <c r="F2" s="23"/>
      <c r="G2" s="19"/>
      <c r="H2" s="105"/>
      <c r="I2" s="9"/>
      <c r="J2" s="10"/>
      <c r="K2" s="1"/>
      <c r="L2" s="1"/>
      <c r="M2" s="1"/>
      <c r="N2" s="1"/>
      <c r="O2" s="1"/>
      <c r="P2" s="1"/>
      <c r="Q2" s="1"/>
      <c r="R2" s="1"/>
      <c r="S2" s="1"/>
      <c r="T2" s="1"/>
      <c r="U2" s="1"/>
      <c r="V2" s="1"/>
      <c r="W2" s="1"/>
      <c r="X2" s="1"/>
      <c r="Y2" s="1"/>
    </row>
    <row r="3" spans="1:25" x14ac:dyDescent="0.15">
      <c r="A3"/>
      <c r="B3" s="514" t="s">
        <v>11</v>
      </c>
      <c r="C3" s="515"/>
      <c r="D3" s="515"/>
      <c r="E3" s="515"/>
      <c r="F3" s="515"/>
      <c r="G3" s="515"/>
      <c r="H3" s="515"/>
      <c r="I3" s="516"/>
      <c r="J3" s="10"/>
      <c r="K3" s="1"/>
      <c r="M3" s="1"/>
      <c r="N3" s="1"/>
      <c r="O3" s="1"/>
      <c r="P3" s="1"/>
      <c r="Q3" s="1"/>
      <c r="R3" s="1"/>
      <c r="S3" s="1"/>
      <c r="T3" s="1"/>
      <c r="U3" s="1"/>
      <c r="V3" s="1"/>
      <c r="W3" s="1"/>
      <c r="X3" s="1"/>
      <c r="Y3" s="1"/>
    </row>
    <row r="4" spans="1:25" x14ac:dyDescent="0.15">
      <c r="A4"/>
      <c r="B4" s="517" t="s">
        <v>549</v>
      </c>
      <c r="C4" s="518"/>
      <c r="D4" s="518"/>
      <c r="E4" s="518"/>
      <c r="F4" s="518"/>
      <c r="G4" s="518"/>
      <c r="H4" s="518"/>
      <c r="I4" s="519"/>
      <c r="J4" s="10"/>
      <c r="L4" s="344" t="s">
        <v>533</v>
      </c>
      <c r="M4" s="344" t="s">
        <v>539</v>
      </c>
      <c r="N4" s="1"/>
      <c r="O4" s="1"/>
      <c r="P4" s="1"/>
      <c r="Q4" s="1"/>
      <c r="R4" s="1"/>
      <c r="S4" s="1"/>
      <c r="T4" s="1"/>
      <c r="U4" s="1"/>
      <c r="V4" s="1"/>
      <c r="W4" s="1"/>
      <c r="X4" s="1"/>
      <c r="Y4" s="1"/>
    </row>
    <row r="5" spans="1:25" x14ac:dyDescent="0.15">
      <c r="A5"/>
      <c r="B5" s="520" t="s">
        <v>557</v>
      </c>
      <c r="C5" s="521"/>
      <c r="D5" s="521"/>
      <c r="E5" s="521"/>
      <c r="F5" s="521"/>
      <c r="G5" s="521"/>
      <c r="H5" s="521"/>
      <c r="I5" s="522"/>
      <c r="J5" s="10"/>
      <c r="K5" s="1"/>
      <c r="L5" s="344" t="s">
        <v>534</v>
      </c>
      <c r="M5" s="344" t="s">
        <v>540</v>
      </c>
      <c r="N5" s="1"/>
      <c r="O5" s="1"/>
      <c r="P5" s="1"/>
      <c r="Q5" s="1"/>
      <c r="R5" s="1"/>
      <c r="S5" s="1"/>
      <c r="T5" s="1"/>
      <c r="U5" s="1"/>
      <c r="V5" s="1"/>
      <c r="W5" s="1"/>
      <c r="X5" s="1"/>
      <c r="Y5" s="1"/>
    </row>
    <row r="6" spans="1:25" x14ac:dyDescent="0.15">
      <c r="A6"/>
      <c r="B6" s="520" t="s">
        <v>551</v>
      </c>
      <c r="C6" s="521"/>
      <c r="D6" s="521"/>
      <c r="E6" s="521"/>
      <c r="F6" s="521"/>
      <c r="G6" s="521"/>
      <c r="H6" s="521"/>
      <c r="I6" s="522"/>
      <c r="J6" s="10"/>
      <c r="K6" s="1"/>
      <c r="L6" s="344" t="s">
        <v>535</v>
      </c>
      <c r="M6" s="344" t="s">
        <v>541</v>
      </c>
      <c r="N6" s="1"/>
      <c r="O6" s="1"/>
      <c r="P6" s="1"/>
      <c r="Q6" s="1"/>
      <c r="R6" s="1"/>
      <c r="S6" s="1"/>
      <c r="T6" s="1"/>
      <c r="U6" s="1"/>
      <c r="V6" s="1"/>
      <c r="W6" s="1"/>
      <c r="X6" s="1"/>
      <c r="Y6" s="1"/>
    </row>
    <row r="7" spans="1:25" x14ac:dyDescent="0.15">
      <c r="A7"/>
      <c r="B7" s="520" t="s">
        <v>547</v>
      </c>
      <c r="C7" s="521"/>
      <c r="D7" s="521"/>
      <c r="E7" s="521"/>
      <c r="F7" s="521"/>
      <c r="G7" s="521"/>
      <c r="H7" s="521"/>
      <c r="I7" s="522"/>
      <c r="J7" s="10"/>
      <c r="K7" s="1"/>
      <c r="L7" s="344" t="s">
        <v>536</v>
      </c>
      <c r="M7" s="344" t="s">
        <v>542</v>
      </c>
      <c r="N7" s="1"/>
      <c r="O7" s="1"/>
      <c r="P7" s="1"/>
      <c r="Q7" s="1"/>
      <c r="R7" s="1"/>
      <c r="S7" s="1"/>
      <c r="T7" s="1"/>
      <c r="U7" s="1"/>
      <c r="V7" s="1"/>
      <c r="W7" s="1"/>
      <c r="X7" s="1"/>
      <c r="Y7" s="1"/>
    </row>
    <row r="8" spans="1:25" ht="15" thickBot="1" x14ac:dyDescent="0.2">
      <c r="A8"/>
      <c r="B8" s="529" t="s">
        <v>550</v>
      </c>
      <c r="C8" s="530"/>
      <c r="D8" s="530"/>
      <c r="E8" s="530"/>
      <c r="F8" s="530"/>
      <c r="G8" s="530"/>
      <c r="H8" s="530"/>
      <c r="I8" s="531"/>
      <c r="J8" s="10"/>
      <c r="K8" s="1"/>
      <c r="M8" s="1"/>
      <c r="N8" s="1"/>
      <c r="O8" s="1"/>
      <c r="P8" s="1"/>
      <c r="Q8" s="1"/>
      <c r="R8" s="1"/>
      <c r="S8" s="1"/>
      <c r="T8" s="1"/>
      <c r="U8" s="1"/>
      <c r="V8" s="1"/>
      <c r="W8" s="1"/>
      <c r="X8" s="1"/>
      <c r="Y8" s="1"/>
    </row>
    <row r="9" spans="1:25" x14ac:dyDescent="0.15">
      <c r="A9"/>
      <c r="B9" s="1"/>
      <c r="C9" s="134"/>
      <c r="D9" s="1"/>
      <c r="E9" s="19"/>
      <c r="F9" s="23"/>
      <c r="G9" s="19"/>
      <c r="H9" s="105"/>
      <c r="I9" s="9"/>
      <c r="J9" s="10"/>
      <c r="K9" s="1"/>
      <c r="L9" s="1"/>
      <c r="M9" s="1"/>
      <c r="N9" s="1"/>
      <c r="O9" s="1"/>
      <c r="P9" s="1"/>
      <c r="Q9" s="1"/>
      <c r="R9" s="1"/>
      <c r="S9" s="1"/>
      <c r="T9" s="1"/>
      <c r="U9" s="1"/>
      <c r="V9" s="1"/>
      <c r="W9" s="1"/>
      <c r="X9" s="1"/>
      <c r="Y9" s="1"/>
    </row>
    <row r="10" spans="1:25" hidden="1" x14ac:dyDescent="0.15">
      <c r="A10"/>
      <c r="B10" s="532" t="s">
        <v>15</v>
      </c>
      <c r="C10" s="533"/>
      <c r="D10" s="14" t="s">
        <v>558</v>
      </c>
      <c r="E10" s="19"/>
      <c r="F10" s="23"/>
      <c r="G10" s="19"/>
      <c r="H10" s="105"/>
      <c r="I10" s="9"/>
      <c r="J10" s="10"/>
      <c r="K10" s="1"/>
      <c r="L10" s="1"/>
      <c r="M10" s="1"/>
      <c r="N10" s="1"/>
      <c r="O10" s="1"/>
      <c r="P10" s="1"/>
      <c r="Q10" s="1"/>
      <c r="R10" s="1"/>
      <c r="S10" s="1"/>
      <c r="T10" s="1"/>
      <c r="U10" s="1"/>
      <c r="V10" s="1"/>
      <c r="W10" s="1"/>
      <c r="X10" s="1"/>
      <c r="Y10" s="1"/>
    </row>
    <row r="11" spans="1:25" hidden="1" x14ac:dyDescent="0.15">
      <c r="A11"/>
      <c r="B11" s="523" t="s">
        <v>310</v>
      </c>
      <c r="C11" s="524"/>
      <c r="D11" s="15"/>
      <c r="E11" s="19"/>
      <c r="F11" s="23"/>
      <c r="G11" s="19"/>
      <c r="H11" s="105"/>
      <c r="I11" s="9"/>
      <c r="J11" s="10"/>
      <c r="K11" s="1"/>
      <c r="L11" s="1"/>
      <c r="M11" s="1"/>
      <c r="N11" s="1"/>
      <c r="O11" s="1"/>
      <c r="P11" s="1"/>
      <c r="Q11" s="1"/>
      <c r="R11" s="1"/>
      <c r="S11" s="1"/>
      <c r="T11" s="1"/>
      <c r="U11" s="1"/>
      <c r="V11" s="1"/>
      <c r="W11" s="1"/>
      <c r="X11" s="1"/>
      <c r="Y11" s="1"/>
    </row>
    <row r="12" spans="1:25" hidden="1" x14ac:dyDescent="0.15">
      <c r="A12"/>
      <c r="B12" s="523" t="s">
        <v>16</v>
      </c>
      <c r="C12" s="524"/>
      <c r="D12" s="16"/>
      <c r="E12" s="143"/>
      <c r="F12" s="23"/>
      <c r="G12" s="19"/>
      <c r="H12" s="105"/>
      <c r="I12" s="9"/>
      <c r="J12" s="10"/>
      <c r="K12" s="1"/>
      <c r="L12" s="1"/>
      <c r="M12" s="1"/>
      <c r="N12" s="1"/>
      <c r="O12" s="1"/>
      <c r="P12" s="1"/>
      <c r="Q12" s="1"/>
      <c r="R12" s="1"/>
      <c r="S12" s="1"/>
      <c r="T12" s="1"/>
      <c r="U12" s="1"/>
      <c r="V12" s="1"/>
      <c r="W12" s="1"/>
      <c r="X12" s="1"/>
      <c r="Y12" s="1"/>
    </row>
    <row r="13" spans="1:25" hidden="1" x14ac:dyDescent="0.15">
      <c r="A13"/>
      <c r="B13" s="523" t="s">
        <v>311</v>
      </c>
      <c r="C13" s="525"/>
      <c r="D13" s="15"/>
      <c r="E13" s="19"/>
      <c r="F13" s="23"/>
      <c r="G13" s="19"/>
      <c r="H13" s="105"/>
      <c r="I13" s="9"/>
      <c r="J13" s="10"/>
      <c r="K13" s="1"/>
      <c r="L13" s="1"/>
      <c r="M13" s="1"/>
      <c r="N13" s="1"/>
      <c r="O13" s="1"/>
      <c r="P13" s="1"/>
      <c r="Q13" s="1"/>
      <c r="R13" s="1"/>
      <c r="S13" s="1"/>
      <c r="T13" s="1"/>
      <c r="U13" s="1"/>
      <c r="V13" s="1"/>
      <c r="W13" s="1"/>
      <c r="X13" s="1"/>
      <c r="Y13" s="1"/>
    </row>
    <row r="14" spans="1:25" ht="48.75" customHeight="1" thickBot="1" x14ac:dyDescent="0.3">
      <c r="A14" s="168"/>
      <c r="B14" s="526" t="s">
        <v>544</v>
      </c>
      <c r="C14" s="527"/>
      <c r="D14" s="345" t="s">
        <v>556</v>
      </c>
      <c r="E14" s="121"/>
      <c r="F14" s="311" t="s">
        <v>545</v>
      </c>
      <c r="G14" s="342"/>
      <c r="H14" s="343"/>
      <c r="I14" s="433" t="s">
        <v>552</v>
      </c>
      <c r="J14" s="298"/>
      <c r="K14" s="299" t="s">
        <v>559</v>
      </c>
      <c r="L14" s="307" t="s">
        <v>538</v>
      </c>
      <c r="M14" s="307" t="s">
        <v>537</v>
      </c>
      <c r="N14" s="1"/>
      <c r="O14" s="1"/>
      <c r="P14" s="1"/>
      <c r="Q14" s="1"/>
      <c r="R14" s="1"/>
      <c r="S14" s="1"/>
      <c r="T14" s="1"/>
      <c r="U14" s="1"/>
      <c r="V14" s="1"/>
      <c r="W14" s="1"/>
      <c r="X14" s="1"/>
      <c r="Y14" s="1"/>
    </row>
    <row r="15" spans="1:25" x14ac:dyDescent="0.15">
      <c r="A15"/>
      <c r="B15" s="1"/>
      <c r="C15" s="134"/>
      <c r="D15" s="1"/>
      <c r="E15" s="19"/>
      <c r="F15" s="23"/>
      <c r="G15" s="19"/>
      <c r="H15" s="105"/>
      <c r="I15" s="9"/>
      <c r="J15" s="10"/>
      <c r="K15" s="1"/>
      <c r="L15" s="1"/>
      <c r="M15" s="1"/>
      <c r="N15" s="1"/>
      <c r="O15" s="1"/>
      <c r="P15" s="1"/>
      <c r="Q15" s="1"/>
      <c r="R15" s="1"/>
      <c r="S15" s="1"/>
      <c r="T15" s="1"/>
      <c r="U15" s="1"/>
      <c r="V15" s="1"/>
      <c r="W15" s="1"/>
      <c r="X15" s="1"/>
      <c r="Y15" s="1"/>
    </row>
    <row r="16" spans="1:25" ht="13" x14ac:dyDescent="0.15">
      <c r="A16"/>
      <c r="B16" s="534" t="s">
        <v>17</v>
      </c>
      <c r="C16" s="534"/>
      <c r="D16" s="534"/>
      <c r="E16" s="534"/>
      <c r="F16" s="534"/>
      <c r="G16" s="534"/>
      <c r="H16" s="534"/>
      <c r="I16" s="534"/>
      <c r="J16" s="535"/>
      <c r="K16" s="534"/>
      <c r="L16" s="534"/>
      <c r="M16" s="534"/>
      <c r="P16" s="1"/>
      <c r="Q16" s="1"/>
      <c r="R16" s="1"/>
      <c r="S16" s="1"/>
      <c r="T16" s="1"/>
      <c r="U16" s="1"/>
      <c r="V16" s="1"/>
      <c r="W16" s="1"/>
      <c r="X16" s="1"/>
      <c r="Y16" s="1"/>
    </row>
    <row r="17" spans="1:25" x14ac:dyDescent="0.15">
      <c r="B17" s="179" t="s">
        <v>312</v>
      </c>
      <c r="C17" s="178" t="s">
        <v>313</v>
      </c>
      <c r="D17" s="177" t="s">
        <v>18</v>
      </c>
      <c r="E17" s="136"/>
      <c r="F17" s="62" t="s">
        <v>31</v>
      </c>
      <c r="G17" s="62"/>
      <c r="H17" s="106"/>
      <c r="I17" s="63" t="s">
        <v>543</v>
      </c>
      <c r="J17" s="297" t="s">
        <v>29</v>
      </c>
      <c r="K17" s="179"/>
      <c r="L17" s="178"/>
      <c r="M17" s="177"/>
      <c r="P17" s="1"/>
      <c r="Q17" s="1"/>
      <c r="R17" s="1"/>
      <c r="S17" s="1"/>
      <c r="T17" s="1"/>
      <c r="U17" s="1"/>
      <c r="V17" s="1"/>
      <c r="W17" s="1"/>
      <c r="X17" s="1"/>
      <c r="Y17" s="1"/>
    </row>
    <row r="18" spans="1:25" x14ac:dyDescent="0.15">
      <c r="A18" s="142" t="s">
        <v>155</v>
      </c>
      <c r="B18" s="444" t="str">
        <f>VLOOKUP(A18,'imp-questions'!A:H,4,FALSE)</f>
        <v>Create and Promote</v>
      </c>
      <c r="C18" s="180">
        <f>VLOOKUP(A18,'imp-questions'!A:H,5,FALSE)</f>
        <v>1</v>
      </c>
      <c r="D18" s="176" t="str">
        <f>VLOOKUP(A18,'imp-questions'!A:H,6,FALSE)</f>
        <v>Do you understand the enterprise-wide risk appetite for your applications ?</v>
      </c>
      <c r="E18" s="144" t="str">
        <f>CHAR(65+VLOOKUP(A18,'imp-questions'!A:H,8,FALSE))</f>
        <v>Y</v>
      </c>
      <c r="F18" s="425" t="s">
        <v>465</v>
      </c>
      <c r="G18" s="152">
        <f>IFERROR(VLOOKUP(F18,AnsYTBL,2,FALSE),0)</f>
        <v>0.25</v>
      </c>
      <c r="H18" s="94">
        <f>IFERROR(AVERAGE(G18,G25),0)</f>
        <v>0.125</v>
      </c>
      <c r="I18" s="467"/>
      <c r="J18" s="537">
        <f>SUM(H18,H20,H22)</f>
        <v>0.25</v>
      </c>
      <c r="K18" s="546"/>
      <c r="L18" s="550" t="s">
        <v>534</v>
      </c>
      <c r="M18" s="553" t="s">
        <v>541</v>
      </c>
      <c r="N18" s="121"/>
      <c r="O18" s="121"/>
      <c r="P18" s="1"/>
      <c r="Q18" s="1"/>
      <c r="R18" s="1"/>
      <c r="S18" s="1"/>
      <c r="T18" s="1"/>
      <c r="U18" s="1"/>
      <c r="V18" s="1"/>
      <c r="W18" s="1"/>
      <c r="X18" s="1"/>
      <c r="Y18" s="1"/>
    </row>
    <row r="19" spans="1:25" ht="59" customHeight="1" x14ac:dyDescent="0.15">
      <c r="B19" s="445"/>
      <c r="C19" s="133"/>
      <c r="D19" s="159"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49"/>
      <c r="F19" s="148"/>
      <c r="G19" s="150"/>
      <c r="H19" s="151"/>
      <c r="I19" s="468"/>
      <c r="J19" s="538"/>
      <c r="K19" s="547"/>
      <c r="L19" s="551"/>
      <c r="M19" s="554"/>
      <c r="N19" s="121"/>
      <c r="O19" s="121"/>
      <c r="P19" s="1"/>
      <c r="Q19" s="1"/>
      <c r="R19" s="1"/>
      <c r="S19" s="1"/>
      <c r="T19" s="1"/>
      <c r="U19" s="1"/>
      <c r="V19" s="1"/>
      <c r="W19" s="1"/>
      <c r="X19" s="1"/>
      <c r="Y19" s="1"/>
    </row>
    <row r="20" spans="1:25" x14ac:dyDescent="0.15">
      <c r="A20" s="142" t="s">
        <v>157</v>
      </c>
      <c r="B20" s="445"/>
      <c r="C20" s="180">
        <f>VLOOKUP(A20,'imp-questions'!A:H,5,FALSE)</f>
        <v>2</v>
      </c>
      <c r="D20" s="176" t="str">
        <f>VLOOKUP(A20,'imp-questions'!A:H,6,FALSE)</f>
        <v>Do you have a strategic plan for application security and use it to make decisions?</v>
      </c>
      <c r="E20" s="146" t="str">
        <f>CHAR(65+VLOOKUP(A20,'imp-questions'!A:H,8,FALSE))</f>
        <v>V</v>
      </c>
      <c r="F20" s="426" t="s">
        <v>27</v>
      </c>
      <c r="G20" s="17">
        <f>IFERROR(VLOOKUP(F20,AnsVTBL,2,FALSE),0)</f>
        <v>0</v>
      </c>
      <c r="H20" s="95">
        <f>IFERROR(AVERAGE(G20,G27),0)</f>
        <v>0.125</v>
      </c>
      <c r="I20" s="467"/>
      <c r="J20" s="11"/>
      <c r="K20" s="546"/>
      <c r="L20" s="551"/>
      <c r="M20" s="554"/>
      <c r="N20" s="121"/>
      <c r="O20" s="121"/>
      <c r="P20" s="1"/>
      <c r="Q20" s="1"/>
      <c r="R20" s="1"/>
      <c r="S20" s="1"/>
      <c r="T20" s="1"/>
      <c r="U20" s="1"/>
      <c r="V20" s="1"/>
      <c r="W20" s="1"/>
      <c r="X20" s="1"/>
      <c r="Y20" s="1"/>
    </row>
    <row r="21" spans="1:25" ht="72" customHeight="1" x14ac:dyDescent="0.15">
      <c r="B21" s="445"/>
      <c r="C21" s="153"/>
      <c r="D21" s="159"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49"/>
      <c r="F21" s="154"/>
      <c r="G21" s="150"/>
      <c r="H21" s="155"/>
      <c r="I21" s="540"/>
      <c r="J21" s="11"/>
      <c r="K21" s="548"/>
      <c r="L21" s="551"/>
      <c r="M21" s="554"/>
      <c r="N21" s="121"/>
      <c r="O21" s="121"/>
      <c r="P21" s="1"/>
      <c r="Q21" s="1"/>
      <c r="R21" s="1"/>
      <c r="S21" s="1"/>
      <c r="T21" s="1"/>
      <c r="U21" s="1"/>
      <c r="V21" s="1"/>
      <c r="W21" s="1"/>
      <c r="X21" s="1"/>
      <c r="Y21" s="1"/>
    </row>
    <row r="22" spans="1:25" x14ac:dyDescent="0.15">
      <c r="A22" s="142" t="s">
        <v>158</v>
      </c>
      <c r="B22" s="445"/>
      <c r="C22" s="180">
        <f>VLOOKUP(A22,'imp-questions'!A:H,5,FALSE)</f>
        <v>3</v>
      </c>
      <c r="D22" s="176" t="str">
        <f>VLOOKUP(A22,'imp-questions'!A:H,6,FALSE)</f>
        <v>Do you regularly review and update the Strategic Plan for Application Security?</v>
      </c>
      <c r="E22" s="146" t="str">
        <f>CHAR(65+VLOOKUP(A22,'imp-questions'!A:H,8,FALSE))</f>
        <v>N</v>
      </c>
      <c r="F22" s="426" t="s">
        <v>27</v>
      </c>
      <c r="G22" s="17">
        <f>IFERROR(VLOOKUP(F22,AnsNTBL,2,FALSE),0)</f>
        <v>0</v>
      </c>
      <c r="H22" s="95">
        <f>IFERROR(AVERAGE(G22,G29),0)</f>
        <v>0</v>
      </c>
      <c r="I22" s="467"/>
      <c r="J22" s="11"/>
      <c r="K22" s="546"/>
      <c r="L22" s="551"/>
      <c r="M22" s="554"/>
      <c r="N22" s="121"/>
      <c r="O22" s="121"/>
      <c r="P22" s="1"/>
      <c r="Q22" s="1"/>
      <c r="R22" s="1"/>
      <c r="S22" s="1"/>
      <c r="T22" s="1"/>
      <c r="U22" s="1"/>
      <c r="V22" s="1"/>
      <c r="W22" s="1"/>
      <c r="X22" s="1"/>
      <c r="Y22" s="1"/>
    </row>
    <row r="23" spans="1:25" ht="60" customHeight="1" x14ac:dyDescent="0.15">
      <c r="B23" s="446"/>
      <c r="C23" s="133"/>
      <c r="D23" s="167"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45"/>
      <c r="F23" s="24"/>
      <c r="G23" s="20"/>
      <c r="H23" s="108"/>
      <c r="I23" s="468"/>
      <c r="J23" s="300"/>
      <c r="K23" s="547"/>
      <c r="L23" s="552"/>
      <c r="M23" s="555"/>
      <c r="N23" s="121"/>
      <c r="O23" s="121"/>
      <c r="P23" s="1"/>
      <c r="Q23" s="1"/>
      <c r="R23" s="1"/>
      <c r="S23" s="1"/>
      <c r="T23" s="1"/>
      <c r="U23" s="1"/>
      <c r="V23" s="1"/>
      <c r="W23" s="1"/>
      <c r="X23" s="1"/>
      <c r="Y23" s="1"/>
    </row>
    <row r="24" spans="1:25" x14ac:dyDescent="0.15">
      <c r="B24" s="305"/>
      <c r="C24" s="306"/>
      <c r="D24" s="306"/>
      <c r="E24" s="306"/>
      <c r="F24" s="306"/>
      <c r="G24" s="306"/>
      <c r="H24" s="306"/>
      <c r="I24" s="349"/>
      <c r="J24" s="350"/>
      <c r="K24" s="349"/>
      <c r="L24" s="349"/>
      <c r="M24" s="351"/>
      <c r="N24" s="121"/>
      <c r="O24" s="121"/>
      <c r="P24" s="1"/>
      <c r="Q24" s="1"/>
      <c r="R24" s="1"/>
      <c r="S24" s="1"/>
      <c r="T24" s="1"/>
      <c r="U24" s="1"/>
      <c r="V24" s="1"/>
      <c r="W24" s="1"/>
      <c r="X24" s="1"/>
      <c r="Y24" s="1"/>
    </row>
    <row r="25" spans="1:25" ht="28" x14ac:dyDescent="0.15">
      <c r="A25" s="142" t="s">
        <v>160</v>
      </c>
      <c r="B25" s="446" t="str">
        <f>VLOOKUP(A25,'imp-questions'!A:H,4,FALSE)</f>
        <v>Measure and Improve</v>
      </c>
      <c r="C25" s="301">
        <f>VLOOKUP(A25,'imp-questions'!A:H,5,FALSE)</f>
        <v>1</v>
      </c>
      <c r="D25" s="302" t="str">
        <f>VLOOKUP(A25,'imp-questions'!A:H,6,FALSE)</f>
        <v>Do you use a set of metrics to measure the effectiveness and efficiency of the application security program across applications?</v>
      </c>
      <c r="E25" s="146" t="str">
        <f>CHAR(65+VLOOKUP(A25,'imp-questions'!A:H,8,FALSE))</f>
        <v>K</v>
      </c>
      <c r="F25" s="427" t="s">
        <v>27</v>
      </c>
      <c r="G25" s="303">
        <f>IFERROR(VLOOKUP(F25,AnsKTBL,2,FALSE),0)</f>
        <v>0</v>
      </c>
      <c r="H25" s="304"/>
      <c r="I25" s="528"/>
      <c r="J25" s="300"/>
      <c r="K25" s="549"/>
      <c r="L25" s="550" t="s">
        <v>534</v>
      </c>
      <c r="M25" s="553" t="s">
        <v>541</v>
      </c>
      <c r="N25" s="121"/>
      <c r="O25" s="121"/>
      <c r="P25" s="1"/>
      <c r="Q25" s="1"/>
      <c r="R25" s="1"/>
      <c r="S25" s="1"/>
      <c r="T25" s="1"/>
      <c r="U25" s="1"/>
      <c r="V25" s="1"/>
      <c r="W25" s="1"/>
      <c r="X25" s="1"/>
      <c r="Y25" s="1"/>
    </row>
    <row r="26" spans="1:25" ht="71" customHeight="1" x14ac:dyDescent="0.15">
      <c r="B26" s="445"/>
      <c r="C26" s="133"/>
      <c r="D26" s="167"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45"/>
      <c r="F26" s="154"/>
      <c r="G26" s="150"/>
      <c r="H26" s="155"/>
      <c r="I26" s="468"/>
      <c r="J26" s="11"/>
      <c r="K26" s="547"/>
      <c r="L26" s="551"/>
      <c r="M26" s="554"/>
      <c r="N26" s="121"/>
      <c r="O26" s="121"/>
      <c r="P26" s="1"/>
      <c r="Q26" s="1"/>
      <c r="R26" s="1"/>
      <c r="S26" s="1"/>
      <c r="T26" s="1"/>
      <c r="U26" s="1"/>
      <c r="V26" s="1"/>
      <c r="W26" s="1"/>
      <c r="X26" s="1"/>
      <c r="Y26" s="1"/>
    </row>
    <row r="27" spans="1:25" x14ac:dyDescent="0.15">
      <c r="A27" s="142" t="s">
        <v>162</v>
      </c>
      <c r="B27" s="445"/>
      <c r="C27" s="180">
        <f>VLOOKUP(A27,'imp-questions'!A:H,5,FALSE)</f>
        <v>2</v>
      </c>
      <c r="D27" s="176" t="str">
        <f>VLOOKUP(A27,'imp-questions'!A:H,6,FALSE)</f>
        <v>Did you define Key Perfomance Indicators (KPI) from available application security metrics?</v>
      </c>
      <c r="E27" s="144" t="str">
        <f>CHAR(65+VLOOKUP(A27,'imp-questions'!A:H,8,FALSE))</f>
        <v>B</v>
      </c>
      <c r="F27" s="426" t="s">
        <v>440</v>
      </c>
      <c r="G27" s="17">
        <f>IFERROR(VLOOKUP(F27,AnsBTBL,2,FALSE),0)</f>
        <v>0.25</v>
      </c>
      <c r="H27" s="95"/>
      <c r="I27" s="467"/>
      <c r="J27" s="11"/>
      <c r="K27" s="546"/>
      <c r="L27" s="551"/>
      <c r="M27" s="554"/>
      <c r="N27" s="121"/>
      <c r="O27" s="121"/>
      <c r="P27" s="1"/>
      <c r="Q27" s="1"/>
      <c r="R27" s="1"/>
      <c r="S27" s="1"/>
      <c r="T27" s="1"/>
      <c r="U27" s="1"/>
      <c r="V27" s="1"/>
      <c r="W27" s="1"/>
      <c r="X27" s="1"/>
      <c r="Y27" s="1"/>
    </row>
    <row r="28" spans="1:25" ht="60" customHeight="1" x14ac:dyDescent="0.15">
      <c r="B28" s="445"/>
      <c r="C28" s="153"/>
      <c r="D28" s="159"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49"/>
      <c r="F28" s="154"/>
      <c r="G28" s="150"/>
      <c r="H28" s="155"/>
      <c r="I28" s="468"/>
      <c r="J28" s="11"/>
      <c r="K28" s="547"/>
      <c r="L28" s="551"/>
      <c r="M28" s="554"/>
      <c r="N28" s="121"/>
      <c r="O28" s="121"/>
      <c r="P28" s="1"/>
      <c r="Q28" s="1"/>
      <c r="R28" s="1"/>
      <c r="S28" s="1"/>
      <c r="T28" s="1"/>
      <c r="U28" s="1"/>
      <c r="V28" s="1"/>
      <c r="W28" s="1"/>
      <c r="X28" s="1"/>
      <c r="Y28" s="1"/>
    </row>
    <row r="29" spans="1:25" x14ac:dyDescent="0.15">
      <c r="A29" s="142" t="s">
        <v>164</v>
      </c>
      <c r="B29" s="445"/>
      <c r="C29" s="180">
        <f>VLOOKUP(A29,'imp-questions'!A:H,5,FALSE)</f>
        <v>3</v>
      </c>
      <c r="D29" s="176" t="str">
        <f>VLOOKUP(A29,'imp-questions'!A:H,6,FALSE)</f>
        <v>Do you update the Application Security strategy and roadmap based on application security metrics and KPIs?</v>
      </c>
      <c r="E29" s="144" t="str">
        <f>CHAR(65+VLOOKUP(A29,'imp-questions'!A:H,8,FALSE))</f>
        <v>N</v>
      </c>
      <c r="F29" s="426" t="s">
        <v>27</v>
      </c>
      <c r="G29" s="17">
        <f>IFERROR(VLOOKUP(F29,AnsNTBL,2,FALSE),0)</f>
        <v>0</v>
      </c>
      <c r="H29" s="95"/>
      <c r="I29" s="467"/>
      <c r="J29" s="11"/>
      <c r="K29" s="546"/>
      <c r="L29" s="551"/>
      <c r="M29" s="554"/>
      <c r="N29" s="121"/>
      <c r="O29" s="121"/>
      <c r="P29" s="1"/>
      <c r="Q29" s="1"/>
      <c r="R29" s="1"/>
      <c r="S29" s="1"/>
      <c r="T29" s="1"/>
      <c r="U29" s="1"/>
      <c r="V29" s="1"/>
      <c r="W29" s="1"/>
      <c r="X29" s="1"/>
      <c r="Y29" s="1"/>
    </row>
    <row r="30" spans="1:25" ht="38" customHeight="1" x14ac:dyDescent="0.15">
      <c r="B30" s="446"/>
      <c r="C30" s="133"/>
      <c r="D30" s="167" t="str">
        <f>VLOOKUP(A29,'imp-questions'!A:H,7,FALSE)</f>
        <v>You review KPIs at least yearly for their efficiency and effectiveness
KPIs and application security metrics trigger most of the changes to the application security strategy</v>
      </c>
      <c r="E30" s="145"/>
      <c r="F30" s="24"/>
      <c r="G30" s="20"/>
      <c r="H30" s="108"/>
      <c r="I30" s="468"/>
      <c r="J30" s="300"/>
      <c r="K30" s="547"/>
      <c r="L30" s="552"/>
      <c r="M30" s="555"/>
      <c r="N30" s="121"/>
      <c r="O30" s="121"/>
      <c r="P30" s="1"/>
      <c r="Q30" s="1"/>
      <c r="R30" s="1"/>
      <c r="S30" s="1"/>
      <c r="T30" s="1"/>
      <c r="U30" s="1"/>
      <c r="V30" s="1"/>
      <c r="W30" s="1"/>
      <c r="X30" s="1"/>
      <c r="Y30" s="1"/>
    </row>
    <row r="31" spans="1:25" x14ac:dyDescent="0.15">
      <c r="B31" s="459" t="s">
        <v>19</v>
      </c>
      <c r="C31" s="460"/>
      <c r="D31" s="461"/>
      <c r="E31" s="314"/>
      <c r="F31" s="315" t="s">
        <v>31</v>
      </c>
      <c r="G31" s="315"/>
      <c r="H31" s="316"/>
      <c r="I31" s="352" t="s">
        <v>543</v>
      </c>
      <c r="J31" s="353" t="s">
        <v>29</v>
      </c>
      <c r="K31" s="354"/>
      <c r="L31" s="355"/>
      <c r="M31" s="356"/>
      <c r="N31" s="121"/>
      <c r="O31" s="121"/>
      <c r="P31" s="1"/>
      <c r="Q31" s="1"/>
      <c r="R31" s="1"/>
      <c r="S31" s="1"/>
      <c r="T31" s="1"/>
      <c r="U31" s="1"/>
      <c r="V31" s="1"/>
      <c r="W31" s="1"/>
      <c r="X31" s="1"/>
      <c r="Y31" s="1"/>
    </row>
    <row r="32" spans="1:25" x14ac:dyDescent="0.15">
      <c r="A32" s="142" t="s">
        <v>304</v>
      </c>
      <c r="B32" s="446" t="str">
        <f>VLOOKUP(A32,'imp-questions'!A:H,4,FALSE)</f>
        <v>Policy &amp; Standards</v>
      </c>
      <c r="C32" s="301">
        <f>VLOOKUP(A32,'imp-questions'!A:H,5,FALSE)</f>
        <v>1</v>
      </c>
      <c r="D32" s="302" t="str">
        <f>VLOOKUP(A32,'imp-questions'!A:H,6,FALSE)</f>
        <v>Do you have and apply a common set of policies and standards throughout your organization?</v>
      </c>
      <c r="E32" s="146" t="str">
        <f>CHAR(65+VLOOKUP(A32,'imp-questions'!A:H,8,FALSE))</f>
        <v>F</v>
      </c>
      <c r="F32" s="427" t="s">
        <v>321</v>
      </c>
      <c r="G32" s="303">
        <f>IFERROR(VLOOKUP(F32,AnsFTBL,2,FALSE),0)</f>
        <v>1</v>
      </c>
      <c r="H32" s="304">
        <f>IFERROR(AVERAGE(G32,G39),0)</f>
        <v>0.625</v>
      </c>
      <c r="I32" s="528"/>
      <c r="J32" s="545">
        <f>SUM(H32,H34,H36)</f>
        <v>1.25</v>
      </c>
      <c r="K32" s="549"/>
      <c r="L32" s="550" t="s">
        <v>534</v>
      </c>
      <c r="M32" s="553" t="s">
        <v>541</v>
      </c>
      <c r="N32" s="121"/>
      <c r="O32" s="121"/>
      <c r="P32" s="1"/>
      <c r="Q32" s="1"/>
      <c r="R32" s="1"/>
      <c r="S32" s="1"/>
      <c r="T32" s="1"/>
      <c r="U32" s="1"/>
      <c r="V32" s="1"/>
      <c r="W32" s="1"/>
      <c r="X32" s="1"/>
      <c r="Y32" s="1"/>
    </row>
    <row r="33" spans="1:25" ht="36" customHeight="1" x14ac:dyDescent="0.15">
      <c r="B33" s="445"/>
      <c r="C33" s="133"/>
      <c r="D33" s="16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45"/>
      <c r="F33" s="154"/>
      <c r="G33" s="150"/>
      <c r="H33" s="151"/>
      <c r="I33" s="468"/>
      <c r="J33" s="538"/>
      <c r="K33" s="547"/>
      <c r="L33" s="551"/>
      <c r="M33" s="554"/>
      <c r="N33" s="121"/>
      <c r="O33" s="121"/>
      <c r="P33" s="1"/>
      <c r="Q33" s="1"/>
      <c r="R33" s="1"/>
      <c r="S33" s="1"/>
      <c r="T33" s="1"/>
      <c r="U33" s="1"/>
      <c r="V33" s="1"/>
      <c r="W33" s="1"/>
      <c r="X33" s="1"/>
      <c r="Y33" s="1"/>
    </row>
    <row r="34" spans="1:25" x14ac:dyDescent="0.15">
      <c r="A34" s="142" t="s">
        <v>305</v>
      </c>
      <c r="B34" s="445"/>
      <c r="C34" s="180">
        <f>VLOOKUP(A34,'imp-questions'!A:H,5,FALSE)</f>
        <v>2</v>
      </c>
      <c r="D34" s="176" t="str">
        <f>VLOOKUP(A34,'imp-questions'!A:H,6,FALSE)</f>
        <v>Do you publish the organization's policies as test scripts or run-books for easy interpretation by development teams?</v>
      </c>
      <c r="E34" s="144" t="str">
        <f>CHAR(65+VLOOKUP(A34,'imp-questions'!A:H,8,FALSE))</f>
        <v>A</v>
      </c>
      <c r="F34" s="425" t="s">
        <v>27</v>
      </c>
      <c r="G34" s="17">
        <f>IFERROR(VLOOKUP(F34,AnsATBL,2,FALSE),0)</f>
        <v>0</v>
      </c>
      <c r="H34" s="95">
        <f>IFERROR(AVERAGE(G34,G41),0)</f>
        <v>0.125</v>
      </c>
      <c r="I34" s="467"/>
      <c r="J34" s="11"/>
      <c r="K34" s="546"/>
      <c r="L34" s="551"/>
      <c r="M34" s="554"/>
      <c r="N34" s="121"/>
      <c r="O34" s="121"/>
      <c r="P34" s="1"/>
      <c r="Q34" s="1"/>
      <c r="R34" s="1"/>
      <c r="S34" s="1"/>
      <c r="T34" s="1"/>
      <c r="U34" s="1"/>
      <c r="V34" s="1"/>
      <c r="W34" s="1"/>
      <c r="X34" s="1"/>
      <c r="Y34" s="1"/>
    </row>
    <row r="35" spans="1:25" ht="43" customHeight="1" x14ac:dyDescent="0.15">
      <c r="B35" s="445"/>
      <c r="C35" s="133"/>
      <c r="D35" s="167"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45"/>
      <c r="F35" s="154"/>
      <c r="G35" s="150"/>
      <c r="H35" s="155"/>
      <c r="I35" s="540"/>
      <c r="J35" s="11"/>
      <c r="K35" s="548"/>
      <c r="L35" s="551"/>
      <c r="M35" s="554"/>
      <c r="N35" s="121"/>
      <c r="O35" s="121"/>
      <c r="P35" s="1"/>
      <c r="Q35" s="1"/>
      <c r="R35" s="1"/>
      <c r="S35" s="1"/>
      <c r="T35" s="1"/>
      <c r="U35" s="1"/>
      <c r="V35" s="1"/>
      <c r="W35" s="1"/>
      <c r="X35" s="1"/>
      <c r="Y35" s="1"/>
    </row>
    <row r="36" spans="1:25" x14ac:dyDescent="0.15">
      <c r="A36" s="142" t="s">
        <v>306</v>
      </c>
      <c r="B36" s="445"/>
      <c r="C36" s="180">
        <f>VLOOKUP(A36,'imp-questions'!A:H,5,FALSE)</f>
        <v>3</v>
      </c>
      <c r="D36" s="176" t="str">
        <f>VLOOKUP(A36,'imp-questions'!A:H,6,FALSE)</f>
        <v>Do you regularly report on policy and standard compliance, and use that information to guide compliance improvement efforts?</v>
      </c>
      <c r="E36" s="144" t="str">
        <f>CHAR(65+VLOOKUP(A36,'imp-questions'!A:H,8,FALSE))</f>
        <v>E</v>
      </c>
      <c r="F36" s="425" t="s">
        <v>447</v>
      </c>
      <c r="G36" s="17">
        <f>IFERROR(VLOOKUP(F36,AnsETBL,2,FALSE),0)</f>
        <v>0.5</v>
      </c>
      <c r="H36" s="95">
        <f>IFERROR(AVERAGE(G36,G43),0)</f>
        <v>0.5</v>
      </c>
      <c r="I36" s="467"/>
      <c r="J36" s="11"/>
      <c r="K36" s="546"/>
      <c r="L36" s="551"/>
      <c r="M36" s="554"/>
      <c r="N36" s="121"/>
      <c r="O36" s="121"/>
      <c r="P36" s="1"/>
      <c r="Q36" s="1"/>
      <c r="R36" s="1"/>
      <c r="S36" s="1"/>
      <c r="T36" s="1"/>
      <c r="U36" s="1"/>
      <c r="V36" s="1"/>
      <c r="W36" s="1"/>
      <c r="X36" s="1"/>
      <c r="Y36" s="1"/>
    </row>
    <row r="37" spans="1:25" ht="47" customHeight="1" x14ac:dyDescent="0.15">
      <c r="B37" s="542"/>
      <c r="C37" s="133"/>
      <c r="D37" s="167"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45"/>
      <c r="F37" s="154"/>
      <c r="G37" s="150"/>
      <c r="H37" s="155"/>
      <c r="I37" s="540"/>
      <c r="J37" s="11"/>
      <c r="K37" s="548"/>
      <c r="L37" s="552"/>
      <c r="M37" s="555"/>
      <c r="N37" s="121"/>
      <c r="O37" s="121"/>
      <c r="P37" s="1"/>
      <c r="Q37" s="1"/>
      <c r="R37" s="1"/>
      <c r="S37" s="1"/>
      <c r="T37" s="1"/>
      <c r="U37" s="1"/>
      <c r="V37" s="1"/>
      <c r="W37" s="1"/>
      <c r="X37" s="1"/>
      <c r="Y37" s="1"/>
    </row>
    <row r="38" spans="1:25" x14ac:dyDescent="0.15">
      <c r="B38" s="305"/>
      <c r="C38" s="306"/>
      <c r="D38" s="306"/>
      <c r="E38" s="306"/>
      <c r="F38" s="306"/>
      <c r="G38" s="306"/>
      <c r="H38" s="306"/>
      <c r="I38" s="349"/>
      <c r="J38" s="350"/>
      <c r="K38" s="349"/>
      <c r="L38" s="349"/>
      <c r="M38" s="351"/>
      <c r="N38" s="121"/>
      <c r="O38" s="121"/>
      <c r="P38" s="1"/>
      <c r="Q38" s="1"/>
      <c r="R38" s="1"/>
      <c r="S38" s="1"/>
      <c r="T38" s="1"/>
      <c r="U38" s="1"/>
      <c r="V38" s="1"/>
      <c r="W38" s="1"/>
      <c r="X38" s="1"/>
      <c r="Y38" s="1"/>
    </row>
    <row r="39" spans="1:25" x14ac:dyDescent="0.15">
      <c r="A39" s="142" t="s">
        <v>307</v>
      </c>
      <c r="B39" s="444" t="str">
        <f>VLOOKUP(A39,'imp-questions'!A:H,4,FALSE)</f>
        <v>Compliance Management</v>
      </c>
      <c r="C39" s="180">
        <f>VLOOKUP(A39,'imp-questions'!A:H,5,FALSE)</f>
        <v>1</v>
      </c>
      <c r="D39" s="176" t="str">
        <f>VLOOKUP(A39,'imp-questions'!A:H,6,FALSE)</f>
        <v>Do you have a complete picture of your external compliance obligations?</v>
      </c>
      <c r="E39" s="144" t="str">
        <f>CHAR(65+VLOOKUP(A39,'imp-questions'!A:H,8,FALSE))</f>
        <v>F</v>
      </c>
      <c r="F39" s="428" t="s">
        <v>125</v>
      </c>
      <c r="G39" s="17">
        <f>IFERROR(VLOOKUP(F39,AnsFTBL,2,FALSE),0)</f>
        <v>0.25</v>
      </c>
      <c r="H39" s="171"/>
      <c r="I39" s="541"/>
      <c r="J39" s="11"/>
      <c r="K39" s="556"/>
      <c r="L39" s="550" t="s">
        <v>534</v>
      </c>
      <c r="M39" s="553" t="s">
        <v>541</v>
      </c>
      <c r="N39" s="121"/>
      <c r="O39" s="121"/>
      <c r="P39" s="1"/>
      <c r="Q39" s="1"/>
      <c r="R39" s="1"/>
      <c r="S39" s="1"/>
      <c r="T39" s="1"/>
      <c r="U39" s="1"/>
      <c r="V39" s="1"/>
      <c r="W39" s="1"/>
      <c r="X39" s="1"/>
      <c r="Y39" s="1"/>
    </row>
    <row r="40" spans="1:25" ht="37" customHeight="1" x14ac:dyDescent="0.15">
      <c r="B40" s="445"/>
      <c r="C40" s="133"/>
      <c r="D40" s="167" t="str">
        <f>VLOOKUP(A39,'imp-questions'!A:H,7,FALSE)</f>
        <v>You have identified all sources of external compliance obligations
You have captured and reconciled compliance obligations from all sources</v>
      </c>
      <c r="E40" s="149"/>
      <c r="F40" s="25"/>
      <c r="G40" s="21"/>
      <c r="H40" s="107"/>
      <c r="I40" s="440"/>
      <c r="J40" s="11"/>
      <c r="K40" s="557"/>
      <c r="L40" s="551"/>
      <c r="M40" s="554"/>
      <c r="N40" s="121"/>
      <c r="O40" s="121"/>
      <c r="P40" s="1"/>
      <c r="Q40" s="1"/>
      <c r="R40" s="1"/>
      <c r="S40" s="1"/>
      <c r="T40" s="1"/>
      <c r="U40" s="1"/>
      <c r="V40" s="1"/>
      <c r="W40" s="1"/>
      <c r="X40" s="1"/>
      <c r="Y40" s="1"/>
    </row>
    <row r="41" spans="1:25" ht="28" x14ac:dyDescent="0.15">
      <c r="A41" s="142" t="s">
        <v>308</v>
      </c>
      <c r="B41" s="445"/>
      <c r="C41" s="180">
        <f>VLOOKUP(A41,'imp-questions'!A:H,5,FALSE)</f>
        <v>2</v>
      </c>
      <c r="D41" s="176" t="str">
        <f>VLOOKUP(A41,'imp-questions'!A:H,6,FALSE)</f>
        <v>Do you have a standard set of security requirements and verification procedures addressing the organization's external compliance obligations?</v>
      </c>
      <c r="E41" s="144" t="str">
        <f>CHAR(65+VLOOKUP(A41,'imp-questions'!A:H,8,FALSE))</f>
        <v>D</v>
      </c>
      <c r="F41" s="428" t="s">
        <v>443</v>
      </c>
      <c r="G41" s="17">
        <f>IFERROR(VLOOKUP(F41,AnsDTBL,2,FALSE),0)</f>
        <v>0.25</v>
      </c>
      <c r="H41" s="171"/>
      <c r="I41" s="467"/>
      <c r="J41" s="11"/>
      <c r="K41" s="546"/>
      <c r="L41" s="551"/>
      <c r="M41" s="554"/>
      <c r="N41" s="121"/>
      <c r="O41" s="121"/>
      <c r="P41" s="1"/>
      <c r="Q41" s="1"/>
      <c r="R41" s="1"/>
      <c r="S41" s="1"/>
      <c r="T41" s="1"/>
      <c r="U41" s="1"/>
      <c r="V41" s="1"/>
      <c r="W41" s="1"/>
      <c r="X41" s="1"/>
      <c r="Y41" s="1"/>
    </row>
    <row r="42" spans="1:25" ht="38" customHeight="1" x14ac:dyDescent="0.15">
      <c r="B42" s="445"/>
      <c r="C42" s="133"/>
      <c r="D42" s="167" t="str">
        <f>VLOOKUP(A41,'imp-questions'!A:H,7,FALSE)</f>
        <v>You map each external compliance obligation to a well-defined set of application requirements
You define verification procedures, including automated tests, to verify compliance with compliance-related requirements</v>
      </c>
      <c r="E42" s="149"/>
      <c r="F42" s="25"/>
      <c r="G42" s="21"/>
      <c r="H42" s="107"/>
      <c r="I42" s="440"/>
      <c r="J42" s="11"/>
      <c r="K42" s="557"/>
      <c r="L42" s="551"/>
      <c r="M42" s="554"/>
      <c r="N42" s="121"/>
      <c r="O42" s="121"/>
      <c r="P42" s="1"/>
      <c r="Q42" s="1"/>
      <c r="R42" s="1"/>
      <c r="S42" s="1"/>
      <c r="T42" s="1"/>
      <c r="U42" s="1"/>
      <c r="V42" s="1"/>
      <c r="W42" s="1"/>
      <c r="X42" s="1"/>
      <c r="Y42" s="1"/>
    </row>
    <row r="43" spans="1:25" ht="28" x14ac:dyDescent="0.15">
      <c r="A43" s="142" t="s">
        <v>309</v>
      </c>
      <c r="B43" s="445"/>
      <c r="C43" s="180">
        <f>VLOOKUP(A43,'imp-questions'!A:H,5,FALSE)</f>
        <v>3</v>
      </c>
      <c r="D43" s="176" t="str">
        <f>VLOOKUP(A43,'imp-questions'!A:H,6,FALSE)</f>
        <v>Do you regularly report on adherence to external compliance obligations and use that information to guide efforts to close compliance gaps?</v>
      </c>
      <c r="E43" s="144" t="str">
        <f>CHAR(65+VLOOKUP(A43,'imp-questions'!A:H,8,FALSE))</f>
        <v>E</v>
      </c>
      <c r="F43" s="428" t="s">
        <v>447</v>
      </c>
      <c r="G43" s="17">
        <f>IFERROR(VLOOKUP(F43,AnsETBL,2,FALSE),0)</f>
        <v>0.5</v>
      </c>
      <c r="H43" s="171"/>
      <c r="I43" s="467"/>
      <c r="J43" s="11"/>
      <c r="K43" s="546"/>
      <c r="L43" s="551"/>
      <c r="M43" s="554"/>
      <c r="N43" s="121"/>
      <c r="O43" s="121"/>
      <c r="P43" s="1"/>
      <c r="Q43" s="1"/>
      <c r="R43" s="1"/>
      <c r="S43" s="1"/>
      <c r="T43" s="1"/>
      <c r="U43" s="1"/>
      <c r="V43" s="1"/>
      <c r="W43" s="1"/>
      <c r="X43" s="1"/>
      <c r="Y43" s="1"/>
    </row>
    <row r="44" spans="1:25" ht="45" customHeight="1" x14ac:dyDescent="0.15">
      <c r="B44" s="446"/>
      <c r="C44" s="133"/>
      <c r="D44" s="167"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45"/>
      <c r="F44" s="317"/>
      <c r="G44" s="318"/>
      <c r="H44" s="319"/>
      <c r="I44" s="468"/>
      <c r="J44" s="300"/>
      <c r="K44" s="547"/>
      <c r="L44" s="552"/>
      <c r="M44" s="555"/>
      <c r="N44" s="121"/>
      <c r="O44" s="121"/>
      <c r="P44" s="1"/>
      <c r="Q44" s="1"/>
      <c r="R44" s="1"/>
      <c r="S44" s="1"/>
      <c r="T44" s="1"/>
      <c r="U44" s="1"/>
      <c r="V44" s="1"/>
      <c r="W44" s="1"/>
      <c r="X44" s="1"/>
      <c r="Y44" s="1"/>
    </row>
    <row r="45" spans="1:25" x14ac:dyDescent="0.15">
      <c r="B45" s="459" t="s">
        <v>20</v>
      </c>
      <c r="C45" s="460"/>
      <c r="D45" s="461"/>
      <c r="E45" s="314"/>
      <c r="F45" s="315" t="s">
        <v>31</v>
      </c>
      <c r="G45" s="315"/>
      <c r="H45" s="316"/>
      <c r="I45" s="352" t="s">
        <v>543</v>
      </c>
      <c r="J45" s="353" t="s">
        <v>29</v>
      </c>
      <c r="K45" s="354"/>
      <c r="L45" s="355"/>
      <c r="M45" s="356"/>
      <c r="N45" s="121"/>
      <c r="O45" s="121"/>
      <c r="P45" s="1"/>
      <c r="Q45" s="1"/>
      <c r="R45" s="1"/>
      <c r="S45" s="1"/>
      <c r="T45" s="1"/>
      <c r="U45" s="1"/>
      <c r="V45" s="1"/>
      <c r="W45" s="1"/>
      <c r="X45" s="1"/>
      <c r="Y45" s="1"/>
    </row>
    <row r="46" spans="1:25" x14ac:dyDescent="0.15">
      <c r="A46" s="140" t="s">
        <v>165</v>
      </c>
      <c r="B46" s="446" t="str">
        <f>VLOOKUP(A46,'imp-questions'!A:H,4,FALSE)</f>
        <v>Training and Awareness</v>
      </c>
      <c r="C46" s="301">
        <f>VLOOKUP(A46,'imp-questions'!A:H,5,FALSE)</f>
        <v>1</v>
      </c>
      <c r="D46" s="302" t="str">
        <f>VLOOKUP(A46,'imp-questions'!A:H,6,FALSE)</f>
        <v>Do you require employees involved with application development to take SDLC training?</v>
      </c>
      <c r="E46" s="146" t="str">
        <f>CHAR(65+VLOOKUP(A46,'imp-questions'!A:H,8,FALSE))</f>
        <v>C</v>
      </c>
      <c r="F46" s="427" t="s">
        <v>127</v>
      </c>
      <c r="G46" s="303">
        <f>IFERROR(VLOOKUP(F46,AnsCTBL,2,FALSE),0)</f>
        <v>0.25</v>
      </c>
      <c r="H46" s="320">
        <f>IFERROR(AVERAGE(G46,G53),0)</f>
        <v>0.125</v>
      </c>
      <c r="I46" s="467"/>
      <c r="J46" s="441">
        <f>SUM(H46,H48,H50)</f>
        <v>0.75</v>
      </c>
      <c r="K46" s="558"/>
      <c r="L46" s="550" t="s">
        <v>534</v>
      </c>
      <c r="M46" s="553" t="s">
        <v>541</v>
      </c>
      <c r="N46" s="121"/>
      <c r="O46" s="121"/>
      <c r="P46" s="1"/>
      <c r="Q46" s="1"/>
      <c r="R46" s="1"/>
      <c r="S46" s="1"/>
      <c r="T46" s="1"/>
      <c r="U46" s="1"/>
      <c r="V46" s="1"/>
      <c r="W46" s="1"/>
      <c r="X46" s="1"/>
      <c r="Y46" s="1"/>
    </row>
    <row r="47" spans="1:25" ht="84" customHeight="1" x14ac:dyDescent="0.15">
      <c r="B47" s="445"/>
      <c r="C47" s="133"/>
      <c r="D47" s="167"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49"/>
      <c r="F47" s="154"/>
      <c r="G47" s="150"/>
      <c r="H47" s="185"/>
      <c r="I47" s="440"/>
      <c r="J47" s="441"/>
      <c r="K47" s="559"/>
      <c r="L47" s="551"/>
      <c r="M47" s="554"/>
      <c r="N47" s="121"/>
      <c r="O47" s="121"/>
      <c r="P47" s="1"/>
      <c r="Q47" s="1"/>
      <c r="R47" s="1"/>
      <c r="S47" s="1"/>
      <c r="T47" s="1"/>
      <c r="U47" s="1"/>
      <c r="V47" s="1"/>
      <c r="W47" s="1"/>
      <c r="X47" s="1"/>
      <c r="Y47" s="1"/>
    </row>
    <row r="48" spans="1:25" x14ac:dyDescent="0.15">
      <c r="A48" s="140" t="s">
        <v>168</v>
      </c>
      <c r="B48" s="445"/>
      <c r="C48" s="180">
        <f>VLOOKUP(A48,'imp-questions'!A:H,5,FALSE)</f>
        <v>2</v>
      </c>
      <c r="D48" s="176" t="str">
        <f>VLOOKUP(A48,'imp-questions'!A:H,6,FALSE)</f>
        <v>Is training customized for individual roles such as developers, testers, or security champions?</v>
      </c>
      <c r="E48" s="146" t="str">
        <f>CHAR(65+VLOOKUP(A48,'imp-questions'!A:H,8,FALSE))</f>
        <v>I</v>
      </c>
      <c r="F48" s="426" t="s">
        <v>324</v>
      </c>
      <c r="G48" s="17">
        <f>IFERROR(VLOOKUP(F48,AnsITBL,2,FALSE),0)</f>
        <v>0.25</v>
      </c>
      <c r="H48" s="186">
        <f>IFERROR(AVERAGE(G48,G55),0)</f>
        <v>0.125</v>
      </c>
      <c r="I48" s="467"/>
      <c r="J48" s="187"/>
      <c r="K48" s="560" t="s">
        <v>560</v>
      </c>
      <c r="L48" s="551"/>
      <c r="M48" s="554"/>
      <c r="N48" s="121"/>
      <c r="O48" s="121"/>
      <c r="P48" s="1"/>
      <c r="Q48" s="1"/>
      <c r="R48" s="1"/>
      <c r="S48" s="1"/>
      <c r="T48" s="1"/>
      <c r="U48" s="1"/>
      <c r="V48" s="1"/>
      <c r="W48" s="1"/>
      <c r="X48" s="1"/>
      <c r="Y48" s="1"/>
    </row>
    <row r="49" spans="1:25" ht="73" customHeight="1" x14ac:dyDescent="0.15">
      <c r="B49" s="445"/>
      <c r="C49" s="133"/>
      <c r="D49" s="167"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49"/>
      <c r="F49" s="154"/>
      <c r="G49" s="150"/>
      <c r="H49" s="188"/>
      <c r="I49" s="440"/>
      <c r="J49" s="187"/>
      <c r="K49" s="561"/>
      <c r="L49" s="551"/>
      <c r="M49" s="554"/>
      <c r="N49" s="121"/>
      <c r="O49" s="121"/>
      <c r="P49" s="1"/>
      <c r="Q49" s="1"/>
      <c r="R49" s="1"/>
      <c r="S49" s="1"/>
      <c r="T49" s="1"/>
      <c r="U49" s="1"/>
      <c r="V49" s="1"/>
      <c r="W49" s="1"/>
      <c r="X49" s="1"/>
      <c r="Y49" s="1"/>
    </row>
    <row r="50" spans="1:25" x14ac:dyDescent="0.15">
      <c r="A50" s="140" t="s">
        <v>169</v>
      </c>
      <c r="B50" s="445"/>
      <c r="C50" s="180">
        <f>VLOOKUP(A50,'imp-questions'!A:H,5,FALSE)</f>
        <v>3</v>
      </c>
      <c r="D50" s="176" t="str">
        <f>VLOOKUP(A50,'imp-questions'!A:H,6,FALSE)</f>
        <v>Have you implemented a Learning Management System or equivalent to track employee training and certification processes?</v>
      </c>
      <c r="E50" s="146" t="str">
        <f>CHAR(65+VLOOKUP(A50,'imp-questions'!A:H,8,FALSE))</f>
        <v>I</v>
      </c>
      <c r="F50" s="426" t="s">
        <v>27</v>
      </c>
      <c r="G50" s="17">
        <f>IFERROR(VLOOKUP(F50,AnsITBL,2,FALSE),0)</f>
        <v>0</v>
      </c>
      <c r="H50" s="186">
        <f>IFERROR(AVERAGE(G50,G57),0)</f>
        <v>0.5</v>
      </c>
      <c r="I50" s="479"/>
      <c r="J50" s="187"/>
      <c r="K50" s="562"/>
      <c r="L50" s="551"/>
      <c r="M50" s="554"/>
      <c r="N50" s="121"/>
      <c r="O50" s="121"/>
      <c r="P50" s="1"/>
      <c r="Q50" s="1"/>
      <c r="R50" s="1"/>
      <c r="S50" s="1"/>
      <c r="T50" s="1"/>
      <c r="U50" s="1"/>
      <c r="V50" s="1"/>
      <c r="W50" s="1"/>
      <c r="X50" s="1"/>
      <c r="Y50" s="1"/>
    </row>
    <row r="51" spans="1:25" ht="47" customHeight="1" x14ac:dyDescent="0.15">
      <c r="B51" s="542"/>
      <c r="C51" s="153"/>
      <c r="D51" s="159"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49"/>
      <c r="F51" s="154"/>
      <c r="G51" s="150"/>
      <c r="H51" s="188"/>
      <c r="I51" s="466"/>
      <c r="J51" s="187"/>
      <c r="K51" s="563"/>
      <c r="L51" s="552"/>
      <c r="M51" s="555"/>
      <c r="N51" s="121"/>
      <c r="O51" s="121"/>
      <c r="P51" s="1"/>
      <c r="Q51" s="1"/>
      <c r="R51" s="1"/>
      <c r="S51" s="1"/>
      <c r="T51" s="1"/>
      <c r="U51" s="1"/>
      <c r="V51" s="1"/>
      <c r="W51" s="1"/>
      <c r="X51" s="1"/>
      <c r="Y51" s="1"/>
    </row>
    <row r="52" spans="1:25" x14ac:dyDescent="0.15">
      <c r="B52" s="305"/>
      <c r="C52" s="306"/>
      <c r="D52" s="306"/>
      <c r="E52" s="306"/>
      <c r="F52" s="306"/>
      <c r="G52" s="306"/>
      <c r="H52" s="306"/>
      <c r="I52" s="349"/>
      <c r="J52" s="350"/>
      <c r="K52" s="349"/>
      <c r="L52" s="349"/>
      <c r="M52" s="351"/>
      <c r="N52" s="121"/>
      <c r="O52" s="121"/>
      <c r="P52" s="1"/>
      <c r="Q52" s="1"/>
      <c r="R52" s="1"/>
      <c r="S52" s="1"/>
      <c r="T52" s="1"/>
      <c r="U52" s="1"/>
      <c r="V52" s="1"/>
      <c r="W52" s="1"/>
      <c r="X52" s="1"/>
      <c r="Y52" s="1"/>
    </row>
    <row r="53" spans="1:25" x14ac:dyDescent="0.15">
      <c r="A53" s="140" t="s">
        <v>170</v>
      </c>
      <c r="B53" s="444" t="str">
        <f>VLOOKUP(A53,'imp-questions'!A:H,4,FALSE)</f>
        <v>Organization and Culture</v>
      </c>
      <c r="C53" s="180">
        <f>VLOOKUP(A53,'imp-questions'!A:H,5,FALSE)</f>
        <v>1</v>
      </c>
      <c r="D53" s="176" t="str">
        <f>VLOOKUP(A53,'imp-questions'!A:H,6,FALSE)</f>
        <v>Have you identified a Security Champion for each development team?</v>
      </c>
      <c r="E53" s="144" t="str">
        <f>CHAR(65+VLOOKUP(A53,'imp-questions'!A:H,8,FALSE))</f>
        <v>W</v>
      </c>
      <c r="F53" s="425" t="s">
        <v>27</v>
      </c>
      <c r="G53" s="17">
        <f>IFERROR(VLOOKUP(F53,AnsWTBL,2,FALSE),0)</f>
        <v>0</v>
      </c>
      <c r="H53" s="95"/>
      <c r="I53" s="467"/>
      <c r="J53" s="11"/>
      <c r="K53" s="564" t="s">
        <v>532</v>
      </c>
      <c r="L53" s="550" t="s">
        <v>534</v>
      </c>
      <c r="M53" s="553" t="s">
        <v>541</v>
      </c>
      <c r="N53" s="121"/>
      <c r="O53" s="121"/>
      <c r="P53" s="1"/>
      <c r="Q53" s="1"/>
      <c r="R53" s="1"/>
      <c r="S53" s="1"/>
      <c r="T53" s="1"/>
      <c r="U53" s="1"/>
      <c r="V53" s="1"/>
      <c r="W53" s="1"/>
      <c r="X53" s="1"/>
      <c r="Y53" s="1"/>
    </row>
    <row r="54" spans="1:25" ht="70" customHeight="1" x14ac:dyDescent="0.15">
      <c r="B54" s="445"/>
      <c r="C54" s="133"/>
      <c r="D54" s="167"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45"/>
      <c r="F54" s="154"/>
      <c r="G54" s="150"/>
      <c r="H54" s="155"/>
      <c r="I54" s="440"/>
      <c r="J54" s="11"/>
      <c r="K54" s="565"/>
      <c r="L54" s="551"/>
      <c r="M54" s="554"/>
      <c r="N54" s="121"/>
      <c r="O54" s="121"/>
      <c r="P54" s="1"/>
      <c r="Q54" s="1"/>
      <c r="R54" s="1"/>
      <c r="S54" s="1"/>
      <c r="T54" s="1"/>
      <c r="U54" s="1"/>
      <c r="V54" s="1"/>
      <c r="W54" s="1"/>
      <c r="X54" s="1"/>
      <c r="Y54" s="1"/>
    </row>
    <row r="55" spans="1:25" x14ac:dyDescent="0.15">
      <c r="A55" s="140" t="s">
        <v>172</v>
      </c>
      <c r="B55" s="445"/>
      <c r="C55" s="180">
        <f>VLOOKUP(A55,'imp-questions'!A:H,5,FALSE)</f>
        <v>2</v>
      </c>
      <c r="D55" s="176" t="str">
        <f>VLOOKUP(A55,'imp-questions'!A:H,6,FALSE)</f>
        <v>Does the organization have a Secure Software Center of Excellence (SSCE)?</v>
      </c>
      <c r="E55" s="144" t="str">
        <f>CHAR(65+VLOOKUP(A55,'imp-questions'!A:H,8,FALSE))</f>
        <v>L</v>
      </c>
      <c r="F55" s="426" t="s">
        <v>27</v>
      </c>
      <c r="G55" s="17">
        <f>IFERROR(VLOOKUP(F55,AnsLTBL,2,FALSE),0)</f>
        <v>0</v>
      </c>
      <c r="H55" s="95"/>
      <c r="I55" s="467"/>
      <c r="J55" s="11"/>
      <c r="K55" s="546"/>
      <c r="L55" s="551"/>
      <c r="M55" s="554"/>
      <c r="N55" s="121"/>
      <c r="O55" s="121"/>
      <c r="P55" s="1"/>
      <c r="Q55" s="1"/>
      <c r="R55" s="1"/>
      <c r="S55" s="1"/>
      <c r="T55" s="1"/>
      <c r="U55" s="1"/>
      <c r="V55" s="1"/>
      <c r="W55" s="1"/>
      <c r="X55" s="1"/>
      <c r="Y55" s="1"/>
    </row>
    <row r="56" spans="1:25" ht="60" customHeight="1" x14ac:dyDescent="0.15">
      <c r="B56" s="445"/>
      <c r="C56" s="133"/>
      <c r="D56" s="167"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49"/>
      <c r="F56" s="154"/>
      <c r="G56" s="150"/>
      <c r="H56" s="155"/>
      <c r="I56" s="440"/>
      <c r="J56" s="11"/>
      <c r="K56" s="547"/>
      <c r="L56" s="551"/>
      <c r="M56" s="554"/>
      <c r="N56" s="121"/>
      <c r="O56" s="121"/>
      <c r="P56" s="1"/>
      <c r="Q56" s="1"/>
      <c r="R56" s="1"/>
      <c r="S56" s="1"/>
      <c r="T56" s="1"/>
      <c r="U56" s="1"/>
      <c r="V56" s="1"/>
      <c r="W56" s="1"/>
      <c r="X56" s="1"/>
      <c r="Y56" s="1"/>
    </row>
    <row r="57" spans="1:25" ht="28" x14ac:dyDescent="0.15">
      <c r="A57" s="140" t="s">
        <v>174</v>
      </c>
      <c r="B57" s="445"/>
      <c r="C57" s="180">
        <f>VLOOKUP(A57,'imp-questions'!A:H,5,FALSE)</f>
        <v>3</v>
      </c>
      <c r="D57" s="176" t="str">
        <f>VLOOKUP(A57,'imp-questions'!A:H,6,FALSE)</f>
        <v>Is there a centralized portal where developers and application security professionals from different teams and business units are able to communicate and share information?</v>
      </c>
      <c r="E57" s="144" t="str">
        <f>CHAR(65+VLOOKUP(A57,'imp-questions'!A:H,8,FALSE))</f>
        <v>L</v>
      </c>
      <c r="F57" s="426" t="s">
        <v>453</v>
      </c>
      <c r="G57" s="17">
        <f>IFERROR(VLOOKUP(F57,AnsLTBL,2,FALSE),0)</f>
        <v>1</v>
      </c>
      <c r="H57" s="95"/>
      <c r="I57" s="467"/>
      <c r="J57" s="11"/>
      <c r="K57" s="546"/>
      <c r="L57" s="551"/>
      <c r="M57" s="554"/>
      <c r="N57" s="121"/>
      <c r="O57" s="121"/>
      <c r="P57" s="1"/>
      <c r="Q57" s="1"/>
      <c r="R57" s="1"/>
      <c r="S57" s="1"/>
      <c r="T57" s="1"/>
      <c r="U57" s="1"/>
      <c r="V57" s="1"/>
      <c r="W57" s="1"/>
      <c r="X57" s="1"/>
      <c r="Y57" s="1"/>
    </row>
    <row r="58" spans="1:25" ht="106" customHeight="1" x14ac:dyDescent="0.15">
      <c r="B58" s="542"/>
      <c r="C58" s="153"/>
      <c r="D58" s="159"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49"/>
      <c r="F58" s="154"/>
      <c r="G58" s="150"/>
      <c r="H58" s="155"/>
      <c r="I58" s="440"/>
      <c r="J58" s="11"/>
      <c r="K58" s="547"/>
      <c r="L58" s="552"/>
      <c r="M58" s="555"/>
      <c r="N58" s="121"/>
      <c r="O58" s="121"/>
      <c r="P58" s="1"/>
      <c r="Q58" s="1"/>
      <c r="R58" s="1"/>
      <c r="S58" s="1"/>
      <c r="T58" s="1"/>
      <c r="U58" s="1"/>
      <c r="V58" s="1"/>
      <c r="W58" s="1"/>
      <c r="X58" s="1"/>
      <c r="Y58" s="1"/>
    </row>
    <row r="59" spans="1:25" ht="13" x14ac:dyDescent="0.15">
      <c r="B59" s="543" t="s">
        <v>177</v>
      </c>
      <c r="C59" s="543"/>
      <c r="D59" s="543"/>
      <c r="E59" s="543"/>
      <c r="F59" s="543"/>
      <c r="G59" s="543"/>
      <c r="H59" s="543"/>
      <c r="I59" s="543"/>
      <c r="J59" s="544"/>
      <c r="K59" s="357"/>
      <c r="L59" s="357"/>
      <c r="M59" s="357"/>
      <c r="N59" s="121"/>
      <c r="O59" s="121"/>
      <c r="P59" s="1"/>
      <c r="Q59" s="1"/>
      <c r="R59" s="1"/>
      <c r="S59" s="1"/>
      <c r="T59" s="1"/>
      <c r="U59" s="1"/>
      <c r="V59" s="1"/>
      <c r="W59" s="1"/>
      <c r="X59" s="1"/>
      <c r="Y59" s="1"/>
    </row>
    <row r="60" spans="1:25" x14ac:dyDescent="0.15">
      <c r="B60" s="456" t="s">
        <v>21</v>
      </c>
      <c r="C60" s="457"/>
      <c r="D60" s="458"/>
      <c r="E60" s="358"/>
      <c r="F60" s="359" t="s">
        <v>31</v>
      </c>
      <c r="G60" s="359"/>
      <c r="H60" s="360"/>
      <c r="I60" s="361" t="s">
        <v>543</v>
      </c>
      <c r="J60" s="362" t="s">
        <v>29</v>
      </c>
      <c r="K60" s="363"/>
      <c r="L60" s="364"/>
      <c r="M60" s="365"/>
      <c r="N60" s="121"/>
      <c r="O60" s="121"/>
      <c r="P60" s="1"/>
      <c r="Q60" s="1"/>
      <c r="R60" s="1"/>
      <c r="S60" s="1"/>
      <c r="T60" s="1"/>
      <c r="U60" s="1"/>
      <c r="V60" s="1"/>
      <c r="W60" s="1"/>
      <c r="X60" s="1"/>
      <c r="Y60" s="1"/>
    </row>
    <row r="61" spans="1:25" x14ac:dyDescent="0.15">
      <c r="A61" s="140" t="s">
        <v>176</v>
      </c>
      <c r="B61" s="462" t="str">
        <f>VLOOKUP(A61,'imp-questions'!A:H,4,FALSE)</f>
        <v>Application Risk Profile</v>
      </c>
      <c r="C61" s="181">
        <f>VLOOKUP(A61,'imp-questions'!A:H,5,FALSE)</f>
        <v>1</v>
      </c>
      <c r="D61" s="176" t="str">
        <f>VLOOKUP(A61,'imp-questions'!A:H,6,FALSE)</f>
        <v>Do you classify applications according to business risk based on a simple and predefined set of questions?</v>
      </c>
      <c r="E61" s="144" t="str">
        <f>CHAR(65+VLOOKUP(A61,'imp-questions'!A:H,8,FALSE))</f>
        <v>C</v>
      </c>
      <c r="F61" s="429" t="s">
        <v>27</v>
      </c>
      <c r="G61" s="17">
        <f>IFERROR(VLOOKUP(F61,AnsCTBL,2,FALSE),0)</f>
        <v>0</v>
      </c>
      <c r="H61" s="184">
        <f>IFERROR(AVERAGE(G61,G68),0)</f>
        <v>0.125</v>
      </c>
      <c r="I61" s="467"/>
      <c r="J61" s="442">
        <f>SUM(H61,H63,H65)</f>
        <v>0.25</v>
      </c>
      <c r="K61" s="566"/>
      <c r="L61" s="550" t="s">
        <v>534</v>
      </c>
      <c r="M61" s="553" t="s">
        <v>541</v>
      </c>
      <c r="N61" s="121"/>
      <c r="O61" s="121"/>
      <c r="P61" s="1"/>
      <c r="Q61" s="1"/>
      <c r="R61" s="1"/>
      <c r="S61" s="1"/>
      <c r="T61" s="1"/>
      <c r="U61" s="1"/>
      <c r="V61" s="1"/>
      <c r="W61" s="1"/>
      <c r="X61" s="1"/>
      <c r="Y61" s="1"/>
    </row>
    <row r="62" spans="1:25" ht="56" x14ac:dyDescent="0.15">
      <c r="B62" s="463"/>
      <c r="C62" s="133"/>
      <c r="D62" s="167"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49"/>
      <c r="F62" s="24"/>
      <c r="G62" s="150"/>
      <c r="H62" s="185"/>
      <c r="I62" s="440"/>
      <c r="J62" s="443"/>
      <c r="K62" s="559"/>
      <c r="L62" s="551"/>
      <c r="M62" s="554"/>
      <c r="N62" s="121"/>
      <c r="O62" s="121"/>
      <c r="P62" s="1"/>
      <c r="Q62" s="1"/>
      <c r="R62" s="1"/>
      <c r="S62" s="1"/>
      <c r="T62" s="1"/>
      <c r="U62" s="1"/>
      <c r="V62" s="1"/>
      <c r="W62" s="1"/>
      <c r="X62" s="1"/>
      <c r="Y62" s="1"/>
    </row>
    <row r="63" spans="1:25" x14ac:dyDescent="0.15">
      <c r="A63" s="140" t="s">
        <v>179</v>
      </c>
      <c r="B63" s="463"/>
      <c r="C63" s="181">
        <f>VLOOKUP(A63,'imp-questions'!A:H,5,FALSE)</f>
        <v>2</v>
      </c>
      <c r="D63" s="176" t="str">
        <f>VLOOKUP(A63,'imp-questions'!A:H,6,FALSE)</f>
        <v>Do you use centralized and quantified application risk profiles to evaluate business risk?</v>
      </c>
      <c r="E63" s="144" t="str">
        <f>CHAR(65+VLOOKUP(A63,'imp-questions'!A:H,8,FALSE))</f>
        <v>F</v>
      </c>
      <c r="F63" s="429" t="s">
        <v>27</v>
      </c>
      <c r="G63" s="17">
        <f>IFERROR(VLOOKUP(F63,AnsFTBL,2,FALSE),0)</f>
        <v>0</v>
      </c>
      <c r="H63" s="184">
        <f>IFERROR(AVERAGE(G63,G70),0)</f>
        <v>0</v>
      </c>
      <c r="I63" s="467"/>
      <c r="J63" s="346"/>
      <c r="K63" s="566"/>
      <c r="L63" s="551"/>
      <c r="M63" s="554"/>
      <c r="N63" s="121"/>
      <c r="O63" s="121"/>
      <c r="P63" s="1"/>
      <c r="Q63" s="1"/>
      <c r="R63" s="1"/>
      <c r="S63" s="1"/>
      <c r="T63" s="1"/>
      <c r="U63" s="1"/>
      <c r="V63" s="1"/>
      <c r="W63" s="1"/>
      <c r="X63" s="1"/>
      <c r="Y63" s="1"/>
    </row>
    <row r="64" spans="1:25" ht="56" x14ac:dyDescent="0.15">
      <c r="A64"/>
      <c r="B64" s="463"/>
      <c r="C64" s="133"/>
      <c r="D64" s="167"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49"/>
      <c r="F64" s="25"/>
      <c r="G64" s="21"/>
      <c r="H64" s="188"/>
      <c r="I64" s="440"/>
      <c r="J64" s="346"/>
      <c r="K64" s="559"/>
      <c r="L64" s="551"/>
      <c r="M64" s="554"/>
      <c r="N64" s="121"/>
      <c r="O64" s="121"/>
      <c r="P64" s="1"/>
      <c r="Q64" s="1"/>
      <c r="R64" s="1"/>
      <c r="S64" s="1"/>
      <c r="T64" s="1"/>
      <c r="U64" s="1"/>
      <c r="V64" s="1"/>
      <c r="W64" s="1"/>
      <c r="X64" s="1"/>
      <c r="Y64" s="1"/>
    </row>
    <row r="65" spans="1:25" x14ac:dyDescent="0.15">
      <c r="A65" s="140" t="s">
        <v>180</v>
      </c>
      <c r="B65" s="463"/>
      <c r="C65" s="181">
        <f>VLOOKUP(A65,'imp-questions'!A:H,5,FALSE)</f>
        <v>3</v>
      </c>
      <c r="D65" s="176" t="str">
        <f>VLOOKUP(A65,'imp-questions'!A:H,6,FALSE)</f>
        <v>Do you regularly review and update the risk profiles for your applications?</v>
      </c>
      <c r="E65" s="144" t="str">
        <f>CHAR(65+VLOOKUP(A65,'imp-questions'!A:H,8,FALSE))</f>
        <v>G</v>
      </c>
      <c r="F65" s="429" t="s">
        <v>27</v>
      </c>
      <c r="G65" s="170">
        <f>IFERROR(VLOOKUP(F65,AnsGTBL,2,FALSE),0)</f>
        <v>0</v>
      </c>
      <c r="H65" s="184">
        <f>IFERROR(AVERAGE(G65,G72),0)</f>
        <v>0.125</v>
      </c>
      <c r="I65" s="467"/>
      <c r="J65" s="346"/>
      <c r="K65" s="566"/>
      <c r="L65" s="551"/>
      <c r="M65" s="554"/>
      <c r="N65" s="121"/>
      <c r="O65" s="121"/>
      <c r="P65" s="1"/>
      <c r="Q65" s="1"/>
      <c r="R65" s="1"/>
      <c r="S65" s="1"/>
      <c r="T65" s="1"/>
      <c r="U65" s="1"/>
      <c r="V65" s="1"/>
      <c r="W65" s="1"/>
      <c r="X65" s="1"/>
      <c r="Y65" s="1"/>
    </row>
    <row r="66" spans="1:25" ht="28" x14ac:dyDescent="0.15">
      <c r="A66"/>
      <c r="B66" s="464"/>
      <c r="C66" s="153"/>
      <c r="D66" s="159" t="str">
        <f>VLOOKUP(A65,'imp-questions'!A:H,7,FALSE)</f>
        <v>The organizational risk standard considers historical feedback to improve the evaluation method
Significant changes in the application or business context trigger a review of the relevant risk profiles</v>
      </c>
      <c r="E66" s="149"/>
      <c r="F66" s="25"/>
      <c r="G66" s="21"/>
      <c r="H66" s="188"/>
      <c r="I66" s="440"/>
      <c r="J66" s="346"/>
      <c r="K66" s="559"/>
      <c r="L66" s="552"/>
      <c r="M66" s="555"/>
      <c r="N66" s="121"/>
      <c r="O66" s="121"/>
      <c r="P66" s="1"/>
      <c r="Q66" s="1"/>
      <c r="R66" s="1"/>
      <c r="S66" s="1"/>
      <c r="T66" s="1"/>
      <c r="U66" s="1"/>
      <c r="V66" s="1"/>
      <c r="W66" s="1"/>
      <c r="X66" s="1"/>
      <c r="Y66" s="1"/>
    </row>
    <row r="67" spans="1:25" x14ac:dyDescent="0.15">
      <c r="A67"/>
      <c r="B67" s="305"/>
      <c r="C67" s="306"/>
      <c r="D67" s="306"/>
      <c r="E67" s="306"/>
      <c r="F67" s="306"/>
      <c r="G67" s="306"/>
      <c r="H67" s="306"/>
      <c r="I67" s="349"/>
      <c r="J67" s="350"/>
      <c r="K67" s="349"/>
      <c r="L67" s="349"/>
      <c r="M67" s="351"/>
      <c r="N67" s="121"/>
      <c r="O67" s="121"/>
      <c r="P67" s="1"/>
      <c r="Q67" s="1"/>
      <c r="R67" s="1"/>
      <c r="S67" s="1"/>
      <c r="T67" s="1"/>
      <c r="U67" s="1"/>
      <c r="V67" s="1"/>
      <c r="W67" s="1"/>
      <c r="X67" s="1"/>
      <c r="Y67" s="1"/>
    </row>
    <row r="68" spans="1:25" x14ac:dyDescent="0.15">
      <c r="A68" s="140" t="s">
        <v>182</v>
      </c>
      <c r="B68" s="462" t="str">
        <f>VLOOKUP(A68,'imp-questions'!A:H,4,FALSE)</f>
        <v>Threat Modeling</v>
      </c>
      <c r="C68" s="181">
        <f>VLOOKUP(A68,'imp-questions'!A:H,5,FALSE)</f>
        <v>1</v>
      </c>
      <c r="D68" s="176" t="str">
        <f>VLOOKUP(A68,'imp-questions'!A:H,6,FALSE)</f>
        <v>Do you identify and manage architectural design flaws with threat modeling?</v>
      </c>
      <c r="E68" s="144" t="str">
        <f>CHAR(65+VLOOKUP(A68,'imp-questions'!A:H,8,FALSE))</f>
        <v>C</v>
      </c>
      <c r="F68" s="429" t="s">
        <v>127</v>
      </c>
      <c r="G68" s="17">
        <f>IFERROR(VLOOKUP(F68,AnsCTBL,2,FALSE),0)</f>
        <v>0.25</v>
      </c>
      <c r="H68" s="95"/>
      <c r="I68" s="467"/>
      <c r="J68" s="347"/>
      <c r="K68" s="567"/>
      <c r="L68" s="550" t="s">
        <v>534</v>
      </c>
      <c r="M68" s="553" t="s">
        <v>541</v>
      </c>
      <c r="N68" s="121"/>
      <c r="O68" s="121"/>
      <c r="P68" s="1"/>
      <c r="Q68" s="1"/>
      <c r="R68" s="1"/>
      <c r="S68" s="1"/>
      <c r="T68" s="1"/>
      <c r="U68" s="1"/>
      <c r="V68" s="1"/>
      <c r="W68" s="1"/>
      <c r="X68" s="1"/>
      <c r="Y68" s="1"/>
    </row>
    <row r="69" spans="1:25" ht="42" x14ac:dyDescent="0.15">
      <c r="B69" s="463"/>
      <c r="C69" s="133"/>
      <c r="D69" s="167" t="str">
        <f>VLOOKUP(A68,'imp-questions'!A:H,7,FALSE)</f>
        <v>You perform threat modeling for high-risk applications
You use simple threat checklists, such as STRIDE
You persist the outcome of a threat model for later use</v>
      </c>
      <c r="E69" s="149"/>
      <c r="F69" s="25"/>
      <c r="G69" s="21"/>
      <c r="H69" s="107"/>
      <c r="I69" s="440"/>
      <c r="J69" s="347"/>
      <c r="K69" s="557"/>
      <c r="L69" s="551"/>
      <c r="M69" s="554"/>
      <c r="N69" s="121"/>
      <c r="O69" s="121"/>
      <c r="P69" s="1"/>
      <c r="Q69" s="1"/>
      <c r="R69" s="1"/>
      <c r="S69" s="1"/>
      <c r="T69" s="1"/>
      <c r="U69" s="1"/>
      <c r="V69" s="1"/>
      <c r="W69" s="1"/>
      <c r="X69" s="1"/>
      <c r="Y69" s="1"/>
    </row>
    <row r="70" spans="1:25" ht="14" customHeight="1" x14ac:dyDescent="0.15">
      <c r="A70" s="140" t="s">
        <v>184</v>
      </c>
      <c r="B70" s="463"/>
      <c r="C70" s="181">
        <f>VLOOKUP(A70,'imp-questions'!A:H,5,FALSE)</f>
        <v>2</v>
      </c>
      <c r="D70" s="176" t="str">
        <f>VLOOKUP(A70,'imp-questions'!A:H,6,FALSE)</f>
        <v>Do you use a standard methodology, aligned on your application risk levels?</v>
      </c>
      <c r="E70" s="144" t="str">
        <f>CHAR(65+VLOOKUP(A70,'imp-questions'!A:H,8,FALSE))</f>
        <v>F</v>
      </c>
      <c r="F70" s="429" t="s">
        <v>27</v>
      </c>
      <c r="G70" s="17">
        <f>IFERROR(VLOOKUP(F70,AnsFTBL,2,FALSE),0)</f>
        <v>0</v>
      </c>
      <c r="H70" s="95"/>
      <c r="I70" s="467"/>
      <c r="J70" s="347"/>
      <c r="K70" s="568" t="s">
        <v>548</v>
      </c>
      <c r="L70" s="551"/>
      <c r="M70" s="554"/>
      <c r="N70" s="121"/>
      <c r="O70" s="121"/>
      <c r="P70" s="1"/>
      <c r="Q70" s="1"/>
      <c r="R70" s="1"/>
      <c r="S70" s="1"/>
      <c r="T70" s="1"/>
      <c r="U70" s="1"/>
      <c r="V70" s="1"/>
      <c r="W70" s="1"/>
      <c r="X70" s="1"/>
      <c r="Y70" s="1"/>
    </row>
    <row r="71" spans="1:25" ht="70" x14ac:dyDescent="0.15">
      <c r="A71"/>
      <c r="B71" s="463"/>
      <c r="C71" s="133"/>
      <c r="D71" s="167"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49"/>
      <c r="F71" s="25"/>
      <c r="G71" s="21"/>
      <c r="H71" s="107"/>
      <c r="I71" s="440"/>
      <c r="J71" s="347"/>
      <c r="K71" s="569"/>
      <c r="L71" s="551"/>
      <c r="M71" s="554"/>
      <c r="N71" s="121"/>
      <c r="O71" s="121"/>
      <c r="P71" s="1"/>
      <c r="Q71" s="1"/>
      <c r="R71" s="1"/>
      <c r="S71" s="1"/>
      <c r="T71" s="1"/>
      <c r="U71" s="1"/>
      <c r="V71" s="1"/>
      <c r="W71" s="1"/>
      <c r="X71" s="1"/>
      <c r="Y71" s="1"/>
    </row>
    <row r="72" spans="1:25" x14ac:dyDescent="0.15">
      <c r="A72" s="140" t="s">
        <v>185</v>
      </c>
      <c r="B72" s="463"/>
      <c r="C72" s="181">
        <f>VLOOKUP(A72,'imp-questions'!A:H,5,FALSE)</f>
        <v>3</v>
      </c>
      <c r="D72" s="176" t="str">
        <f>VLOOKUP(A72,'imp-questions'!A:H,6,FALSE)</f>
        <v>Do you regularly review and update the threat modeling methodology for your applications?</v>
      </c>
      <c r="E72" s="144" t="str">
        <f>CHAR(65+VLOOKUP(A72,'imp-questions'!A:H,8,FALSE))</f>
        <v>N</v>
      </c>
      <c r="F72" s="428" t="s">
        <v>301</v>
      </c>
      <c r="G72" s="17">
        <f>IFERROR(VLOOKUP(F72,AnsNTBL,2,FALSE),0)</f>
        <v>0.25</v>
      </c>
      <c r="H72" s="95"/>
      <c r="I72" s="467"/>
      <c r="J72" s="347"/>
      <c r="K72" s="567"/>
      <c r="L72" s="551"/>
      <c r="M72" s="554"/>
      <c r="N72" s="121"/>
      <c r="O72" s="121"/>
      <c r="P72" s="1"/>
      <c r="Q72" s="1"/>
      <c r="R72" s="1"/>
      <c r="S72" s="1"/>
      <c r="T72" s="1"/>
      <c r="U72" s="1"/>
      <c r="V72" s="1"/>
      <c r="W72" s="1"/>
      <c r="X72" s="1"/>
      <c r="Y72" s="1"/>
    </row>
    <row r="73" spans="1:25" ht="42" x14ac:dyDescent="0.15">
      <c r="A73"/>
      <c r="B73" s="536"/>
      <c r="C73" s="133"/>
      <c r="D73" s="167"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45"/>
      <c r="F73" s="317"/>
      <c r="G73" s="318"/>
      <c r="H73" s="319"/>
      <c r="I73" s="440"/>
      <c r="J73" s="348"/>
      <c r="K73" s="547"/>
      <c r="L73" s="552"/>
      <c r="M73" s="555"/>
      <c r="N73" s="121"/>
      <c r="O73" s="121"/>
      <c r="P73" s="1"/>
      <c r="Q73" s="1"/>
      <c r="R73" s="1"/>
      <c r="S73" s="1"/>
      <c r="T73" s="1"/>
      <c r="U73" s="1"/>
      <c r="V73" s="1"/>
      <c r="W73" s="1"/>
      <c r="X73" s="1"/>
      <c r="Y73" s="1"/>
    </row>
    <row r="74" spans="1:25" x14ac:dyDescent="0.15">
      <c r="A74"/>
      <c r="B74" s="453" t="s">
        <v>22</v>
      </c>
      <c r="C74" s="454"/>
      <c r="D74" s="455"/>
      <c r="E74" s="322"/>
      <c r="F74" s="323" t="s">
        <v>31</v>
      </c>
      <c r="G74" s="323"/>
      <c r="H74" s="324"/>
      <c r="I74" s="366" t="s">
        <v>543</v>
      </c>
      <c r="J74" s="367" t="s">
        <v>29</v>
      </c>
      <c r="K74" s="368"/>
      <c r="L74" s="369"/>
      <c r="M74" s="370"/>
      <c r="N74" s="121"/>
      <c r="O74" s="121"/>
      <c r="P74" s="1"/>
      <c r="Q74" s="1"/>
      <c r="R74" s="1"/>
      <c r="S74" s="1"/>
      <c r="T74" s="1"/>
      <c r="U74" s="1"/>
      <c r="V74" s="1"/>
      <c r="W74" s="1"/>
      <c r="X74" s="1"/>
      <c r="Y74" s="1"/>
    </row>
    <row r="75" spans="1:25" ht="14" customHeight="1" x14ac:dyDescent="0.15">
      <c r="A75" s="140" t="s">
        <v>186</v>
      </c>
      <c r="B75" s="536" t="str">
        <f>VLOOKUP(A75,'imp-questions'!A:H,4,FALSE)</f>
        <v>Software Requirements</v>
      </c>
      <c r="C75" s="321">
        <f>VLOOKUP(A75,'imp-questions'!A:H,5,FALSE)</f>
        <v>1</v>
      </c>
      <c r="D75" s="302" t="str">
        <f>VLOOKUP(A75,'imp-questions'!A:H,6,FALSE)</f>
        <v>Do project teams specify security requirements during development?</v>
      </c>
      <c r="E75" s="146" t="str">
        <f>CHAR(65+VLOOKUP(A75,'imp-questions'!A:H,8,FALSE))</f>
        <v>F</v>
      </c>
      <c r="F75" s="430" t="s">
        <v>321</v>
      </c>
      <c r="G75" s="303">
        <f>IFERROR(VLOOKUP(F75,AnsFTBL,2,FALSE),0)</f>
        <v>1</v>
      </c>
      <c r="H75" s="320">
        <f>IFERROR(AVERAGE(G75,G82),0)</f>
        <v>0.5</v>
      </c>
      <c r="I75" s="467"/>
      <c r="J75" s="443">
        <f>SUM(H75,H77,H79)</f>
        <v>1.25</v>
      </c>
      <c r="K75" s="558"/>
      <c r="L75" s="550" t="s">
        <v>534</v>
      </c>
      <c r="M75" s="553" t="s">
        <v>541</v>
      </c>
      <c r="N75" s="121"/>
      <c r="O75" s="121"/>
      <c r="P75" s="1"/>
      <c r="Q75" s="1"/>
      <c r="R75" s="1"/>
      <c r="S75" s="1"/>
      <c r="T75" s="1"/>
      <c r="U75" s="1"/>
      <c r="V75" s="1"/>
      <c r="W75" s="1"/>
      <c r="X75" s="1"/>
      <c r="Y75" s="1"/>
    </row>
    <row r="76" spans="1:25" ht="42" x14ac:dyDescent="0.15">
      <c r="A76"/>
      <c r="B76" s="463"/>
      <c r="C76" s="133"/>
      <c r="D76" s="167"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49"/>
      <c r="F76" s="25"/>
      <c r="G76" s="21"/>
      <c r="H76" s="185"/>
      <c r="I76" s="440"/>
      <c r="J76" s="443"/>
      <c r="K76" s="559"/>
      <c r="L76" s="551"/>
      <c r="M76" s="554"/>
      <c r="N76" s="121"/>
      <c r="O76" s="121"/>
      <c r="P76" s="1"/>
      <c r="Q76" s="1"/>
      <c r="R76" s="1"/>
      <c r="S76" s="1"/>
      <c r="T76" s="1"/>
      <c r="U76" s="1"/>
      <c r="V76" s="1"/>
      <c r="W76" s="1"/>
      <c r="X76" s="1"/>
      <c r="Y76" s="1"/>
    </row>
    <row r="77" spans="1:25" x14ac:dyDescent="0.15">
      <c r="A77" s="140" t="s">
        <v>188</v>
      </c>
      <c r="B77" s="463"/>
      <c r="C77" s="181">
        <f>VLOOKUP(A77,'imp-questions'!A:H,5,FALSE)</f>
        <v>2</v>
      </c>
      <c r="D77" s="176" t="str">
        <f>VLOOKUP(A77,'imp-questions'!A:H,6,FALSE)</f>
        <v>Do you define, structure, and include prioritization in the artifacts of the security requirements gathering process?</v>
      </c>
      <c r="E77" s="144" t="str">
        <f>CHAR(65+VLOOKUP(A77,'imp-questions'!A:H,8,FALSE))</f>
        <v>H</v>
      </c>
      <c r="F77" s="431" t="s">
        <v>27</v>
      </c>
      <c r="G77" s="17">
        <f>IFERROR(VLOOKUP(F77,AnsHTBL,2,FALSE),0)</f>
        <v>0</v>
      </c>
      <c r="H77" s="184">
        <f>IFERROR(AVERAGE(G77,G84),0)</f>
        <v>0.5</v>
      </c>
      <c r="I77" s="465"/>
      <c r="J77" s="346"/>
      <c r="K77" s="570"/>
      <c r="L77" s="551"/>
      <c r="M77" s="554"/>
      <c r="N77" s="121"/>
      <c r="O77" s="121"/>
      <c r="P77" s="1"/>
      <c r="Q77" s="1"/>
      <c r="R77" s="1"/>
      <c r="S77" s="1"/>
      <c r="T77" s="1"/>
      <c r="U77" s="1"/>
      <c r="V77" s="1"/>
      <c r="W77" s="1"/>
      <c r="X77" s="1"/>
      <c r="Y77" s="1"/>
    </row>
    <row r="78" spans="1:25" ht="56" x14ac:dyDescent="0.15">
      <c r="A78"/>
      <c r="B78" s="463"/>
      <c r="C78" s="133"/>
      <c r="D78" s="167"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49"/>
      <c r="F78" s="25"/>
      <c r="G78" s="21"/>
      <c r="H78" s="188"/>
      <c r="I78" s="466"/>
      <c r="J78" s="346"/>
      <c r="K78" s="563"/>
      <c r="L78" s="551"/>
      <c r="M78" s="554"/>
      <c r="N78" s="121"/>
      <c r="O78" s="121"/>
      <c r="P78" s="1"/>
      <c r="Q78" s="1"/>
      <c r="R78" s="1"/>
      <c r="S78" s="1"/>
      <c r="T78" s="1"/>
      <c r="U78" s="1"/>
      <c r="V78" s="1"/>
      <c r="W78" s="1"/>
      <c r="X78" s="1"/>
      <c r="Y78" s="1"/>
    </row>
    <row r="79" spans="1:25" x14ac:dyDescent="0.15">
      <c r="A79" s="140" t="s">
        <v>189</v>
      </c>
      <c r="B79" s="463"/>
      <c r="C79" s="181">
        <f>VLOOKUP(A79,'imp-questions'!A:H,5,FALSE)</f>
        <v>3</v>
      </c>
      <c r="D79" s="176" t="str">
        <f>VLOOKUP(A79,'imp-questions'!A:H,6,FALSE)</f>
        <v>Do you use a standard requirements framework to streamline the elicitation of security requirements?</v>
      </c>
      <c r="E79" s="144" t="str">
        <f>CHAR(65+VLOOKUP(A79,'imp-questions'!A:H,8,FALSE))</f>
        <v>F</v>
      </c>
      <c r="F79" s="429" t="s">
        <v>125</v>
      </c>
      <c r="G79" s="17">
        <f>IFERROR(VLOOKUP(F79,AnsFTBL,2,FALSE),0)</f>
        <v>0.25</v>
      </c>
      <c r="H79" s="184">
        <f>IFERROR(AVERAGE(G79,G86),0)</f>
        <v>0.25</v>
      </c>
      <c r="I79" s="479"/>
      <c r="J79" s="346"/>
      <c r="K79" s="562"/>
      <c r="L79" s="551"/>
      <c r="M79" s="554"/>
      <c r="N79" s="121"/>
      <c r="O79" s="121"/>
      <c r="P79" s="1"/>
      <c r="Q79" s="1"/>
      <c r="R79" s="1"/>
      <c r="S79" s="1"/>
      <c r="T79" s="1"/>
      <c r="U79" s="1"/>
      <c r="V79" s="1"/>
      <c r="W79" s="1"/>
      <c r="X79" s="1"/>
      <c r="Y79" s="1"/>
    </row>
    <row r="80" spans="1:25" ht="56" x14ac:dyDescent="0.15">
      <c r="A80"/>
      <c r="B80" s="464"/>
      <c r="C80" s="153"/>
      <c r="D80" s="159"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49"/>
      <c r="F80" s="25"/>
      <c r="G80" s="21"/>
      <c r="H80" s="188"/>
      <c r="I80" s="466"/>
      <c r="J80" s="346"/>
      <c r="K80" s="563"/>
      <c r="L80" s="552"/>
      <c r="M80" s="555"/>
      <c r="N80" s="121"/>
      <c r="O80" s="121"/>
      <c r="P80" s="1"/>
      <c r="Q80" s="1"/>
      <c r="R80" s="1"/>
      <c r="S80" s="1"/>
      <c r="T80" s="1"/>
      <c r="U80" s="1"/>
      <c r="V80" s="1"/>
      <c r="W80" s="1"/>
      <c r="X80" s="1"/>
      <c r="Y80" s="1"/>
    </row>
    <row r="81" spans="1:25" x14ac:dyDescent="0.15">
      <c r="A81"/>
      <c r="B81" s="305"/>
      <c r="C81" s="306"/>
      <c r="D81" s="306"/>
      <c r="E81" s="306"/>
      <c r="F81" s="306"/>
      <c r="G81" s="306"/>
      <c r="H81" s="306"/>
      <c r="I81" s="349"/>
      <c r="J81" s="350"/>
      <c r="K81" s="349"/>
      <c r="L81" s="349"/>
      <c r="M81" s="351"/>
      <c r="N81" s="121"/>
      <c r="O81" s="121"/>
      <c r="P81" s="1"/>
      <c r="Q81" s="1"/>
      <c r="R81" s="1"/>
      <c r="S81" s="1"/>
      <c r="T81" s="1"/>
      <c r="U81" s="1"/>
      <c r="V81" s="1"/>
      <c r="W81" s="1"/>
      <c r="X81" s="1"/>
      <c r="Y81" s="1"/>
    </row>
    <row r="82" spans="1:25" x14ac:dyDescent="0.15">
      <c r="A82" s="140" t="s">
        <v>190</v>
      </c>
      <c r="B82" s="462" t="str">
        <f>VLOOKUP(A82,'imp-questions'!A:H,4,FALSE)</f>
        <v>Supplier Security</v>
      </c>
      <c r="C82" s="181">
        <f>VLOOKUP(A82,'imp-questions'!A:H,5,FALSE)</f>
        <v>1</v>
      </c>
      <c r="D82" s="176" t="str">
        <f>VLOOKUP(A82,'imp-questions'!A:H,6,FALSE)</f>
        <v>Do stakeholders review vendor collaborations for security requirements and methodology?</v>
      </c>
      <c r="E82" s="144" t="str">
        <f>CHAR(65+VLOOKUP(A82,'imp-questions'!A:H,8,FALSE))</f>
        <v>H</v>
      </c>
      <c r="F82" s="431" t="s">
        <v>27</v>
      </c>
      <c r="G82" s="17">
        <f>IFERROR(VLOOKUP(F82,AnsHTBL,2,FALSE),0)</f>
        <v>0</v>
      </c>
      <c r="H82" s="95"/>
      <c r="I82" s="467"/>
      <c r="J82" s="347"/>
      <c r="K82" s="571"/>
      <c r="L82" s="550" t="s">
        <v>534</v>
      </c>
      <c r="M82" s="553" t="s">
        <v>541</v>
      </c>
      <c r="N82" s="121"/>
      <c r="O82" s="121"/>
      <c r="P82" s="1"/>
      <c r="Q82" s="1"/>
      <c r="R82" s="1"/>
      <c r="S82" s="1"/>
      <c r="T82" s="1"/>
      <c r="U82" s="1"/>
      <c r="V82" s="1"/>
      <c r="W82" s="1"/>
      <c r="X82" s="1"/>
      <c r="Y82" s="1"/>
    </row>
    <row r="83" spans="1:25" ht="32" customHeight="1" x14ac:dyDescent="0.15">
      <c r="A83"/>
      <c r="B83" s="463"/>
      <c r="C83" s="133"/>
      <c r="D83" s="167" t="str">
        <f>VLOOKUP(A82,'imp-questions'!A:H,7,FALSE)</f>
        <v>You consider including specific security requirements, activities, and processes when creating third-party agreements
A vendor questionnaire is available and used to assess the strengths and weaknesses of your suppliers</v>
      </c>
      <c r="E83" s="149"/>
      <c r="F83" s="25"/>
      <c r="G83" s="21"/>
      <c r="H83" s="107"/>
      <c r="I83" s="440"/>
      <c r="J83" s="347"/>
      <c r="K83" s="572"/>
      <c r="L83" s="551"/>
      <c r="M83" s="554"/>
      <c r="N83" s="121"/>
      <c r="O83" s="121"/>
      <c r="P83" s="1"/>
      <c r="Q83" s="1"/>
      <c r="R83" s="1"/>
      <c r="S83" s="1"/>
      <c r="T83" s="1"/>
      <c r="U83" s="1"/>
      <c r="V83" s="1"/>
      <c r="W83" s="1"/>
      <c r="X83" s="1"/>
      <c r="Y83" s="1"/>
    </row>
    <row r="84" spans="1:25" x14ac:dyDescent="0.15">
      <c r="A84" s="140" t="s">
        <v>193</v>
      </c>
      <c r="B84" s="463"/>
      <c r="C84" s="181">
        <f>VLOOKUP(A84,'imp-questions'!A:H,5,FALSE)</f>
        <v>2</v>
      </c>
      <c r="D84" s="176" t="str">
        <f>VLOOKUP(A84,'imp-questions'!A:H,6,FALSE)</f>
        <v>Do vendors meet the security responsibilities and quality measures of service level agreements defined by the organization?</v>
      </c>
      <c r="E84" s="144" t="str">
        <f>CHAR(65+VLOOKUP(A84,'imp-questions'!A:H,8,FALSE))</f>
        <v>H</v>
      </c>
      <c r="F84" s="431" t="s">
        <v>323</v>
      </c>
      <c r="G84" s="17">
        <f>IFERROR(VLOOKUP(F84,AnsHTBL,2,FALSE),0)</f>
        <v>1</v>
      </c>
      <c r="H84" s="95"/>
      <c r="I84" s="467"/>
      <c r="J84" s="347"/>
      <c r="K84" s="571"/>
      <c r="L84" s="551"/>
      <c r="M84" s="554"/>
      <c r="N84" s="121"/>
      <c r="O84" s="121"/>
      <c r="P84" s="1"/>
      <c r="Q84" s="1"/>
      <c r="R84" s="1"/>
      <c r="S84" s="1"/>
      <c r="T84" s="1"/>
      <c r="U84" s="1"/>
      <c r="V84" s="1"/>
      <c r="W84" s="1"/>
      <c r="X84" s="1"/>
      <c r="Y84" s="1"/>
    </row>
    <row r="85" spans="1:25" ht="74" customHeight="1" x14ac:dyDescent="0.15">
      <c r="A85"/>
      <c r="B85" s="463"/>
      <c r="C85" s="133"/>
      <c r="D85" s="167"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49"/>
      <c r="F85" s="25"/>
      <c r="G85" s="21"/>
      <c r="H85" s="107"/>
      <c r="I85" s="440"/>
      <c r="J85" s="347"/>
      <c r="K85" s="572"/>
      <c r="L85" s="551"/>
      <c r="M85" s="554"/>
      <c r="N85" s="121"/>
      <c r="O85" s="121"/>
      <c r="P85" s="1"/>
      <c r="Q85" s="1"/>
      <c r="R85" s="1"/>
      <c r="S85" s="1"/>
      <c r="T85" s="1"/>
      <c r="U85" s="1"/>
      <c r="V85" s="1"/>
      <c r="W85" s="1"/>
      <c r="X85" s="1"/>
      <c r="Y85" s="1"/>
    </row>
    <row r="86" spans="1:25" ht="28" x14ac:dyDescent="0.15">
      <c r="A86" s="140" t="s">
        <v>194</v>
      </c>
      <c r="B86" s="463"/>
      <c r="C86" s="181">
        <f>VLOOKUP(A86,'imp-questions'!A:H,5,FALSE)</f>
        <v>3</v>
      </c>
      <c r="D86" s="176" t="str">
        <f>VLOOKUP(A86,'imp-questions'!A:H,6,FALSE)</f>
        <v>Are vendors aligned with standard security controls and software development tools and processes that the organization utilizes?</v>
      </c>
      <c r="E86" s="144" t="str">
        <f>CHAR(65+VLOOKUP(A86,'imp-questions'!A:H,8,FALSE))</f>
        <v>H</v>
      </c>
      <c r="F86" s="431" t="s">
        <v>130</v>
      </c>
      <c r="G86" s="17">
        <f>IFERROR(VLOOKUP(F86,AnsHTBL,2,FALSE),0)</f>
        <v>0.25</v>
      </c>
      <c r="H86" s="95"/>
      <c r="I86" s="467"/>
      <c r="J86" s="347"/>
      <c r="K86" s="571"/>
      <c r="L86" s="551"/>
      <c r="M86" s="554"/>
      <c r="N86" s="121"/>
      <c r="O86" s="121"/>
      <c r="P86" s="1"/>
      <c r="Q86" s="1"/>
      <c r="R86" s="1"/>
      <c r="S86" s="1"/>
      <c r="T86" s="1"/>
      <c r="U86" s="1"/>
      <c r="V86" s="1"/>
      <c r="W86" s="1"/>
      <c r="X86" s="1"/>
      <c r="Y86" s="1"/>
    </row>
    <row r="87" spans="1:25" ht="72" customHeight="1" x14ac:dyDescent="0.15">
      <c r="A87"/>
      <c r="B87" s="464"/>
      <c r="C87" s="153"/>
      <c r="D87" s="159"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49"/>
      <c r="F87" s="25"/>
      <c r="G87" s="21"/>
      <c r="H87" s="107"/>
      <c r="I87" s="440"/>
      <c r="J87" s="347"/>
      <c r="K87" s="572"/>
      <c r="L87" s="552"/>
      <c r="M87" s="555"/>
      <c r="N87" s="121"/>
      <c r="O87" s="121"/>
      <c r="P87" s="1"/>
      <c r="Q87" s="1"/>
      <c r="R87" s="1"/>
      <c r="S87" s="1"/>
      <c r="T87" s="1"/>
      <c r="U87" s="1"/>
      <c r="V87" s="1"/>
      <c r="W87" s="1"/>
      <c r="X87" s="1"/>
      <c r="Y87" s="1"/>
    </row>
    <row r="88" spans="1:25" ht="13.25" customHeight="1" x14ac:dyDescent="0.15">
      <c r="A88"/>
      <c r="B88" s="453" t="s">
        <v>23</v>
      </c>
      <c r="C88" s="454"/>
      <c r="D88" s="455"/>
      <c r="E88" s="322"/>
      <c r="F88" s="323" t="s">
        <v>31</v>
      </c>
      <c r="G88" s="323"/>
      <c r="H88" s="324"/>
      <c r="I88" s="366" t="s">
        <v>543</v>
      </c>
      <c r="J88" s="367" t="s">
        <v>29</v>
      </c>
      <c r="K88" s="368"/>
      <c r="L88" s="369"/>
      <c r="M88" s="370"/>
      <c r="N88" s="121"/>
      <c r="O88" s="121"/>
      <c r="P88" s="1"/>
      <c r="Q88" s="1"/>
      <c r="R88" s="1"/>
      <c r="S88" s="1"/>
      <c r="T88" s="1"/>
      <c r="U88" s="1"/>
      <c r="V88" s="1"/>
      <c r="W88" s="1"/>
      <c r="X88" s="1"/>
      <c r="Y88" s="1"/>
    </row>
    <row r="89" spans="1:25" ht="14" customHeight="1" x14ac:dyDescent="0.15">
      <c r="A89" s="140" t="s">
        <v>196</v>
      </c>
      <c r="B89" s="462" t="str">
        <f>VLOOKUP(A89,'imp-questions'!A:H,4,FALSE)</f>
        <v>Architecture Design</v>
      </c>
      <c r="C89" s="181">
        <f>VLOOKUP(A89,'imp-questions'!A:H,5,FALSE)</f>
        <v>1</v>
      </c>
      <c r="D89" s="176" t="str">
        <f>VLOOKUP(A89,'imp-questions'!A:H,6,FALSE)</f>
        <v>Do teams use security principles during design?</v>
      </c>
      <c r="E89" s="144" t="str">
        <f>CHAR(65+VLOOKUP(A89,'imp-questions'!A:H,8,FALSE))</f>
        <v>F</v>
      </c>
      <c r="F89" s="429" t="s">
        <v>321</v>
      </c>
      <c r="G89" s="17">
        <f>IFERROR(VLOOKUP(F89,AnsFTBL,2,FALSE),0)</f>
        <v>1</v>
      </c>
      <c r="H89" s="184">
        <f>IFERROR(AVERAGE(G89,G96),0)</f>
        <v>0.5</v>
      </c>
      <c r="I89" s="477"/>
      <c r="J89" s="442">
        <f>SUM(H89,H91,H93)</f>
        <v>2.5</v>
      </c>
      <c r="K89" s="566"/>
      <c r="L89" s="550" t="s">
        <v>534</v>
      </c>
      <c r="M89" s="553" t="s">
        <v>541</v>
      </c>
      <c r="N89" s="121"/>
      <c r="O89" s="121"/>
      <c r="P89" s="1"/>
      <c r="Q89" s="1"/>
      <c r="R89" s="1"/>
      <c r="S89" s="1"/>
      <c r="T89" s="1"/>
      <c r="U89" s="1"/>
      <c r="V89" s="1"/>
      <c r="W89" s="1"/>
      <c r="X89" s="1"/>
      <c r="Y89" s="1"/>
    </row>
    <row r="90" spans="1:25" ht="42" x14ac:dyDescent="0.15">
      <c r="A90"/>
      <c r="B90" s="463"/>
      <c r="C90" s="133"/>
      <c r="D90" s="167" t="str">
        <f>VLOOKUP(A89,'imp-questions'!A:H,7,FALSE)</f>
        <v>You have an agreed upon checklist of security principles
You store your checklist in an accessible location
Relevant stakeholders understand security principles</v>
      </c>
      <c r="E90" s="149"/>
      <c r="F90" s="25"/>
      <c r="G90" s="21"/>
      <c r="H90" s="185"/>
      <c r="I90" s="478"/>
      <c r="J90" s="443"/>
      <c r="K90" s="559"/>
      <c r="L90" s="551"/>
      <c r="M90" s="554"/>
      <c r="N90" s="121"/>
      <c r="O90" s="121"/>
      <c r="P90" s="1"/>
      <c r="Q90" s="1"/>
      <c r="R90" s="1"/>
      <c r="S90" s="1"/>
      <c r="T90" s="1"/>
      <c r="U90" s="1"/>
      <c r="V90" s="1"/>
      <c r="W90" s="1"/>
      <c r="X90" s="1"/>
      <c r="Y90" s="1"/>
    </row>
    <row r="91" spans="1:25" x14ac:dyDescent="0.15">
      <c r="A91" s="140" t="s">
        <v>200</v>
      </c>
      <c r="B91" s="463"/>
      <c r="C91" s="181">
        <f>VLOOKUP(A91,'imp-questions'!A:H,5,FALSE)</f>
        <v>2</v>
      </c>
      <c r="D91" s="176" t="str">
        <f>VLOOKUP(A91,'imp-questions'!A:H,6,FALSE)</f>
        <v>Do you use shared security services during design?</v>
      </c>
      <c r="E91" s="144" t="str">
        <f>CHAR(65+VLOOKUP(A91,'imp-questions'!A:H,8,FALSE))</f>
        <v>F</v>
      </c>
      <c r="F91" s="429" t="s">
        <v>321</v>
      </c>
      <c r="G91" s="17">
        <f>IFERROR(VLOOKUP(F91,AnsFTBL,2,FALSE),0)</f>
        <v>1</v>
      </c>
      <c r="H91" s="184">
        <f>IFERROR(AVERAGE(G91,G98),0)</f>
        <v>1</v>
      </c>
      <c r="I91" s="465"/>
      <c r="J91" s="346"/>
      <c r="K91" s="570"/>
      <c r="L91" s="551"/>
      <c r="M91" s="554"/>
      <c r="N91" s="121"/>
      <c r="O91" s="121"/>
      <c r="P91" s="1"/>
      <c r="Q91" s="1"/>
      <c r="R91" s="1"/>
      <c r="S91" s="1"/>
      <c r="T91" s="1"/>
      <c r="U91" s="1"/>
      <c r="V91" s="1"/>
      <c r="W91" s="1"/>
      <c r="X91" s="1"/>
      <c r="Y91" s="1"/>
    </row>
    <row r="92" spans="1:25" ht="42" x14ac:dyDescent="0.15">
      <c r="A92"/>
      <c r="B92" s="463"/>
      <c r="C92" s="133"/>
      <c r="D92" s="167"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49"/>
      <c r="F92" s="25"/>
      <c r="G92" s="21"/>
      <c r="H92" s="188"/>
      <c r="I92" s="466"/>
      <c r="J92" s="346"/>
      <c r="K92" s="563"/>
      <c r="L92" s="551"/>
      <c r="M92" s="554"/>
      <c r="N92" s="121"/>
      <c r="O92" s="121"/>
      <c r="P92" s="1"/>
      <c r="Q92" s="1"/>
      <c r="R92" s="1"/>
      <c r="S92" s="1"/>
      <c r="T92" s="1"/>
      <c r="U92" s="1"/>
      <c r="V92" s="1"/>
      <c r="W92" s="1"/>
      <c r="X92" s="1"/>
      <c r="Y92" s="1"/>
    </row>
    <row r="93" spans="1:25" x14ac:dyDescent="0.15">
      <c r="A93" s="140" t="s">
        <v>201</v>
      </c>
      <c r="B93" s="463"/>
      <c r="C93" s="181">
        <f>VLOOKUP(A93,'imp-questions'!A:H,5,FALSE)</f>
        <v>3</v>
      </c>
      <c r="D93" s="176" t="str">
        <f>VLOOKUP(A93,'imp-questions'!A:H,6,FALSE)</f>
        <v>Do you base your design on available reference architectures?</v>
      </c>
      <c r="E93" s="144" t="str">
        <f>CHAR(65+VLOOKUP(A93,'imp-questions'!A:H,8,FALSE))</f>
        <v>F</v>
      </c>
      <c r="F93" s="429" t="s">
        <v>321</v>
      </c>
      <c r="G93" s="17">
        <f>IFERROR(VLOOKUP(F93,AnsFTBL,2,FALSE),0)</f>
        <v>1</v>
      </c>
      <c r="H93" s="184">
        <f>IFERROR(AVERAGE(G93,G100),0)</f>
        <v>1</v>
      </c>
      <c r="I93" s="479"/>
      <c r="J93" s="346"/>
      <c r="K93" s="562"/>
      <c r="L93" s="551"/>
      <c r="M93" s="554"/>
      <c r="N93" s="121"/>
      <c r="O93" s="121"/>
      <c r="P93" s="1"/>
      <c r="Q93" s="1"/>
      <c r="R93" s="1"/>
      <c r="S93" s="1"/>
      <c r="T93" s="1"/>
      <c r="U93" s="1"/>
      <c r="V93" s="1"/>
      <c r="W93" s="1"/>
      <c r="X93" s="1"/>
      <c r="Y93" s="1"/>
    </row>
    <row r="94" spans="1:25" ht="42" x14ac:dyDescent="0.15">
      <c r="A94"/>
      <c r="B94" s="464"/>
      <c r="C94" s="153"/>
      <c r="D94" s="159"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49"/>
      <c r="F94" s="25"/>
      <c r="G94" s="21"/>
      <c r="H94" s="188"/>
      <c r="I94" s="466"/>
      <c r="J94" s="346"/>
      <c r="K94" s="563"/>
      <c r="L94" s="552"/>
      <c r="M94" s="555"/>
      <c r="N94" s="121"/>
      <c r="O94" s="121"/>
      <c r="P94" s="1"/>
      <c r="Q94" s="1"/>
      <c r="R94" s="1"/>
      <c r="S94" s="1"/>
      <c r="T94" s="1"/>
      <c r="U94" s="1"/>
      <c r="V94" s="1"/>
      <c r="W94" s="1"/>
      <c r="X94" s="1"/>
      <c r="Y94" s="1"/>
    </row>
    <row r="95" spans="1:25" x14ac:dyDescent="0.15">
      <c r="A95"/>
      <c r="B95" s="305"/>
      <c r="C95" s="306"/>
      <c r="D95" s="306"/>
      <c r="E95" s="306"/>
      <c r="F95" s="306"/>
      <c r="G95" s="306"/>
      <c r="H95" s="306"/>
      <c r="I95" s="349"/>
      <c r="J95" s="350"/>
      <c r="K95" s="349"/>
      <c r="L95" s="349"/>
      <c r="M95" s="351"/>
      <c r="N95" s="121"/>
      <c r="O95" s="121"/>
      <c r="P95" s="1"/>
      <c r="Q95" s="1"/>
      <c r="R95" s="1"/>
      <c r="S95" s="1"/>
      <c r="T95" s="1"/>
      <c r="U95" s="1"/>
      <c r="V95" s="1"/>
      <c r="W95" s="1"/>
      <c r="X95" s="1"/>
      <c r="Y95" s="1"/>
    </row>
    <row r="96" spans="1:25" x14ac:dyDescent="0.15">
      <c r="A96" s="140" t="s">
        <v>203</v>
      </c>
      <c r="B96" s="462" t="str">
        <f>VLOOKUP(A96,'imp-questions'!A:H,4,FALSE)</f>
        <v>Technology Management</v>
      </c>
      <c r="C96" s="181">
        <f>VLOOKUP(A96,'imp-questions'!A:H,5,FALSE)</f>
        <v>1</v>
      </c>
      <c r="D96" s="176" t="str">
        <f>VLOOKUP(A96,'imp-questions'!A:H,6,FALSE)</f>
        <v>Do you evaluate the security quality of important technologies used for development?</v>
      </c>
      <c r="E96" s="144" t="str">
        <f>CHAR(65+VLOOKUP(A96,'imp-questions'!A:H,8,FALSE))</f>
        <v>F</v>
      </c>
      <c r="F96" s="429" t="s">
        <v>27</v>
      </c>
      <c r="G96" s="17">
        <f>IFERROR(VLOOKUP(F96,AnsFTBL,2,FALSE),0)</f>
        <v>0</v>
      </c>
      <c r="H96" s="95"/>
      <c r="I96" s="467"/>
      <c r="J96" s="347"/>
      <c r="K96" s="546"/>
      <c r="L96" s="550" t="s">
        <v>534</v>
      </c>
      <c r="M96" s="553" t="s">
        <v>541</v>
      </c>
      <c r="N96" s="121"/>
      <c r="O96" s="121"/>
      <c r="P96" s="1"/>
      <c r="Q96" s="1"/>
      <c r="R96" s="1"/>
      <c r="S96" s="1"/>
      <c r="T96" s="1"/>
      <c r="U96" s="1"/>
      <c r="V96" s="1"/>
      <c r="W96" s="1"/>
      <c r="X96" s="1"/>
      <c r="Y96" s="1"/>
    </row>
    <row r="97" spans="1:25" ht="42" x14ac:dyDescent="0.15">
      <c r="A97"/>
      <c r="B97" s="463"/>
      <c r="C97" s="133"/>
      <c r="D97" s="167" t="str">
        <f>VLOOKUP(A96,'imp-questions'!A:H,7,FALSE)</f>
        <v>You have a list of the most important technologies used in or in support of each application
You identify and track technological risks
You ensure the risks to these technologies are in line with the organizational baseline</v>
      </c>
      <c r="E97" s="149"/>
      <c r="F97" s="25"/>
      <c r="G97" s="21"/>
      <c r="H97" s="107"/>
      <c r="I97" s="440"/>
      <c r="J97" s="347"/>
      <c r="K97" s="557"/>
      <c r="L97" s="551"/>
      <c r="M97" s="554"/>
      <c r="N97" s="121"/>
      <c r="O97" s="121"/>
      <c r="P97" s="1"/>
      <c r="Q97" s="1"/>
      <c r="R97" s="1"/>
      <c r="S97" s="1"/>
      <c r="T97" s="1"/>
      <c r="U97" s="1"/>
      <c r="V97" s="1"/>
      <c r="W97" s="1"/>
      <c r="X97" s="1"/>
      <c r="Y97" s="1"/>
    </row>
    <row r="98" spans="1:25" ht="28" x14ac:dyDescent="0.15">
      <c r="A98" s="140" t="s">
        <v>205</v>
      </c>
      <c r="B98" s="463"/>
      <c r="C98" s="181">
        <f>VLOOKUP(A98,'imp-questions'!A:H,5,FALSE)</f>
        <v>2</v>
      </c>
      <c r="D98" s="176" t="str">
        <f>VLOOKUP(A98,'imp-questions'!A:H,6,FALSE)</f>
        <v>Do you have a list of recommended technologies for the organization?</v>
      </c>
      <c r="E98" s="144" t="str">
        <f>CHAR(65+VLOOKUP(A98,'imp-questions'!A:H,8,FALSE))</f>
        <v>U</v>
      </c>
      <c r="F98" s="431" t="s">
        <v>333</v>
      </c>
      <c r="G98" s="17">
        <f>IFERROR(VLOOKUP(F98,AnsUTBL,2,FALSE),0)</f>
        <v>1</v>
      </c>
      <c r="H98" s="95"/>
      <c r="I98" s="467"/>
      <c r="J98" s="347"/>
      <c r="K98" s="546"/>
      <c r="L98" s="551"/>
      <c r="M98" s="554"/>
      <c r="N98" s="121"/>
      <c r="O98" s="121"/>
      <c r="P98" s="1"/>
      <c r="Q98" s="1"/>
      <c r="R98" s="1"/>
      <c r="S98" s="1"/>
      <c r="T98" s="1"/>
      <c r="U98" s="1"/>
      <c r="V98" s="1"/>
      <c r="W98" s="1"/>
      <c r="X98" s="1"/>
      <c r="Y98" s="1"/>
    </row>
    <row r="99" spans="1:25" ht="56" x14ac:dyDescent="0.15">
      <c r="A99"/>
      <c r="B99" s="463"/>
      <c r="C99" s="133"/>
      <c r="D99" s="167" t="str">
        <f>VLOOKUP(A98,'imp-questions'!A:H,7,FALSE)</f>
        <v>The list is based on technologies used in the software portfolio
Lead architects and developers review and approve the list
You share the list across the organization
You review and update the list at least yearly</v>
      </c>
      <c r="E99" s="149"/>
      <c r="F99" s="25"/>
      <c r="G99" s="21"/>
      <c r="H99" s="107"/>
      <c r="I99" s="440"/>
      <c r="J99" s="347"/>
      <c r="K99" s="557"/>
      <c r="L99" s="551"/>
      <c r="M99" s="554"/>
      <c r="N99" s="121"/>
      <c r="O99" s="121"/>
      <c r="P99" s="1"/>
      <c r="Q99" s="1"/>
      <c r="R99" s="1"/>
      <c r="S99" s="1"/>
      <c r="T99" s="1"/>
      <c r="U99" s="1"/>
      <c r="V99" s="1"/>
      <c r="W99" s="1"/>
      <c r="X99" s="1"/>
      <c r="Y99" s="1"/>
    </row>
    <row r="100" spans="1:25" x14ac:dyDescent="0.15">
      <c r="A100" s="140" t="s">
        <v>206</v>
      </c>
      <c r="B100" s="463"/>
      <c r="C100" s="181">
        <f>VLOOKUP(A100,'imp-questions'!A:H,5,FALSE)</f>
        <v>3</v>
      </c>
      <c r="D100" s="176" t="str">
        <f>VLOOKUP(A100,'imp-questions'!A:H,6,FALSE)</f>
        <v>Do you enforce the use of recommended technologies within the organization?</v>
      </c>
      <c r="E100" s="144" t="str">
        <f>CHAR(65+VLOOKUP(A100,'imp-questions'!A:H,8,FALSE))</f>
        <v>F</v>
      </c>
      <c r="F100" s="429" t="s">
        <v>321</v>
      </c>
      <c r="G100" s="17">
        <f>IFERROR(VLOOKUP(F100,AnsFTBL,2,FALSE),0)</f>
        <v>1</v>
      </c>
      <c r="H100" s="95"/>
      <c r="I100" s="467"/>
      <c r="J100" s="347"/>
      <c r="K100" s="546"/>
      <c r="L100" s="551"/>
      <c r="M100" s="554"/>
      <c r="N100" s="121"/>
      <c r="O100" s="121"/>
      <c r="P100" s="1"/>
      <c r="Q100" s="1"/>
      <c r="R100" s="1"/>
      <c r="S100" s="1"/>
      <c r="T100" s="1"/>
      <c r="U100" s="1"/>
      <c r="V100" s="1"/>
      <c r="W100" s="1"/>
      <c r="X100" s="1"/>
      <c r="Y100" s="1"/>
    </row>
    <row r="101" spans="1:25" ht="42" x14ac:dyDescent="0.15">
      <c r="A101"/>
      <c r="B101" s="536"/>
      <c r="C101" s="133"/>
      <c r="D101" s="167"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45"/>
      <c r="F101" s="317"/>
      <c r="G101" s="318"/>
      <c r="H101" s="319"/>
      <c r="I101" s="468"/>
      <c r="J101" s="348"/>
      <c r="K101" s="547"/>
      <c r="L101" s="552"/>
      <c r="M101" s="555"/>
      <c r="N101" s="121"/>
      <c r="O101" s="121"/>
      <c r="P101" s="1"/>
      <c r="Q101" s="1"/>
      <c r="R101" s="1"/>
      <c r="S101" s="1"/>
      <c r="T101" s="1"/>
      <c r="U101" s="1"/>
      <c r="V101" s="1"/>
      <c r="W101" s="1"/>
      <c r="X101" s="1"/>
      <c r="Y101" s="1"/>
    </row>
    <row r="102" spans="1:25" ht="13" x14ac:dyDescent="0.15">
      <c r="A102"/>
      <c r="B102" s="469" t="s">
        <v>208</v>
      </c>
      <c r="C102" s="470"/>
      <c r="D102" s="470"/>
      <c r="E102" s="470"/>
      <c r="F102" s="470"/>
      <c r="G102" s="470"/>
      <c r="H102" s="470"/>
      <c r="I102" s="470"/>
      <c r="J102" s="470"/>
      <c r="K102" s="371"/>
      <c r="L102" s="371"/>
      <c r="M102" s="372"/>
      <c r="N102" s="121"/>
      <c r="O102" s="121"/>
      <c r="P102" s="1"/>
      <c r="Q102" s="1"/>
      <c r="R102" s="1"/>
      <c r="S102" s="1"/>
      <c r="T102" s="1"/>
      <c r="U102" s="1"/>
      <c r="V102" s="1"/>
      <c r="W102" s="1"/>
      <c r="X102" s="1"/>
      <c r="Y102" s="1"/>
    </row>
    <row r="103" spans="1:25" x14ac:dyDescent="0.15">
      <c r="A103"/>
      <c r="B103" s="471" t="s">
        <v>209</v>
      </c>
      <c r="C103" s="472"/>
      <c r="D103" s="473"/>
      <c r="E103" s="373"/>
      <c r="F103" s="374" t="s">
        <v>31</v>
      </c>
      <c r="G103" s="374"/>
      <c r="H103" s="375"/>
      <c r="I103" s="376" t="s">
        <v>543</v>
      </c>
      <c r="J103" s="377" t="s">
        <v>29</v>
      </c>
      <c r="K103" s="378"/>
      <c r="L103" s="379"/>
      <c r="M103" s="380"/>
      <c r="N103" s="121"/>
      <c r="O103" s="121"/>
      <c r="P103" s="1"/>
      <c r="Q103" s="1"/>
      <c r="R103" s="1"/>
      <c r="S103" s="1"/>
      <c r="T103" s="1"/>
      <c r="U103" s="1"/>
      <c r="V103" s="1"/>
      <c r="W103" s="1"/>
      <c r="X103" s="1"/>
      <c r="Y103" s="1"/>
    </row>
    <row r="104" spans="1:25" x14ac:dyDescent="0.15">
      <c r="A104" s="140" t="s">
        <v>207</v>
      </c>
      <c r="B104" s="474" t="str">
        <f>VLOOKUP(A104,'imp-questions'!A:H,4,FALSE)</f>
        <v>Build Process</v>
      </c>
      <c r="C104" s="294">
        <f>VLOOKUP(A104,'imp-questions'!A:H,5,FALSE)</f>
        <v>1</v>
      </c>
      <c r="D104" s="176" t="str">
        <f>VLOOKUP(A104,'imp-questions'!A:H,6,FALSE)</f>
        <v>Is your full build process formally described?</v>
      </c>
      <c r="E104" s="144" t="str">
        <f>CHAR(65+VLOOKUP(A104,'imp-questions'!A:H,8,FALSE))</f>
        <v>F</v>
      </c>
      <c r="F104" s="429" t="s">
        <v>27</v>
      </c>
      <c r="G104" s="17">
        <f>IFERROR(VLOOKUP(F104,AnsFTBL,2,FALSE),0)</f>
        <v>0</v>
      </c>
      <c r="H104" s="184">
        <f>IFERROR(AVERAGE(G104,G111),0)</f>
        <v>0</v>
      </c>
      <c r="I104" s="477"/>
      <c r="J104" s="504">
        <f>SUM(H104,H106,H108)</f>
        <v>0.5</v>
      </c>
      <c r="K104" s="566"/>
      <c r="L104" s="550" t="s">
        <v>534</v>
      </c>
      <c r="M104" s="553" t="s">
        <v>541</v>
      </c>
      <c r="N104" s="121"/>
      <c r="O104" s="121"/>
      <c r="P104" s="1"/>
      <c r="Q104" s="1"/>
      <c r="R104" s="1"/>
      <c r="S104" s="1"/>
      <c r="T104" s="1"/>
      <c r="U104" s="1"/>
      <c r="V104" s="1"/>
      <c r="W104" s="1"/>
      <c r="X104" s="1"/>
      <c r="Y104" s="1"/>
    </row>
    <row r="105" spans="1:25" ht="70" x14ac:dyDescent="0.15">
      <c r="A105"/>
      <c r="B105" s="475"/>
      <c r="C105" s="133"/>
      <c r="D105" s="167"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49"/>
      <c r="F105" s="25"/>
      <c r="G105" s="21"/>
      <c r="H105" s="185"/>
      <c r="I105" s="478"/>
      <c r="J105" s="505"/>
      <c r="K105" s="559"/>
      <c r="L105" s="551"/>
      <c r="M105" s="554"/>
      <c r="N105" s="121"/>
      <c r="O105" s="121"/>
      <c r="P105" s="1"/>
      <c r="Q105" s="1"/>
      <c r="R105" s="1"/>
      <c r="S105" s="1"/>
      <c r="T105" s="1"/>
      <c r="U105" s="1"/>
      <c r="V105" s="1"/>
      <c r="W105" s="1"/>
      <c r="X105" s="1"/>
      <c r="Y105" s="1"/>
    </row>
    <row r="106" spans="1:25" x14ac:dyDescent="0.15">
      <c r="A106" s="140" t="s">
        <v>211</v>
      </c>
      <c r="B106" s="475"/>
      <c r="C106" s="294">
        <f>VLOOKUP(A106,'imp-questions'!A:H,5,FALSE)</f>
        <v>2</v>
      </c>
      <c r="D106" s="176" t="str">
        <f>VLOOKUP(A106,'imp-questions'!A:H,6,FALSE)</f>
        <v>Is the build process fully automated?</v>
      </c>
      <c r="E106" s="144" t="str">
        <f>CHAR(65+VLOOKUP(A106,'imp-questions'!A:H,8,FALSE))</f>
        <v>F</v>
      </c>
      <c r="F106" s="429" t="s">
        <v>27</v>
      </c>
      <c r="G106" s="17">
        <f>IFERROR(VLOOKUP(F106,AnsFTBL,2,FALSE),0)</f>
        <v>0</v>
      </c>
      <c r="H106" s="184">
        <f>IFERROR(AVERAGE(G106,G113),0)</f>
        <v>0</v>
      </c>
      <c r="I106" s="465"/>
      <c r="J106" s="346"/>
      <c r="K106" s="570"/>
      <c r="L106" s="551"/>
      <c r="M106" s="554"/>
      <c r="N106" s="121"/>
      <c r="O106" s="121"/>
      <c r="P106" s="1"/>
      <c r="Q106" s="1"/>
      <c r="R106" s="1"/>
      <c r="S106" s="1"/>
      <c r="T106" s="1"/>
      <c r="U106" s="1"/>
      <c r="V106" s="1"/>
      <c r="W106" s="1"/>
      <c r="X106" s="1"/>
      <c r="Y106" s="1"/>
    </row>
    <row r="107" spans="1:25" ht="42" x14ac:dyDescent="0.15">
      <c r="A107"/>
      <c r="B107" s="475"/>
      <c r="C107" s="133"/>
      <c r="D107" s="167"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49"/>
      <c r="F107" s="25"/>
      <c r="G107" s="21"/>
      <c r="H107" s="188"/>
      <c r="I107" s="466"/>
      <c r="J107" s="346"/>
      <c r="K107" s="563"/>
      <c r="L107" s="551"/>
      <c r="M107" s="554"/>
      <c r="N107" s="121"/>
      <c r="O107" s="121"/>
      <c r="P107" s="1"/>
      <c r="Q107" s="1"/>
      <c r="R107" s="1"/>
      <c r="S107" s="1"/>
      <c r="T107" s="1"/>
      <c r="U107" s="1"/>
      <c r="V107" s="1"/>
      <c r="W107" s="1"/>
      <c r="X107" s="1"/>
      <c r="Y107" s="1"/>
    </row>
    <row r="108" spans="1:25" x14ac:dyDescent="0.15">
      <c r="A108" s="140" t="s">
        <v>212</v>
      </c>
      <c r="B108" s="475"/>
      <c r="C108" s="294">
        <f>VLOOKUP(A108,'imp-questions'!A:H,5,FALSE)</f>
        <v>3</v>
      </c>
      <c r="D108" s="176" t="str">
        <f>VLOOKUP(A108,'imp-questions'!A:H,6,FALSE)</f>
        <v>Do you enforce automated security checks in your build processes?</v>
      </c>
      <c r="E108" s="144" t="str">
        <f>CHAR(65+VLOOKUP(A108,'imp-questions'!A:H,8,FALSE))</f>
        <v>F</v>
      </c>
      <c r="F108" s="429" t="s">
        <v>27</v>
      </c>
      <c r="G108" s="17">
        <f>IFERROR(VLOOKUP(F108,AnsFTBL,2,FALSE),0)</f>
        <v>0</v>
      </c>
      <c r="H108" s="184">
        <f>IFERROR(AVERAGE(G108,G115),0)</f>
        <v>0.5</v>
      </c>
      <c r="I108" s="479"/>
      <c r="J108" s="346"/>
      <c r="K108" s="562"/>
      <c r="L108" s="551"/>
      <c r="M108" s="554"/>
      <c r="N108" s="121"/>
      <c r="O108" s="121"/>
      <c r="P108" s="1"/>
      <c r="Q108" s="1"/>
      <c r="R108" s="1"/>
      <c r="S108" s="1"/>
      <c r="T108" s="1"/>
      <c r="U108" s="1"/>
      <c r="V108" s="1"/>
      <c r="W108" s="1"/>
      <c r="X108" s="1"/>
      <c r="Y108" s="1"/>
    </row>
    <row r="109" spans="1:25" ht="56" x14ac:dyDescent="0.15">
      <c r="A109"/>
      <c r="B109" s="476"/>
      <c r="C109" s="153"/>
      <c r="D109" s="159"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49"/>
      <c r="F109" s="25"/>
      <c r="G109" s="21"/>
      <c r="H109" s="188"/>
      <c r="I109" s="466"/>
      <c r="J109" s="346"/>
      <c r="K109" s="563"/>
      <c r="L109" s="552"/>
      <c r="M109" s="555"/>
      <c r="N109" s="121"/>
      <c r="O109" s="121"/>
      <c r="P109" s="1"/>
      <c r="Q109" s="1"/>
      <c r="R109" s="1"/>
      <c r="S109" s="1"/>
      <c r="T109" s="1"/>
      <c r="U109" s="1"/>
      <c r="V109" s="1"/>
      <c r="W109" s="1"/>
      <c r="X109" s="1"/>
      <c r="Y109" s="1"/>
    </row>
    <row r="110" spans="1:25" x14ac:dyDescent="0.15">
      <c r="A110"/>
      <c r="B110" s="305"/>
      <c r="C110" s="306"/>
      <c r="D110" s="306"/>
      <c r="E110" s="306"/>
      <c r="F110" s="306"/>
      <c r="G110" s="306"/>
      <c r="H110" s="306"/>
      <c r="I110" s="349"/>
      <c r="J110" s="350"/>
      <c r="K110" s="349"/>
      <c r="L110" s="349"/>
      <c r="M110" s="351"/>
      <c r="N110" s="121"/>
      <c r="O110" s="121"/>
      <c r="P110" s="1"/>
      <c r="Q110" s="1"/>
      <c r="R110" s="1"/>
      <c r="S110" s="1"/>
      <c r="T110" s="1"/>
      <c r="U110" s="1"/>
      <c r="V110" s="1"/>
      <c r="W110" s="1"/>
      <c r="X110" s="1"/>
      <c r="Y110" s="1"/>
    </row>
    <row r="111" spans="1:25" x14ac:dyDescent="0.15">
      <c r="A111" s="140" t="s">
        <v>213</v>
      </c>
      <c r="B111" s="474" t="str">
        <f>VLOOKUP(A111,'imp-questions'!A:H,4,FALSE)</f>
        <v>Software Dependencies</v>
      </c>
      <c r="C111" s="294">
        <f>VLOOKUP(A111,'imp-questions'!A:H,5,FALSE)</f>
        <v>1</v>
      </c>
      <c r="D111" s="176" t="str">
        <f>VLOOKUP(A111,'imp-questions'!A:H,6,FALSE)</f>
        <v>Do you have solid knowledge about dependencies you're relying on?</v>
      </c>
      <c r="E111" s="144" t="str">
        <f>CHAR(65+VLOOKUP(A111,'imp-questions'!A:H,8,FALSE))</f>
        <v>F</v>
      </c>
      <c r="F111" s="429" t="s">
        <v>27</v>
      </c>
      <c r="G111" s="17">
        <f>IFERROR(VLOOKUP(F111,AnsFTBL,2,FALSE),0)</f>
        <v>0</v>
      </c>
      <c r="H111" s="95"/>
      <c r="I111" s="439"/>
      <c r="J111" s="347"/>
      <c r="K111" s="567"/>
      <c r="L111" s="550" t="s">
        <v>534</v>
      </c>
      <c r="M111" s="553" t="s">
        <v>541</v>
      </c>
      <c r="N111" s="121"/>
      <c r="O111" s="121"/>
      <c r="P111" s="1"/>
      <c r="Q111" s="1"/>
      <c r="R111" s="1"/>
      <c r="S111" s="1"/>
      <c r="T111" s="1"/>
      <c r="U111" s="1"/>
      <c r="V111" s="1"/>
      <c r="W111" s="1"/>
      <c r="X111" s="1"/>
      <c r="Y111" s="1"/>
    </row>
    <row r="112" spans="1:25" ht="42" x14ac:dyDescent="0.15">
      <c r="A112"/>
      <c r="B112" s="475"/>
      <c r="C112" s="133"/>
      <c r="D112" s="167"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49"/>
      <c r="F112" s="25"/>
      <c r="G112" s="21"/>
      <c r="H112" s="107"/>
      <c r="I112" s="440"/>
      <c r="J112" s="347"/>
      <c r="K112" s="557"/>
      <c r="L112" s="551"/>
      <c r="M112" s="554"/>
      <c r="N112" s="121"/>
      <c r="O112" s="121"/>
      <c r="P112" s="1"/>
      <c r="Q112" s="1"/>
      <c r="R112" s="1"/>
      <c r="S112" s="1"/>
      <c r="T112" s="1"/>
      <c r="U112" s="1"/>
      <c r="V112" s="1"/>
      <c r="W112" s="1"/>
      <c r="X112" s="1"/>
      <c r="Y112" s="1"/>
    </row>
    <row r="113" spans="1:25" x14ac:dyDescent="0.15">
      <c r="A113" s="140" t="s">
        <v>215</v>
      </c>
      <c r="B113" s="475"/>
      <c r="C113" s="294">
        <f>VLOOKUP(A113,'imp-questions'!A:H,5,FALSE)</f>
        <v>2</v>
      </c>
      <c r="D113" s="176" t="str">
        <f>VLOOKUP(A113,'imp-questions'!A:H,6,FALSE)</f>
        <v>Do you handle 3rd party dependency risk by a formal process?</v>
      </c>
      <c r="E113" s="144" t="str">
        <f>CHAR(65+VLOOKUP(A113,'imp-questions'!A:H,8,FALSE))</f>
        <v>F</v>
      </c>
      <c r="F113" s="429" t="s">
        <v>27</v>
      </c>
      <c r="G113" s="17">
        <f>IFERROR(VLOOKUP(F113,AnsFTBL,2,FALSE),0)</f>
        <v>0</v>
      </c>
      <c r="H113" s="95"/>
      <c r="I113" s="439"/>
      <c r="J113" s="347"/>
      <c r="K113" s="567"/>
      <c r="L113" s="551"/>
      <c r="M113" s="554"/>
      <c r="N113" s="121"/>
      <c r="O113" s="121"/>
      <c r="P113" s="1"/>
      <c r="Q113" s="1"/>
      <c r="R113" s="1"/>
      <c r="S113" s="1"/>
      <c r="T113" s="1"/>
      <c r="U113" s="1"/>
      <c r="V113" s="1"/>
      <c r="W113" s="1"/>
      <c r="X113" s="1"/>
      <c r="Y113" s="1"/>
    </row>
    <row r="114" spans="1:25" ht="70" x14ac:dyDescent="0.15">
      <c r="A114"/>
      <c r="B114" s="475"/>
      <c r="C114" s="133"/>
      <c r="D114" s="167"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49"/>
      <c r="F114" s="25"/>
      <c r="G114" s="21"/>
      <c r="H114" s="107"/>
      <c r="I114" s="440"/>
      <c r="J114" s="347"/>
      <c r="K114" s="557"/>
      <c r="L114" s="551"/>
      <c r="M114" s="554"/>
      <c r="N114" s="121"/>
      <c r="O114" s="121"/>
      <c r="P114" s="1"/>
      <c r="Q114" s="1"/>
      <c r="R114" s="1"/>
      <c r="S114" s="1"/>
      <c r="T114" s="1"/>
      <c r="U114" s="1"/>
      <c r="V114" s="1"/>
      <c r="W114" s="1"/>
      <c r="X114" s="1"/>
      <c r="Y114" s="1"/>
    </row>
    <row r="115" spans="1:25" x14ac:dyDescent="0.15">
      <c r="A115" s="140" t="s">
        <v>216</v>
      </c>
      <c r="B115" s="475"/>
      <c r="C115" s="294">
        <f>VLOOKUP(A115,'imp-questions'!A:H,5,FALSE)</f>
        <v>3</v>
      </c>
      <c r="D115" s="176" t="str">
        <f>VLOOKUP(A115,'imp-questions'!A:H,6,FALSE)</f>
        <v>Do you prevent build of software if it's affected by vulnerabilities in dependencies?</v>
      </c>
      <c r="E115" s="144" t="str">
        <f>CHAR(65+VLOOKUP(A115,'imp-questions'!A:H,8,FALSE))</f>
        <v>F</v>
      </c>
      <c r="F115" s="429" t="s">
        <v>321</v>
      </c>
      <c r="G115" s="17">
        <f>IFERROR(VLOOKUP(F115,AnsFTBL,2,FALSE),0)</f>
        <v>1</v>
      </c>
      <c r="H115" s="95"/>
      <c r="I115" s="439"/>
      <c r="J115" s="347"/>
      <c r="K115" s="567"/>
      <c r="L115" s="551"/>
      <c r="M115" s="554"/>
      <c r="N115" s="121"/>
      <c r="O115" s="121"/>
      <c r="P115" s="1"/>
      <c r="Q115" s="1"/>
      <c r="R115" s="1"/>
      <c r="S115" s="1"/>
      <c r="T115" s="1"/>
      <c r="U115" s="1"/>
      <c r="V115" s="1"/>
      <c r="W115" s="1"/>
      <c r="X115" s="1"/>
      <c r="Y115" s="1"/>
    </row>
    <row r="116" spans="1:25" ht="70" x14ac:dyDescent="0.15">
      <c r="A116"/>
      <c r="B116" s="480"/>
      <c r="C116" s="133"/>
      <c r="D116" s="167"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45"/>
      <c r="F116" s="317"/>
      <c r="G116" s="318"/>
      <c r="H116" s="319"/>
      <c r="I116" s="468"/>
      <c r="J116" s="348"/>
      <c r="K116" s="547"/>
      <c r="L116" s="552"/>
      <c r="M116" s="555"/>
      <c r="N116" s="121"/>
      <c r="O116" s="121"/>
      <c r="P116" s="1"/>
      <c r="Q116" s="1"/>
      <c r="R116" s="1"/>
      <c r="S116" s="1"/>
      <c r="T116" s="1"/>
      <c r="U116" s="1"/>
      <c r="V116" s="1"/>
      <c r="W116" s="1"/>
      <c r="X116" s="1"/>
      <c r="Y116" s="1"/>
    </row>
    <row r="117" spans="1:25" x14ac:dyDescent="0.15">
      <c r="A117"/>
      <c r="B117" s="494" t="s">
        <v>219</v>
      </c>
      <c r="C117" s="495"/>
      <c r="D117" s="496"/>
      <c r="E117" s="326"/>
      <c r="F117" s="327" t="s">
        <v>31</v>
      </c>
      <c r="G117" s="328"/>
      <c r="H117" s="329"/>
      <c r="I117" s="381" t="s">
        <v>543</v>
      </c>
      <c r="J117" s="382" t="s">
        <v>29</v>
      </c>
      <c r="K117" s="383"/>
      <c r="L117" s="384"/>
      <c r="M117" s="385"/>
      <c r="N117" s="121"/>
      <c r="O117" s="121"/>
      <c r="P117" s="1"/>
      <c r="Q117" s="1"/>
      <c r="R117" s="1"/>
      <c r="S117" s="1"/>
      <c r="T117" s="1"/>
      <c r="U117" s="1"/>
      <c r="V117" s="1"/>
      <c r="W117" s="1"/>
      <c r="X117" s="1"/>
      <c r="Y117" s="1"/>
    </row>
    <row r="118" spans="1:25" ht="14" customHeight="1" x14ac:dyDescent="0.15">
      <c r="A118" s="140" t="s">
        <v>218</v>
      </c>
      <c r="B118" s="480" t="str">
        <f>VLOOKUP(A118,'imp-questions'!A:H,4,FALSE)</f>
        <v>Deployment Process</v>
      </c>
      <c r="C118" s="325">
        <f>VLOOKUP(A118,'imp-questions'!A:H,5,FALSE)</f>
        <v>1</v>
      </c>
      <c r="D118" s="302" t="str">
        <f>VLOOKUP(A118,'imp-questions'!A:H,6,FALSE)</f>
        <v>Do you use repeatable deployment processes?</v>
      </c>
      <c r="E118" s="146" t="str">
        <f>CHAR(65+VLOOKUP(A118,'imp-questions'!A:H,8,FALSE))</f>
        <v>F</v>
      </c>
      <c r="F118" s="430" t="s">
        <v>125</v>
      </c>
      <c r="G118" s="303">
        <f>IFERROR(VLOOKUP(F118,AnsFTBL,2,FALSE),0)</f>
        <v>0.25</v>
      </c>
      <c r="H118" s="320">
        <f>IFERROR(AVERAGE(G118,G125),0)</f>
        <v>0.625</v>
      </c>
      <c r="I118" s="539"/>
      <c r="J118" s="505">
        <f>SUM(H118,H120,H122)</f>
        <v>1.75</v>
      </c>
      <c r="K118" s="558"/>
      <c r="L118" s="550" t="s">
        <v>534</v>
      </c>
      <c r="M118" s="553" t="s">
        <v>541</v>
      </c>
      <c r="N118" s="121"/>
      <c r="O118" s="121"/>
      <c r="P118" s="1"/>
      <c r="Q118" s="1"/>
      <c r="R118" s="1"/>
      <c r="S118" s="1"/>
      <c r="T118" s="1"/>
      <c r="U118" s="1"/>
      <c r="V118" s="1"/>
      <c r="W118" s="1"/>
      <c r="X118" s="1"/>
      <c r="Y118" s="1"/>
    </row>
    <row r="119" spans="1:25" ht="70" x14ac:dyDescent="0.15">
      <c r="A119"/>
      <c r="B119" s="475"/>
      <c r="C119" s="133"/>
      <c r="D119" s="167"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49"/>
      <c r="F119" s="25"/>
      <c r="G119" s="21"/>
      <c r="H119" s="185"/>
      <c r="I119" s="478"/>
      <c r="J119" s="505"/>
      <c r="K119" s="559"/>
      <c r="L119" s="551"/>
      <c r="M119" s="554"/>
      <c r="N119" s="121"/>
      <c r="O119" s="121"/>
      <c r="P119" s="1"/>
      <c r="Q119" s="1"/>
      <c r="R119" s="1"/>
      <c r="S119" s="1"/>
      <c r="T119" s="1"/>
      <c r="U119" s="1"/>
      <c r="V119" s="1"/>
      <c r="W119" s="1"/>
      <c r="X119" s="1"/>
      <c r="Y119" s="1"/>
    </row>
    <row r="120" spans="1:25" x14ac:dyDescent="0.15">
      <c r="A120" s="140" t="s">
        <v>222</v>
      </c>
      <c r="B120" s="475"/>
      <c r="C120" s="294">
        <f>VLOOKUP(A120,'imp-questions'!A:H,5,FALSE)</f>
        <v>2</v>
      </c>
      <c r="D120" s="176" t="str">
        <f>VLOOKUP(A120,'imp-questions'!A:H,6,FALSE)</f>
        <v>Are deployment processes automated and employing security checks?</v>
      </c>
      <c r="E120" s="144" t="str">
        <f>CHAR(65+VLOOKUP(A120,'imp-questions'!A:H,8,FALSE))</f>
        <v>F</v>
      </c>
      <c r="F120" s="429" t="s">
        <v>27</v>
      </c>
      <c r="G120" s="17">
        <f>IFERROR(VLOOKUP(F120,AnsFTBL,2,FALSE),0)</f>
        <v>0</v>
      </c>
      <c r="H120" s="184">
        <f>IFERROR(AVERAGE(G120,G127),0)</f>
        <v>0.125</v>
      </c>
      <c r="I120" s="465"/>
      <c r="J120" s="346"/>
      <c r="K120" s="570"/>
      <c r="L120" s="551"/>
      <c r="M120" s="554"/>
      <c r="N120" s="121"/>
      <c r="O120" s="121"/>
      <c r="P120" s="1"/>
      <c r="Q120" s="1"/>
      <c r="R120" s="1"/>
      <c r="S120" s="1"/>
      <c r="T120" s="1"/>
      <c r="U120" s="1"/>
      <c r="V120" s="1"/>
      <c r="W120" s="1"/>
      <c r="X120" s="1"/>
      <c r="Y120" s="1"/>
    </row>
    <row r="121" spans="1:25" ht="56" x14ac:dyDescent="0.15">
      <c r="A121"/>
      <c r="B121" s="475"/>
      <c r="C121" s="133"/>
      <c r="D121" s="167"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49"/>
      <c r="F121" s="25"/>
      <c r="G121" s="21"/>
      <c r="H121" s="188"/>
      <c r="I121" s="466"/>
      <c r="J121" s="346"/>
      <c r="K121" s="563"/>
      <c r="L121" s="551"/>
      <c r="M121" s="554"/>
      <c r="N121" s="121"/>
      <c r="O121" s="121"/>
      <c r="P121" s="1"/>
      <c r="Q121" s="1"/>
      <c r="R121" s="1"/>
      <c r="S121" s="1"/>
      <c r="T121" s="1"/>
      <c r="U121" s="1"/>
      <c r="V121" s="1"/>
      <c r="W121" s="1"/>
      <c r="X121" s="1"/>
      <c r="Y121" s="1"/>
    </row>
    <row r="122" spans="1:25" x14ac:dyDescent="0.15">
      <c r="A122" s="140" t="s">
        <v>223</v>
      </c>
      <c r="B122" s="475"/>
      <c r="C122" s="294">
        <f>VLOOKUP(A122,'imp-questions'!A:H,5,FALSE)</f>
        <v>3</v>
      </c>
      <c r="D122" s="176" t="str">
        <f>VLOOKUP(A122,'imp-questions'!A:H,6,FALSE)</f>
        <v>Do you consistently validate the integrity of deployed artifacts?</v>
      </c>
      <c r="E122" s="144" t="str">
        <f>CHAR(65+VLOOKUP(A122,'imp-questions'!A:H,8,FALSE))</f>
        <v>F</v>
      </c>
      <c r="F122" s="429" t="s">
        <v>321</v>
      </c>
      <c r="G122" s="17">
        <f>IFERROR(VLOOKUP(F122,AnsFTBL,2,FALSE),0)</f>
        <v>1</v>
      </c>
      <c r="H122" s="184">
        <f>IFERROR(AVERAGE(G122,G129),0)</f>
        <v>1</v>
      </c>
      <c r="I122" s="479"/>
      <c r="J122" s="346"/>
      <c r="K122" s="562"/>
      <c r="L122" s="551"/>
      <c r="M122" s="554"/>
      <c r="N122" s="121"/>
      <c r="O122" s="121"/>
      <c r="P122" s="1"/>
      <c r="Q122" s="1"/>
      <c r="R122" s="1"/>
      <c r="S122" s="1"/>
      <c r="T122" s="1"/>
      <c r="U122" s="1"/>
      <c r="V122" s="1"/>
      <c r="W122" s="1"/>
      <c r="X122" s="1"/>
      <c r="Y122" s="1"/>
    </row>
    <row r="123" spans="1:25" ht="42" x14ac:dyDescent="0.15">
      <c r="A123"/>
      <c r="B123" s="476"/>
      <c r="C123" s="153"/>
      <c r="D123" s="159"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49"/>
      <c r="F123" s="25"/>
      <c r="G123" s="21"/>
      <c r="H123" s="188"/>
      <c r="I123" s="466"/>
      <c r="J123" s="346"/>
      <c r="K123" s="563"/>
      <c r="L123" s="552"/>
      <c r="M123" s="555"/>
      <c r="N123" s="121"/>
      <c r="O123" s="121"/>
      <c r="P123" s="1"/>
      <c r="Q123" s="1"/>
      <c r="R123" s="1"/>
      <c r="S123" s="1"/>
      <c r="T123" s="1"/>
      <c r="U123" s="1"/>
      <c r="V123" s="1"/>
      <c r="W123" s="1"/>
      <c r="X123" s="1"/>
      <c r="Y123" s="1"/>
    </row>
    <row r="124" spans="1:25" x14ac:dyDescent="0.15">
      <c r="A124"/>
      <c r="B124" s="305"/>
      <c r="C124" s="306"/>
      <c r="D124" s="306"/>
      <c r="E124" s="306"/>
      <c r="F124" s="306"/>
      <c r="G124" s="306"/>
      <c r="H124" s="306"/>
      <c r="I124" s="349"/>
      <c r="J124" s="350"/>
      <c r="K124" s="349"/>
      <c r="L124" s="349"/>
      <c r="M124" s="351"/>
      <c r="N124" s="121"/>
      <c r="O124" s="121"/>
      <c r="P124" s="1"/>
      <c r="Q124" s="1"/>
      <c r="R124" s="1"/>
      <c r="S124" s="1"/>
      <c r="T124" s="1"/>
      <c r="U124" s="1"/>
      <c r="V124" s="1"/>
      <c r="W124" s="1"/>
      <c r="X124" s="1"/>
      <c r="Y124" s="1"/>
    </row>
    <row r="125" spans="1:25" x14ac:dyDescent="0.15">
      <c r="A125" s="140" t="s">
        <v>225</v>
      </c>
      <c r="B125" s="474" t="str">
        <f>VLOOKUP(A125,'imp-questions'!A:H,4,FALSE)</f>
        <v>Secret Management</v>
      </c>
      <c r="C125" s="294">
        <f>VLOOKUP(A125,'imp-questions'!A:H,5,FALSE)</f>
        <v>1</v>
      </c>
      <c r="D125" s="176" t="str">
        <f>VLOOKUP(A125,'imp-questions'!A:H,6,FALSE)</f>
        <v>Do you limit access to application secrets according to the least privilege principle?</v>
      </c>
      <c r="E125" s="144" t="str">
        <f>CHAR(65+VLOOKUP(A125,'imp-questions'!A:H,8,FALSE))</f>
        <v>F</v>
      </c>
      <c r="F125" s="429" t="s">
        <v>321</v>
      </c>
      <c r="G125" s="17">
        <f>IFERROR(VLOOKUP(F125,AnsFTBL,2,FALSE),0)</f>
        <v>1</v>
      </c>
      <c r="H125" s="95"/>
      <c r="I125" s="439"/>
      <c r="J125" s="347"/>
      <c r="K125" s="567"/>
      <c r="L125" s="550" t="s">
        <v>534</v>
      </c>
      <c r="M125" s="553" t="s">
        <v>541</v>
      </c>
      <c r="N125" s="121"/>
      <c r="O125" s="121"/>
      <c r="P125" s="1"/>
      <c r="Q125" s="1"/>
      <c r="R125" s="1"/>
      <c r="S125" s="1"/>
      <c r="T125" s="1"/>
      <c r="U125" s="1"/>
      <c r="V125" s="1"/>
      <c r="W125" s="1"/>
      <c r="X125" s="1"/>
      <c r="Y125" s="1"/>
    </row>
    <row r="126" spans="1:25" ht="42" x14ac:dyDescent="0.15">
      <c r="A126"/>
      <c r="B126" s="475"/>
      <c r="C126" s="133"/>
      <c r="D126" s="167" t="str">
        <f>VLOOKUP(A125,'imp-questions'!A:H,7,FALSE)</f>
        <v>You store production secrets protected in a secured location
Developers do not have access to production secrets
Production secrets are not available in non-production environments</v>
      </c>
      <c r="E126" s="149"/>
      <c r="F126" s="25"/>
      <c r="G126" s="21"/>
      <c r="H126" s="107"/>
      <c r="I126" s="440"/>
      <c r="J126" s="347"/>
      <c r="K126" s="557"/>
      <c r="L126" s="551"/>
      <c r="M126" s="554"/>
      <c r="N126" s="121"/>
      <c r="O126" s="121"/>
      <c r="P126" s="1"/>
      <c r="Q126" s="1"/>
      <c r="R126" s="1"/>
      <c r="S126" s="1"/>
      <c r="T126" s="1"/>
      <c r="U126" s="1"/>
      <c r="V126" s="1"/>
      <c r="W126" s="1"/>
      <c r="X126" s="1"/>
      <c r="Y126" s="1"/>
    </row>
    <row r="127" spans="1:25" x14ac:dyDescent="0.15">
      <c r="A127" s="140" t="s">
        <v>227</v>
      </c>
      <c r="B127" s="475"/>
      <c r="C127" s="294">
        <f>VLOOKUP(A127,'imp-questions'!A:H,5,FALSE)</f>
        <v>2</v>
      </c>
      <c r="D127" s="176" t="str">
        <f>VLOOKUP(A127,'imp-questions'!A:H,6,FALSE)</f>
        <v>Do you inject production secrets into configuration files during deployment?</v>
      </c>
      <c r="E127" s="144" t="str">
        <f>CHAR(65+VLOOKUP(A127,'imp-questions'!A:H,8,FALSE))</f>
        <v>F</v>
      </c>
      <c r="F127" s="429" t="s">
        <v>125</v>
      </c>
      <c r="G127" s="17">
        <f>IFERROR(VLOOKUP(F127,AnsFTBL,2,FALSE),0)</f>
        <v>0.25</v>
      </c>
      <c r="H127" s="95"/>
      <c r="I127" s="439"/>
      <c r="J127" s="347"/>
      <c r="K127" s="567"/>
      <c r="L127" s="551"/>
      <c r="M127" s="554"/>
      <c r="N127" s="121"/>
      <c r="O127" s="121"/>
      <c r="P127" s="1"/>
      <c r="Q127" s="1"/>
      <c r="R127" s="1"/>
      <c r="S127" s="1"/>
      <c r="T127" s="1"/>
      <c r="U127" s="1"/>
      <c r="V127" s="1"/>
      <c r="W127" s="1"/>
      <c r="X127" s="1"/>
      <c r="Y127" s="1"/>
    </row>
    <row r="128" spans="1:25" ht="42" x14ac:dyDescent="0.15">
      <c r="A128"/>
      <c r="B128" s="475"/>
      <c r="C128" s="133"/>
      <c r="D128" s="167" t="str">
        <f>VLOOKUP(A127,'imp-questions'!A:H,7,FALSE)</f>
        <v>Source code files no longer contain active application secrets
Under normal circumstances, no humans access secrets during deployment procedures
You log and alert to any abnormal access to secrets</v>
      </c>
      <c r="E128" s="149"/>
      <c r="F128" s="25"/>
      <c r="G128" s="21"/>
      <c r="H128" s="107"/>
      <c r="I128" s="440"/>
      <c r="J128" s="347"/>
      <c r="K128" s="557"/>
      <c r="L128" s="551"/>
      <c r="M128" s="554"/>
      <c r="N128" s="121"/>
      <c r="O128" s="121"/>
      <c r="P128" s="1"/>
      <c r="Q128" s="1"/>
      <c r="R128" s="1"/>
      <c r="S128" s="1"/>
      <c r="T128" s="1"/>
      <c r="U128" s="1"/>
      <c r="V128" s="1"/>
      <c r="W128" s="1"/>
      <c r="X128" s="1"/>
      <c r="Y128" s="1"/>
    </row>
    <row r="129" spans="1:25" x14ac:dyDescent="0.15">
      <c r="A129" s="140" t="s">
        <v>228</v>
      </c>
      <c r="B129" s="475"/>
      <c r="C129" s="294">
        <f>VLOOKUP(A129,'imp-questions'!A:H,5,FALSE)</f>
        <v>3</v>
      </c>
      <c r="D129" s="176" t="str">
        <f>VLOOKUP(A129,'imp-questions'!A:H,6,FALSE)</f>
        <v>Do you practice proper lifecycle management for application secrets?</v>
      </c>
      <c r="E129" s="144" t="str">
        <f>CHAR(65+VLOOKUP(A129,'imp-questions'!A:H,8,FALSE))</f>
        <v>F</v>
      </c>
      <c r="F129" s="429" t="s">
        <v>321</v>
      </c>
      <c r="G129" s="17">
        <f>IFERROR(VLOOKUP(F129,AnsFTBL,2,FALSE),0)</f>
        <v>1</v>
      </c>
      <c r="H129" s="95"/>
      <c r="I129" s="439"/>
      <c r="J129" s="347"/>
      <c r="K129" s="567"/>
      <c r="L129" s="551"/>
      <c r="M129" s="554"/>
      <c r="N129" s="121"/>
      <c r="O129" s="121"/>
      <c r="P129" s="1"/>
      <c r="Q129" s="1"/>
      <c r="R129" s="1"/>
      <c r="S129" s="1"/>
      <c r="T129" s="1"/>
      <c r="U129" s="1"/>
      <c r="V129" s="1"/>
      <c r="W129" s="1"/>
      <c r="X129" s="1"/>
      <c r="Y129" s="1"/>
    </row>
    <row r="130" spans="1:25" ht="42" x14ac:dyDescent="0.15">
      <c r="A130"/>
      <c r="B130" s="476"/>
      <c r="C130" s="153"/>
      <c r="D130" s="159" t="str">
        <f>VLOOKUP(A129,'imp-questions'!A:H,7,FALSE)</f>
        <v>You generate and synchronize secrets using a vetted solution
Secrets are different between different application instances
Secrets are regularly updated</v>
      </c>
      <c r="E130" s="149"/>
      <c r="F130" s="25"/>
      <c r="G130" s="21"/>
      <c r="H130" s="107"/>
      <c r="I130" s="440"/>
      <c r="J130" s="347"/>
      <c r="K130" s="557"/>
      <c r="L130" s="552"/>
      <c r="M130" s="555"/>
      <c r="N130" s="121"/>
      <c r="O130" s="121"/>
      <c r="P130" s="1"/>
      <c r="Q130" s="1"/>
      <c r="R130" s="1"/>
      <c r="S130" s="1"/>
      <c r="T130" s="1"/>
      <c r="U130" s="1"/>
      <c r="V130" s="1"/>
      <c r="W130" s="1"/>
      <c r="X130" s="1"/>
      <c r="Y130" s="1"/>
    </row>
    <row r="131" spans="1:25" x14ac:dyDescent="0.15">
      <c r="A131"/>
      <c r="B131" s="497" t="s">
        <v>230</v>
      </c>
      <c r="C131" s="498"/>
      <c r="D131" s="499"/>
      <c r="E131" s="156"/>
      <c r="F131" s="291" t="s">
        <v>31</v>
      </c>
      <c r="G131" s="157"/>
      <c r="H131" s="158"/>
      <c r="I131" s="386" t="s">
        <v>543</v>
      </c>
      <c r="J131" s="387" t="s">
        <v>29</v>
      </c>
      <c r="K131" s="388"/>
      <c r="L131" s="389"/>
      <c r="M131" s="390"/>
      <c r="N131" s="121"/>
      <c r="O131" s="121"/>
      <c r="P131" s="1"/>
      <c r="Q131" s="1"/>
      <c r="R131" s="1"/>
      <c r="S131" s="1"/>
      <c r="T131" s="1"/>
      <c r="U131" s="1"/>
      <c r="V131" s="1"/>
      <c r="W131" s="1"/>
      <c r="X131" s="1"/>
      <c r="Y131" s="1"/>
    </row>
    <row r="132" spans="1:25" ht="14" customHeight="1" x14ac:dyDescent="0.15">
      <c r="A132" s="140" t="s">
        <v>229</v>
      </c>
      <c r="B132" s="474" t="str">
        <f>VLOOKUP(A132,'imp-questions'!A:H,4,FALSE)</f>
        <v>Defect Tracking</v>
      </c>
      <c r="C132" s="294">
        <f>VLOOKUP(A132,'imp-questions'!A:H,5,FALSE)</f>
        <v>1</v>
      </c>
      <c r="D132" s="176" t="str">
        <f>VLOOKUP(A132,'imp-questions'!A:H,6,FALSE)</f>
        <v>Do you track all known security defects in accessible locations?</v>
      </c>
      <c r="E132" s="144" t="str">
        <f>CHAR(65+VLOOKUP(A132,'imp-questions'!A:H,8,FALSE))</f>
        <v>F</v>
      </c>
      <c r="F132" s="429" t="s">
        <v>125</v>
      </c>
      <c r="G132" s="17">
        <f>IFERROR(VLOOKUP(F132,AnsFTBL,2,FALSE),0)</f>
        <v>0.25</v>
      </c>
      <c r="H132" s="184">
        <f>IFERROR(AVERAGE(G132,G139),0)</f>
        <v>0.125</v>
      </c>
      <c r="I132" s="439"/>
      <c r="J132" s="504">
        <f>SUM(H132,H134,H136)</f>
        <v>0.5</v>
      </c>
      <c r="K132" s="566"/>
      <c r="L132" s="550" t="s">
        <v>534</v>
      </c>
      <c r="M132" s="553" t="s">
        <v>541</v>
      </c>
      <c r="N132" s="121"/>
      <c r="O132" s="121"/>
      <c r="P132" s="1"/>
      <c r="Q132" s="1"/>
      <c r="R132" s="1"/>
      <c r="S132" s="1"/>
      <c r="T132" s="1"/>
      <c r="U132" s="1"/>
      <c r="V132" s="1"/>
      <c r="W132" s="1"/>
      <c r="X132" s="1"/>
      <c r="Y132" s="1"/>
    </row>
    <row r="133" spans="1:25" ht="56" x14ac:dyDescent="0.15">
      <c r="A133"/>
      <c r="B133" s="475"/>
      <c r="C133" s="133"/>
      <c r="D133" s="167"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49"/>
      <c r="F133" s="25"/>
      <c r="G133" s="21"/>
      <c r="H133" s="185"/>
      <c r="I133" s="440"/>
      <c r="J133" s="505"/>
      <c r="K133" s="559"/>
      <c r="L133" s="551"/>
      <c r="M133" s="554"/>
      <c r="N133" s="121"/>
      <c r="O133" s="121"/>
      <c r="P133" s="1"/>
      <c r="Q133" s="1"/>
      <c r="R133" s="1"/>
      <c r="S133" s="1"/>
      <c r="T133" s="1"/>
      <c r="U133" s="1"/>
      <c r="V133" s="1"/>
      <c r="W133" s="1"/>
      <c r="X133" s="1"/>
      <c r="Y133" s="1"/>
    </row>
    <row r="134" spans="1:25" x14ac:dyDescent="0.15">
      <c r="A134" s="140" t="s">
        <v>231</v>
      </c>
      <c r="B134" s="475"/>
      <c r="C134" s="294">
        <f>VLOOKUP(A134,'imp-questions'!A:H,5,FALSE)</f>
        <v>2</v>
      </c>
      <c r="D134" s="176" t="str">
        <f>VLOOKUP(A134,'imp-questions'!A:H,6,FALSE)</f>
        <v>Do you keep an overview of the state of security defects across the organization?</v>
      </c>
      <c r="E134" s="144" t="str">
        <f>CHAR(65+VLOOKUP(A134,'imp-questions'!A:H,8,FALSE))</f>
        <v>F</v>
      </c>
      <c r="F134" s="429" t="s">
        <v>27</v>
      </c>
      <c r="G134" s="17">
        <f>IFERROR(VLOOKUP(F134,AnsFTBL,2,FALSE),0)</f>
        <v>0</v>
      </c>
      <c r="H134" s="184">
        <f>IFERROR(AVERAGE(G134,G141),0)</f>
        <v>0.125</v>
      </c>
      <c r="I134" s="439"/>
      <c r="J134" s="346"/>
      <c r="K134" s="570"/>
      <c r="L134" s="551"/>
      <c r="M134" s="554"/>
      <c r="N134" s="121"/>
      <c r="O134" s="121"/>
      <c r="P134" s="1"/>
      <c r="Q134" s="1"/>
      <c r="R134" s="1"/>
      <c r="S134" s="1"/>
      <c r="T134" s="1"/>
      <c r="U134" s="1"/>
      <c r="V134" s="1"/>
      <c r="W134" s="1"/>
      <c r="X134" s="1"/>
      <c r="Y134" s="1"/>
    </row>
    <row r="135" spans="1:25" ht="42" x14ac:dyDescent="0.15">
      <c r="A135"/>
      <c r="B135" s="475"/>
      <c r="C135" s="133"/>
      <c r="D135" s="167" t="str">
        <f>VLOOKUP(A134,'imp-questions'!A:H,7,FALSE)</f>
        <v>A single severity scheme is applied to all defects across the organization
The scheme includes SLAs for fixing particular severity classes
You regularly report compliance to SLAs</v>
      </c>
      <c r="E135" s="149"/>
      <c r="F135" s="25"/>
      <c r="G135" s="21"/>
      <c r="H135" s="188"/>
      <c r="I135" s="440"/>
      <c r="J135" s="346"/>
      <c r="K135" s="563"/>
      <c r="L135" s="551"/>
      <c r="M135" s="554"/>
      <c r="N135" s="121"/>
      <c r="O135" s="121"/>
      <c r="P135" s="1"/>
      <c r="Q135" s="1"/>
      <c r="R135" s="1"/>
      <c r="S135" s="1"/>
      <c r="T135" s="1"/>
      <c r="U135" s="1"/>
      <c r="V135" s="1"/>
      <c r="W135" s="1"/>
      <c r="X135" s="1"/>
      <c r="Y135" s="1"/>
    </row>
    <row r="136" spans="1:25" x14ac:dyDescent="0.15">
      <c r="A136" s="140" t="s">
        <v>232</v>
      </c>
      <c r="B136" s="475"/>
      <c r="C136" s="294">
        <f>VLOOKUP(A136,'imp-questions'!A:H,5,FALSE)</f>
        <v>3</v>
      </c>
      <c r="D136" s="176" t="str">
        <f>VLOOKUP(A136,'imp-questions'!A:H,6,FALSE)</f>
        <v>Do you enforce SLAs for fixing security defects?</v>
      </c>
      <c r="E136" s="144" t="str">
        <f>CHAR(65+VLOOKUP(A136,'imp-questions'!A:H,8,FALSE))</f>
        <v>F</v>
      </c>
      <c r="F136" s="429" t="s">
        <v>125</v>
      </c>
      <c r="G136" s="17">
        <f>IFERROR(VLOOKUP(F136,AnsFTBL,2,FALSE),0)</f>
        <v>0.25</v>
      </c>
      <c r="H136" s="184">
        <f>IFERROR(AVERAGE(G136,G143),0)</f>
        <v>0.25</v>
      </c>
      <c r="I136" s="439"/>
      <c r="J136" s="346"/>
      <c r="K136" s="562"/>
      <c r="L136" s="551"/>
      <c r="M136" s="554"/>
      <c r="N136" s="121"/>
      <c r="O136" s="121"/>
      <c r="P136" s="1"/>
      <c r="Q136" s="1"/>
      <c r="R136" s="1"/>
      <c r="S136" s="1"/>
      <c r="T136" s="1"/>
      <c r="U136" s="1"/>
      <c r="V136" s="1"/>
      <c r="W136" s="1"/>
      <c r="X136" s="1"/>
      <c r="Y136" s="1"/>
    </row>
    <row r="137" spans="1:25" ht="28" x14ac:dyDescent="0.15">
      <c r="A137"/>
      <c r="B137" s="476"/>
      <c r="C137" s="153"/>
      <c r="D137" s="159" t="str">
        <f>VLOOKUP(A136,'imp-questions'!A:H,7,FALSE)</f>
        <v>You automatically alert of SLA breaches and transfer respective defects to the risk management process
You integrate relevant tooling (e.g. monitoring, build, deployment) with the defect management system</v>
      </c>
      <c r="E137" s="149"/>
      <c r="F137" s="25"/>
      <c r="G137" s="21"/>
      <c r="H137" s="188"/>
      <c r="I137" s="440"/>
      <c r="J137" s="346"/>
      <c r="K137" s="563"/>
      <c r="L137" s="552"/>
      <c r="M137" s="555"/>
      <c r="N137" s="121"/>
      <c r="O137" s="121"/>
      <c r="P137" s="1"/>
      <c r="Q137" s="1"/>
      <c r="R137" s="1"/>
      <c r="S137" s="1"/>
      <c r="T137" s="1"/>
      <c r="U137" s="1"/>
      <c r="V137" s="1"/>
      <c r="W137" s="1"/>
      <c r="X137" s="1"/>
      <c r="Y137" s="1"/>
    </row>
    <row r="138" spans="1:25" x14ac:dyDescent="0.15">
      <c r="A138"/>
      <c r="B138" s="305"/>
      <c r="C138" s="306"/>
      <c r="D138" s="306"/>
      <c r="E138" s="306"/>
      <c r="F138" s="306"/>
      <c r="G138" s="306"/>
      <c r="H138" s="306"/>
      <c r="I138" s="349"/>
      <c r="J138" s="350"/>
      <c r="K138" s="349"/>
      <c r="L138" s="349"/>
      <c r="M138" s="351"/>
      <c r="N138" s="121"/>
      <c r="O138" s="121"/>
      <c r="P138" s="1"/>
      <c r="Q138" s="1"/>
      <c r="R138" s="1"/>
      <c r="S138" s="1"/>
      <c r="T138" s="1"/>
      <c r="U138" s="1"/>
      <c r="V138" s="1"/>
      <c r="W138" s="1"/>
      <c r="X138" s="1"/>
      <c r="Y138" s="1"/>
    </row>
    <row r="139" spans="1:25" x14ac:dyDescent="0.15">
      <c r="A139" s="140" t="s">
        <v>233</v>
      </c>
      <c r="B139" s="474" t="str">
        <f>VLOOKUP(A139,'imp-questions'!A:H,4,FALSE)</f>
        <v>Metrics and Feedback</v>
      </c>
      <c r="C139" s="294">
        <f>VLOOKUP(A139,'imp-questions'!A:H,5,FALSE)</f>
        <v>1</v>
      </c>
      <c r="D139" s="176" t="str">
        <f>VLOOKUP(A139,'imp-questions'!A:H,6,FALSE)</f>
        <v>Do you use basic metrics about recorded security defects to carry out quick win improvement activities?</v>
      </c>
      <c r="E139" s="144" t="str">
        <f>CHAR(65+VLOOKUP(A139,'imp-questions'!A:H,8,FALSE))</f>
        <v>F</v>
      </c>
      <c r="F139" s="429" t="s">
        <v>27</v>
      </c>
      <c r="G139" s="17">
        <f>IFERROR(VLOOKUP(F139,AnsFTBL,2,FALSE),0)</f>
        <v>0</v>
      </c>
      <c r="H139" s="95"/>
      <c r="I139" s="439"/>
      <c r="J139" s="347"/>
      <c r="K139" s="567"/>
      <c r="L139" s="550" t="s">
        <v>534</v>
      </c>
      <c r="M139" s="553" t="s">
        <v>541</v>
      </c>
      <c r="N139" s="121"/>
      <c r="O139" s="121"/>
      <c r="P139" s="1"/>
      <c r="Q139" s="1"/>
      <c r="R139" s="1"/>
      <c r="S139" s="1"/>
      <c r="T139" s="1"/>
      <c r="U139" s="1"/>
      <c r="V139" s="1"/>
      <c r="W139" s="1"/>
      <c r="X139" s="1"/>
      <c r="Y139" s="1"/>
    </row>
    <row r="140" spans="1:25" ht="42" x14ac:dyDescent="0.15">
      <c r="A140"/>
      <c r="B140" s="475"/>
      <c r="C140" s="133"/>
      <c r="D140" s="167"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49"/>
      <c r="F140" s="25"/>
      <c r="G140" s="21"/>
      <c r="H140" s="107"/>
      <c r="I140" s="440"/>
      <c r="J140" s="347"/>
      <c r="K140" s="557"/>
      <c r="L140" s="551"/>
      <c r="M140" s="554"/>
      <c r="N140" s="121"/>
      <c r="O140" s="121"/>
      <c r="P140" s="1"/>
      <c r="Q140" s="1"/>
      <c r="R140" s="1"/>
      <c r="S140" s="1"/>
      <c r="T140" s="1"/>
      <c r="U140" s="1"/>
      <c r="V140" s="1"/>
      <c r="W140" s="1"/>
      <c r="X140" s="1"/>
      <c r="Y140" s="1"/>
    </row>
    <row r="141" spans="1:25" x14ac:dyDescent="0.15">
      <c r="A141" s="140" t="s">
        <v>234</v>
      </c>
      <c r="B141" s="475"/>
      <c r="C141" s="294">
        <f>VLOOKUP(A141,'imp-questions'!A:H,5,FALSE)</f>
        <v>2</v>
      </c>
      <c r="D141" s="176" t="str">
        <f>VLOOKUP(A141,'imp-questions'!A:H,6,FALSE)</f>
        <v>Do you improve your security assurance program upon standardized metrics?</v>
      </c>
      <c r="E141" s="144" t="str">
        <f>CHAR(65+VLOOKUP(A141,'imp-questions'!A:H,8,FALSE))</f>
        <v>F</v>
      </c>
      <c r="F141" s="429" t="s">
        <v>125</v>
      </c>
      <c r="G141" s="17">
        <f>IFERROR(VLOOKUP(F141,AnsFTBL,2,FALSE),0)</f>
        <v>0.25</v>
      </c>
      <c r="H141" s="95"/>
      <c r="I141" s="439"/>
      <c r="J141" s="347"/>
      <c r="K141" s="567"/>
      <c r="L141" s="551"/>
      <c r="M141" s="554"/>
      <c r="N141" s="121"/>
      <c r="O141" s="121"/>
      <c r="P141" s="1"/>
      <c r="Q141" s="1"/>
      <c r="R141" s="1"/>
      <c r="S141" s="1"/>
      <c r="T141" s="1"/>
      <c r="U141" s="1"/>
      <c r="V141" s="1"/>
      <c r="W141" s="1"/>
      <c r="X141" s="1"/>
      <c r="Y141" s="1"/>
    </row>
    <row r="142" spans="1:25" ht="42" x14ac:dyDescent="0.15">
      <c r="A142"/>
      <c r="B142" s="475"/>
      <c r="C142" s="133"/>
      <c r="D142" s="167"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49"/>
      <c r="F142" s="25"/>
      <c r="G142" s="21"/>
      <c r="H142" s="107"/>
      <c r="I142" s="440"/>
      <c r="J142" s="347"/>
      <c r="K142" s="557"/>
      <c r="L142" s="551"/>
      <c r="M142" s="554"/>
      <c r="N142" s="121"/>
      <c r="O142" s="121"/>
      <c r="P142" s="1"/>
      <c r="Q142" s="1"/>
      <c r="R142" s="1"/>
      <c r="S142" s="1"/>
      <c r="T142" s="1"/>
      <c r="U142" s="1"/>
      <c r="V142" s="1"/>
      <c r="W142" s="1"/>
      <c r="X142" s="1"/>
      <c r="Y142" s="1"/>
    </row>
    <row r="143" spans="1:25" x14ac:dyDescent="0.15">
      <c r="A143" s="140" t="s">
        <v>235</v>
      </c>
      <c r="B143" s="475"/>
      <c r="C143" s="294">
        <f>VLOOKUP(A143,'imp-questions'!A:H,5,FALSE)</f>
        <v>3</v>
      </c>
      <c r="D143" s="176" t="str">
        <f>VLOOKUP(A143,'imp-questions'!A:H,6,FALSE)</f>
        <v>Do you regularly evaluate the effectiveness of your security metrics so that its input helps drive your security strategy?</v>
      </c>
      <c r="E143" s="144" t="str">
        <f>CHAR(65+VLOOKUP(A143,'imp-questions'!A:H,8,FALSE))</f>
        <v>F</v>
      </c>
      <c r="F143" s="429" t="s">
        <v>125</v>
      </c>
      <c r="G143" s="17">
        <f>IFERROR(VLOOKUP(F143,AnsFTBL,2,FALSE),0)</f>
        <v>0.25</v>
      </c>
      <c r="H143" s="95"/>
      <c r="I143" s="439"/>
      <c r="J143" s="347"/>
      <c r="K143" s="567"/>
      <c r="L143" s="551"/>
      <c r="M143" s="554"/>
      <c r="N143" s="121"/>
      <c r="O143" s="121"/>
      <c r="P143" s="1"/>
      <c r="Q143" s="1"/>
      <c r="R143" s="1"/>
      <c r="S143" s="1"/>
      <c r="T143" s="1"/>
      <c r="U143" s="1"/>
      <c r="V143" s="1"/>
      <c r="W143" s="1"/>
      <c r="X143" s="1"/>
      <c r="Y143" s="1"/>
    </row>
    <row r="144" spans="1:25" ht="56" x14ac:dyDescent="0.15">
      <c r="A144"/>
      <c r="B144" s="476"/>
      <c r="C144" s="153"/>
      <c r="D144" s="159"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49"/>
      <c r="F144" s="25"/>
      <c r="G144" s="21"/>
      <c r="H144" s="107"/>
      <c r="I144" s="440"/>
      <c r="J144" s="347"/>
      <c r="K144" s="557"/>
      <c r="L144" s="552"/>
      <c r="M144" s="555"/>
      <c r="N144" s="121"/>
      <c r="O144" s="121"/>
      <c r="P144" s="1"/>
      <c r="Q144" s="1"/>
      <c r="R144" s="1"/>
      <c r="S144" s="1"/>
      <c r="T144" s="1"/>
      <c r="U144" s="1"/>
      <c r="V144" s="1"/>
      <c r="W144" s="1"/>
      <c r="X144" s="1"/>
      <c r="Y144" s="1"/>
    </row>
    <row r="145" spans="1:25" ht="13" x14ac:dyDescent="0.15">
      <c r="A145"/>
      <c r="B145" s="507" t="s">
        <v>24</v>
      </c>
      <c r="C145" s="507"/>
      <c r="D145" s="507"/>
      <c r="E145" s="507"/>
      <c r="F145" s="507"/>
      <c r="G145" s="507"/>
      <c r="H145" s="507"/>
      <c r="I145" s="507"/>
      <c r="J145" s="508"/>
      <c r="K145" s="391"/>
      <c r="L145" s="391"/>
      <c r="M145" s="391"/>
      <c r="N145" s="121"/>
      <c r="O145" s="121"/>
      <c r="P145" s="1"/>
      <c r="Q145" s="1"/>
      <c r="R145" s="1"/>
      <c r="S145" s="1"/>
      <c r="T145" s="1"/>
      <c r="U145" s="1"/>
      <c r="V145" s="1"/>
      <c r="W145" s="1"/>
      <c r="X145" s="1"/>
      <c r="Y145" s="1"/>
    </row>
    <row r="146" spans="1:25" x14ac:dyDescent="0.15">
      <c r="A146"/>
      <c r="B146" s="450" t="s">
        <v>237</v>
      </c>
      <c r="C146" s="451"/>
      <c r="D146" s="452"/>
      <c r="E146" s="392"/>
      <c r="F146" s="393" t="s">
        <v>31</v>
      </c>
      <c r="G146" s="393"/>
      <c r="H146" s="394"/>
      <c r="I146" s="395" t="s">
        <v>543</v>
      </c>
      <c r="J146" s="396" t="s">
        <v>29</v>
      </c>
      <c r="K146" s="397"/>
      <c r="L146" s="398"/>
      <c r="M146" s="399"/>
      <c r="N146" s="121"/>
      <c r="O146" s="121"/>
      <c r="P146" s="1"/>
      <c r="Q146" s="1"/>
      <c r="R146" s="1"/>
      <c r="S146" s="1"/>
      <c r="T146" s="1"/>
      <c r="U146" s="1"/>
      <c r="V146" s="1"/>
      <c r="W146" s="1"/>
      <c r="X146" s="1"/>
      <c r="Y146" s="1"/>
    </row>
    <row r="147" spans="1:25" x14ac:dyDescent="0.15">
      <c r="A147" s="140" t="s">
        <v>236</v>
      </c>
      <c r="B147" s="481" t="str">
        <f>VLOOKUP(A147,'imp-questions'!A:H,4,FALSE)</f>
        <v>Architecture Validation</v>
      </c>
      <c r="C147" s="182">
        <f>VLOOKUP(A147,'imp-questions'!A:H,5,FALSE)</f>
        <v>1</v>
      </c>
      <c r="D147" s="176" t="str">
        <f>VLOOKUP(A147,'imp-questions'!A:H,6,FALSE)</f>
        <v>Do you review the application architecture for key security objectives on an ad-hoc basis?</v>
      </c>
      <c r="E147" s="160" t="str">
        <f>CHAR(65+VLOOKUP(A147,'imp-questions'!A:H,8,FALSE))</f>
        <v>F</v>
      </c>
      <c r="F147" s="429" t="s">
        <v>27</v>
      </c>
      <c r="G147" s="17">
        <f>IFERROR(VLOOKUP(F147,AnsFTBL,2,FALSE),0)</f>
        <v>0</v>
      </c>
      <c r="H147" s="184">
        <f>IFERROR(AVERAGE(G147,G154),0)</f>
        <v>0</v>
      </c>
      <c r="I147" s="467"/>
      <c r="J147" s="509">
        <f>SUM(H147,H149,H151)</f>
        <v>0.125</v>
      </c>
      <c r="K147" s="566"/>
      <c r="L147" s="550" t="s">
        <v>534</v>
      </c>
      <c r="M147" s="553" t="s">
        <v>541</v>
      </c>
      <c r="N147" s="121"/>
      <c r="O147" s="121"/>
      <c r="P147" s="1"/>
      <c r="Q147" s="1"/>
      <c r="R147" s="1"/>
      <c r="S147" s="1"/>
      <c r="T147" s="1"/>
      <c r="U147" s="1"/>
      <c r="V147" s="1"/>
      <c r="W147" s="1"/>
      <c r="X147" s="1"/>
      <c r="Y147" s="1"/>
    </row>
    <row r="148" spans="1:25" ht="56" x14ac:dyDescent="0.15">
      <c r="A148"/>
      <c r="B148" s="482"/>
      <c r="C148" s="133"/>
      <c r="D148" s="167"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63"/>
      <c r="F148" s="164"/>
      <c r="G148" s="165"/>
      <c r="H148" s="185"/>
      <c r="I148" s="440"/>
      <c r="J148" s="503"/>
      <c r="K148" s="559"/>
      <c r="L148" s="551"/>
      <c r="M148" s="554"/>
      <c r="N148" s="121"/>
      <c r="O148" s="121"/>
      <c r="P148" s="1"/>
      <c r="Q148" s="1"/>
      <c r="R148" s="1"/>
      <c r="S148" s="1"/>
      <c r="T148" s="1"/>
      <c r="U148" s="1"/>
      <c r="V148" s="1"/>
      <c r="W148" s="1"/>
      <c r="X148" s="1"/>
      <c r="Y148" s="1"/>
    </row>
    <row r="149" spans="1:25" x14ac:dyDescent="0.15">
      <c r="A149" s="140" t="s">
        <v>239</v>
      </c>
      <c r="B149" s="482"/>
      <c r="C149" s="182">
        <f>VLOOKUP(A149,'imp-questions'!A:H,5,FALSE)</f>
        <v>2</v>
      </c>
      <c r="D149" s="176" t="str">
        <f>VLOOKUP(A149,'imp-questions'!A:H,6,FALSE)</f>
        <v>Do you regularly review the security mechanisms of your architecture?</v>
      </c>
      <c r="E149" s="160" t="str">
        <f>CHAR(65+VLOOKUP(A149,'imp-questions'!A:H,8,FALSE))</f>
        <v>F</v>
      </c>
      <c r="F149" s="429" t="s">
        <v>125</v>
      </c>
      <c r="G149" s="17">
        <f>IFERROR(VLOOKUP(F149,AnsFTBL,2,FALSE),0)</f>
        <v>0.25</v>
      </c>
      <c r="H149" s="184">
        <f>IFERROR(AVERAGE(G149,G156),0)</f>
        <v>0.125</v>
      </c>
      <c r="I149" s="467"/>
      <c r="J149" s="346"/>
      <c r="K149" s="570"/>
      <c r="L149" s="551"/>
      <c r="M149" s="554"/>
      <c r="N149" s="121"/>
      <c r="O149" s="121"/>
      <c r="P149" s="1"/>
      <c r="Q149" s="1"/>
      <c r="R149" s="1"/>
      <c r="S149" s="1"/>
      <c r="T149" s="1"/>
      <c r="U149" s="1"/>
      <c r="V149" s="1"/>
      <c r="W149" s="1"/>
      <c r="X149" s="1"/>
      <c r="Y149" s="1"/>
    </row>
    <row r="150" spans="1:25" ht="56" x14ac:dyDescent="0.15">
      <c r="A150"/>
      <c r="B150" s="482"/>
      <c r="C150" s="133"/>
      <c r="D150" s="167" t="str">
        <f>VLOOKUP(A149,'imp-questions'!A:H,7,FALSE)</f>
        <v>You review compliance with internal and external requirements
You systematically review each interface in the system
You use a formalized review method and structured validation
You log missing security mechanisms as defects</v>
      </c>
      <c r="E150" s="163"/>
      <c r="F150" s="164"/>
      <c r="G150" s="165"/>
      <c r="H150" s="188"/>
      <c r="I150" s="440"/>
      <c r="J150" s="346"/>
      <c r="K150" s="563"/>
      <c r="L150" s="551"/>
      <c r="M150" s="554"/>
      <c r="N150" s="121"/>
      <c r="O150" s="121"/>
      <c r="P150" s="1"/>
      <c r="Q150" s="1"/>
      <c r="R150" s="1"/>
      <c r="S150" s="1"/>
      <c r="T150" s="1"/>
      <c r="U150" s="1"/>
      <c r="V150" s="1"/>
      <c r="W150" s="1"/>
      <c r="X150" s="1"/>
      <c r="Y150" s="1"/>
    </row>
    <row r="151" spans="1:25" x14ac:dyDescent="0.15">
      <c r="A151" s="140" t="s">
        <v>240</v>
      </c>
      <c r="B151" s="482"/>
      <c r="C151" s="182">
        <f>VLOOKUP(A151,'imp-questions'!A:H,5,FALSE)</f>
        <v>3</v>
      </c>
      <c r="D151" s="176" t="str">
        <f>VLOOKUP(A151,'imp-questions'!A:H,6,FALSE)</f>
        <v>Do you regularly review the effectiveness of the security controls?</v>
      </c>
      <c r="E151" s="160" t="str">
        <f>CHAR(65+VLOOKUP(A151,'imp-questions'!A:H,8,FALSE))</f>
        <v>F</v>
      </c>
      <c r="F151" s="429" t="s">
        <v>27</v>
      </c>
      <c r="G151" s="17">
        <f>IFERROR(VLOOKUP(F151,AnsFTBL,2,FALSE),0)</f>
        <v>0</v>
      </c>
      <c r="H151" s="184">
        <f>IFERROR(AVERAGE(G151,G158),0)</f>
        <v>0</v>
      </c>
      <c r="I151" s="467"/>
      <c r="J151" s="346"/>
      <c r="K151" s="562"/>
      <c r="L151" s="551"/>
      <c r="M151" s="554"/>
      <c r="N151" s="121"/>
      <c r="O151" s="121"/>
      <c r="P151" s="1"/>
      <c r="Q151" s="1"/>
      <c r="R151" s="1"/>
      <c r="S151" s="1"/>
      <c r="T151" s="1"/>
      <c r="U151" s="1"/>
      <c r="V151" s="1"/>
      <c r="W151" s="1"/>
      <c r="X151" s="1"/>
      <c r="Y151" s="1"/>
    </row>
    <row r="152" spans="1:25" ht="56" x14ac:dyDescent="0.15">
      <c r="A152"/>
      <c r="B152" s="506"/>
      <c r="C152" s="153"/>
      <c r="D152" s="159"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3"/>
      <c r="F152" s="164"/>
      <c r="G152" s="165"/>
      <c r="H152" s="188"/>
      <c r="I152" s="440"/>
      <c r="J152" s="346"/>
      <c r="K152" s="563"/>
      <c r="L152" s="552"/>
      <c r="M152" s="555"/>
      <c r="N152" s="121"/>
      <c r="O152" s="121"/>
      <c r="P152" s="1"/>
      <c r="Q152" s="1"/>
      <c r="R152" s="1"/>
      <c r="S152" s="1"/>
      <c r="T152" s="1"/>
      <c r="U152" s="1"/>
      <c r="V152" s="1"/>
      <c r="W152" s="1"/>
      <c r="X152" s="1"/>
      <c r="Y152" s="1"/>
    </row>
    <row r="153" spans="1:25" x14ac:dyDescent="0.15">
      <c r="A153"/>
      <c r="B153" s="305"/>
      <c r="C153" s="306"/>
      <c r="D153" s="306"/>
      <c r="E153" s="306"/>
      <c r="F153" s="306"/>
      <c r="G153" s="306"/>
      <c r="H153" s="306"/>
      <c r="I153" s="349"/>
      <c r="J153" s="350"/>
      <c r="K153" s="349"/>
      <c r="L153" s="349"/>
      <c r="M153" s="351"/>
      <c r="N153" s="121"/>
      <c r="O153" s="121"/>
      <c r="P153" s="1"/>
      <c r="Q153" s="1"/>
      <c r="R153" s="1"/>
      <c r="S153" s="1"/>
      <c r="T153" s="1"/>
      <c r="U153" s="1"/>
      <c r="V153" s="1"/>
      <c r="W153" s="1"/>
      <c r="X153" s="1"/>
      <c r="Y153" s="1"/>
    </row>
    <row r="154" spans="1:25" x14ac:dyDescent="0.15">
      <c r="A154" s="140" t="s">
        <v>242</v>
      </c>
      <c r="B154" s="481" t="str">
        <f>VLOOKUP(A154,'imp-questions'!A:H,4,FALSE)</f>
        <v>Architecture Mitigation</v>
      </c>
      <c r="C154" s="182">
        <f>VLOOKUP(A154,'imp-questions'!A:H,5,FALSE)</f>
        <v>1</v>
      </c>
      <c r="D154" s="176" t="str">
        <f>VLOOKUP(A154,'imp-questions'!A:H,6,FALSE)</f>
        <v>Do you review the application architecture for mitigations of typical threats on an ad-hoc basis?</v>
      </c>
      <c r="E154" s="160" t="str">
        <f>CHAR(65+VLOOKUP(A154,'imp-questions'!A:H,8,FALSE))</f>
        <v>F</v>
      </c>
      <c r="F154" s="429" t="s">
        <v>27</v>
      </c>
      <c r="G154" s="17">
        <f>IFERROR(VLOOKUP(F154,AnsFTBL,2,FALSE),0)</f>
        <v>0</v>
      </c>
      <c r="H154" s="162"/>
      <c r="I154" s="467"/>
      <c r="J154" s="347"/>
      <c r="K154" s="573"/>
      <c r="L154" s="550" t="s">
        <v>534</v>
      </c>
      <c r="M154" s="553" t="s">
        <v>541</v>
      </c>
      <c r="N154" s="121"/>
      <c r="O154" s="121"/>
      <c r="P154" s="1"/>
      <c r="Q154" s="1"/>
      <c r="R154" s="1"/>
      <c r="S154" s="1"/>
      <c r="T154" s="1"/>
      <c r="U154" s="1"/>
      <c r="V154" s="1"/>
      <c r="W154" s="1"/>
      <c r="X154" s="1"/>
      <c r="Y154" s="1"/>
    </row>
    <row r="155" spans="1:25" ht="42" x14ac:dyDescent="0.15">
      <c r="A155"/>
      <c r="B155" s="482"/>
      <c r="C155" s="133"/>
      <c r="D155" s="167" t="str">
        <f>VLOOKUP(A154,'imp-questions'!A:H,7,FALSE)</f>
        <v>You have an agreed upon model of the overall software architecture
Security savvy staff conduct the review
You consider different types of threats, including insider and data-related one</v>
      </c>
      <c r="E155" s="163"/>
      <c r="F155" s="164"/>
      <c r="G155" s="165"/>
      <c r="H155" s="166"/>
      <c r="I155" s="440"/>
      <c r="J155" s="347"/>
      <c r="K155" s="574"/>
      <c r="L155" s="551"/>
      <c r="M155" s="554"/>
      <c r="N155" s="121"/>
      <c r="O155" s="121"/>
      <c r="P155" s="1"/>
      <c r="Q155" s="1"/>
      <c r="R155" s="1"/>
      <c r="S155" s="1"/>
      <c r="T155" s="1"/>
      <c r="U155" s="1"/>
      <c r="V155" s="1"/>
      <c r="W155" s="1"/>
      <c r="X155" s="1"/>
      <c r="Y155" s="1"/>
    </row>
    <row r="156" spans="1:25" x14ac:dyDescent="0.15">
      <c r="A156" s="140" t="s">
        <v>243</v>
      </c>
      <c r="B156" s="482"/>
      <c r="C156" s="182">
        <f>VLOOKUP(A156,'imp-questions'!A:H,5,FALSE)</f>
        <v>2</v>
      </c>
      <c r="D156" s="176" t="str">
        <f>VLOOKUP(A156,'imp-questions'!A:H,6,FALSE)</f>
        <v>Do you regularly evaluate the threats to your architecture?</v>
      </c>
      <c r="E156" s="160" t="str">
        <f>CHAR(65+VLOOKUP(A156,'imp-questions'!A:H,8,FALSE))</f>
        <v>F</v>
      </c>
      <c r="F156" s="429" t="s">
        <v>27</v>
      </c>
      <c r="G156" s="17">
        <f>IFERROR(VLOOKUP(F156,AnsFTBL,2,FALSE),0)</f>
        <v>0</v>
      </c>
      <c r="H156" s="162"/>
      <c r="I156" s="467"/>
      <c r="J156" s="347"/>
      <c r="K156" s="573"/>
      <c r="L156" s="551"/>
      <c r="M156" s="554"/>
      <c r="N156" s="121"/>
      <c r="O156" s="121"/>
      <c r="P156" s="1"/>
      <c r="Q156" s="1"/>
      <c r="R156" s="1"/>
      <c r="S156" s="1"/>
      <c r="T156" s="1"/>
      <c r="U156" s="1"/>
      <c r="V156" s="1"/>
      <c r="W156" s="1"/>
      <c r="X156" s="1"/>
      <c r="Y156" s="1"/>
    </row>
    <row r="157" spans="1:25" ht="56" x14ac:dyDescent="0.15">
      <c r="A157"/>
      <c r="B157" s="482"/>
      <c r="C157" s="133"/>
      <c r="D157" s="167"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63"/>
      <c r="F157" s="164"/>
      <c r="G157" s="165"/>
      <c r="H157" s="166"/>
      <c r="I157" s="440"/>
      <c r="J157" s="347"/>
      <c r="K157" s="574"/>
      <c r="L157" s="551"/>
      <c r="M157" s="554"/>
      <c r="N157" s="121"/>
      <c r="O157" s="121"/>
      <c r="P157" s="1"/>
      <c r="Q157" s="1"/>
      <c r="R157" s="1"/>
      <c r="S157" s="1"/>
      <c r="T157" s="1"/>
      <c r="U157" s="1"/>
      <c r="V157" s="1"/>
      <c r="W157" s="1"/>
      <c r="X157" s="1"/>
      <c r="Y157" s="1"/>
    </row>
    <row r="158" spans="1:25" x14ac:dyDescent="0.15">
      <c r="A158" s="140" t="s">
        <v>244</v>
      </c>
      <c r="B158" s="482"/>
      <c r="C158" s="182">
        <f>VLOOKUP(A158,'imp-questions'!A:H,5,FALSE)</f>
        <v>3</v>
      </c>
      <c r="D158" s="176" t="str">
        <f>VLOOKUP(A158,'imp-questions'!A:H,6,FALSE)</f>
        <v>Do you regularly update your reference architectures based on architecture assessment findings?</v>
      </c>
      <c r="E158" s="160" t="str">
        <f>CHAR(65+VLOOKUP(A158,'imp-questions'!A:H,8,FALSE))</f>
        <v>F</v>
      </c>
      <c r="F158" s="429" t="s">
        <v>27</v>
      </c>
      <c r="G158" s="17">
        <f>IFERROR(VLOOKUP(F158,AnsFTBL,2,FALSE),0)</f>
        <v>0</v>
      </c>
      <c r="H158" s="162"/>
      <c r="I158" s="467"/>
      <c r="J158" s="347"/>
      <c r="K158" s="573"/>
      <c r="L158" s="551"/>
      <c r="M158" s="554"/>
      <c r="N158" s="121"/>
      <c r="O158" s="121"/>
      <c r="P158" s="1"/>
      <c r="Q158" s="1"/>
      <c r="R158" s="1"/>
      <c r="S158" s="1"/>
      <c r="T158" s="1"/>
      <c r="U158" s="1"/>
      <c r="V158" s="1"/>
      <c r="W158" s="1"/>
      <c r="X158" s="1"/>
      <c r="Y158" s="1"/>
    </row>
    <row r="159" spans="1:25" ht="56" x14ac:dyDescent="0.15">
      <c r="A159"/>
      <c r="B159" s="483"/>
      <c r="C159" s="133"/>
      <c r="D159" s="167"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330"/>
      <c r="F159" s="331"/>
      <c r="G159" s="332"/>
      <c r="H159" s="333"/>
      <c r="I159" s="440"/>
      <c r="J159" s="348"/>
      <c r="K159" s="575"/>
      <c r="L159" s="552"/>
      <c r="M159" s="555"/>
      <c r="N159" s="121"/>
      <c r="O159" s="121"/>
      <c r="P159" s="1"/>
      <c r="Q159" s="1"/>
      <c r="R159" s="1"/>
      <c r="S159" s="1"/>
      <c r="T159" s="1"/>
      <c r="U159" s="1"/>
      <c r="V159" s="1"/>
      <c r="W159" s="1"/>
      <c r="X159" s="1"/>
      <c r="Y159" s="1"/>
    </row>
    <row r="160" spans="1:25" x14ac:dyDescent="0.15">
      <c r="A160"/>
      <c r="B160" s="447" t="s">
        <v>438</v>
      </c>
      <c r="C160" s="448"/>
      <c r="D160" s="449"/>
      <c r="E160" s="335"/>
      <c r="F160" s="336" t="s">
        <v>31</v>
      </c>
      <c r="G160" s="336"/>
      <c r="H160" s="337"/>
      <c r="I160" s="400" t="s">
        <v>543</v>
      </c>
      <c r="J160" s="401" t="s">
        <v>29</v>
      </c>
      <c r="K160" s="402"/>
      <c r="L160" s="403"/>
      <c r="M160" s="404"/>
      <c r="N160" s="121"/>
      <c r="O160" s="121"/>
      <c r="P160" s="1"/>
      <c r="Q160" s="1"/>
      <c r="R160" s="1"/>
      <c r="S160" s="1"/>
      <c r="T160" s="1"/>
      <c r="U160" s="1"/>
      <c r="V160" s="1"/>
      <c r="W160" s="1"/>
      <c r="X160" s="1"/>
      <c r="Y160" s="1"/>
    </row>
    <row r="161" spans="1:25" ht="14" customHeight="1" x14ac:dyDescent="0.15">
      <c r="A161" s="140" t="s">
        <v>357</v>
      </c>
      <c r="B161" s="483" t="str">
        <f>VLOOKUP(A161,'imp-questions'!A:H,4,FALSE)</f>
        <v>Control Verification</v>
      </c>
      <c r="C161" s="334">
        <f>VLOOKUP(A161,'imp-questions'!A:H,5,FALSE)</f>
        <v>1</v>
      </c>
      <c r="D161" s="302" t="str">
        <f>VLOOKUP(A161,'imp-questions'!A:H,6,FALSE)</f>
        <v>Do you test applications for the correct functioning of standard security controls?</v>
      </c>
      <c r="E161" s="146" t="str">
        <f>CHAR(65+VLOOKUP(A161,'imp-questions'!A:H,8,FALSE))</f>
        <v>C</v>
      </c>
      <c r="F161" s="430" t="s">
        <v>27</v>
      </c>
      <c r="G161" s="303">
        <f>IFERROR(VLOOKUP(F161,AnsCTBL,2,FALSE),0)</f>
        <v>0</v>
      </c>
      <c r="H161" s="320">
        <f>IFERROR(AVERAGE(G161,G168),0)</f>
        <v>0</v>
      </c>
      <c r="I161" s="467"/>
      <c r="J161" s="503">
        <f>SUM(H161,H163,H165)</f>
        <v>0</v>
      </c>
      <c r="K161" s="558"/>
      <c r="L161" s="550" t="s">
        <v>534</v>
      </c>
      <c r="M161" s="553" t="s">
        <v>541</v>
      </c>
      <c r="N161" s="121"/>
      <c r="O161" s="121"/>
      <c r="P161" s="1"/>
      <c r="Q161" s="1"/>
      <c r="R161" s="1"/>
      <c r="S161" s="1"/>
      <c r="T161" s="1"/>
      <c r="U161" s="1"/>
      <c r="V161" s="1"/>
      <c r="W161" s="1"/>
      <c r="X161" s="1"/>
      <c r="Y161" s="1"/>
    </row>
    <row r="162" spans="1:25" ht="42" x14ac:dyDescent="0.15">
      <c r="A162"/>
      <c r="B162" s="482"/>
      <c r="C162" s="133"/>
      <c r="D162" s="167"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49"/>
      <c r="F162" s="25"/>
      <c r="G162" s="21"/>
      <c r="H162" s="185"/>
      <c r="I162" s="440"/>
      <c r="J162" s="503"/>
      <c r="K162" s="559"/>
      <c r="L162" s="551"/>
      <c r="M162" s="554"/>
      <c r="N162" s="121"/>
      <c r="O162" s="121"/>
      <c r="P162" s="1"/>
      <c r="Q162" s="1"/>
      <c r="R162" s="1"/>
      <c r="S162" s="1"/>
      <c r="T162" s="1"/>
      <c r="U162" s="1"/>
      <c r="V162" s="1"/>
      <c r="W162" s="1"/>
      <c r="X162" s="1"/>
      <c r="Y162" s="1"/>
    </row>
    <row r="163" spans="1:25" x14ac:dyDescent="0.15">
      <c r="A163" s="140" t="s">
        <v>361</v>
      </c>
      <c r="B163" s="482"/>
      <c r="C163" s="182">
        <f>VLOOKUP(A163,'imp-questions'!A:H,5,FALSE)</f>
        <v>2</v>
      </c>
      <c r="D163" s="176" t="str">
        <f>VLOOKUP(A163,'imp-questions'!A:H,6,FALSE)</f>
        <v>Do you consistently write and execute test scripts to verify the functionality of security requirements?</v>
      </c>
      <c r="E163" s="144" t="str">
        <f>CHAR(65+VLOOKUP(A163,'imp-questions'!A:H,8,FALSE))</f>
        <v>C</v>
      </c>
      <c r="F163" s="429" t="s">
        <v>27</v>
      </c>
      <c r="G163" s="17">
        <f>IFERROR(VLOOKUP(F163,AnsCTBL,2,FALSE),0)</f>
        <v>0</v>
      </c>
      <c r="H163" s="184">
        <f>IFERROR(AVERAGE(G163,G170),0)</f>
        <v>0</v>
      </c>
      <c r="I163" s="467"/>
      <c r="J163" s="346"/>
      <c r="K163" s="570"/>
      <c r="L163" s="551"/>
      <c r="M163" s="554"/>
      <c r="N163" s="121"/>
      <c r="O163" s="121"/>
      <c r="P163" s="1"/>
      <c r="Q163" s="1"/>
      <c r="R163" s="1"/>
      <c r="S163" s="1"/>
      <c r="T163" s="1"/>
      <c r="U163" s="1"/>
      <c r="V163" s="1"/>
      <c r="W163" s="1"/>
      <c r="X163" s="1"/>
      <c r="Y163" s="1"/>
    </row>
    <row r="164" spans="1:25" ht="42" x14ac:dyDescent="0.15">
      <c r="A164"/>
      <c r="B164" s="482"/>
      <c r="C164" s="133"/>
      <c r="D164" s="167" t="str">
        <f>VLOOKUP(A163,'imp-questions'!A:H,7,FALSE)</f>
        <v>You tailor tests to each application and assert expected security functionality
You capture test results as a pass or fail condition
Tests use a standardized framework or DSL</v>
      </c>
      <c r="E164" s="149"/>
      <c r="F164" s="25"/>
      <c r="G164" s="21"/>
      <c r="H164" s="188"/>
      <c r="I164" s="440"/>
      <c r="J164" s="346"/>
      <c r="K164" s="563"/>
      <c r="L164" s="551"/>
      <c r="M164" s="554"/>
      <c r="N164" s="121"/>
      <c r="O164" s="121"/>
      <c r="P164" s="1"/>
      <c r="Q164" s="1"/>
      <c r="R164" s="1"/>
      <c r="S164" s="1"/>
      <c r="T164" s="1"/>
      <c r="U164" s="1"/>
      <c r="V164" s="1"/>
      <c r="W164" s="1"/>
      <c r="X164" s="1"/>
      <c r="Y164" s="1"/>
    </row>
    <row r="165" spans="1:25" x14ac:dyDescent="0.15">
      <c r="A165" s="140" t="s">
        <v>353</v>
      </c>
      <c r="B165" s="482"/>
      <c r="C165" s="182">
        <f>VLOOKUP(A165,'imp-questions'!A:H,5,FALSE)</f>
        <v>3</v>
      </c>
      <c r="D165" s="176" t="str">
        <f>VLOOKUP(A165,'imp-questions'!A:H,6,FALSE)</f>
        <v>Do you automatically test applications for security regressions?</v>
      </c>
      <c r="E165" s="144" t="str">
        <f>CHAR(65+VLOOKUP(A165,'imp-questions'!A:H,8,FALSE))</f>
        <v>F</v>
      </c>
      <c r="F165" s="429" t="s">
        <v>27</v>
      </c>
      <c r="G165" s="17">
        <f>IFERROR(VLOOKUP(F165,AnsFTBL,2,FALSE),0)</f>
        <v>0</v>
      </c>
      <c r="H165" s="184">
        <f>IFERROR(AVERAGE(G165,G172),0)</f>
        <v>0</v>
      </c>
      <c r="I165" s="467"/>
      <c r="J165" s="346"/>
      <c r="K165" s="562"/>
      <c r="L165" s="551"/>
      <c r="M165" s="554"/>
      <c r="N165" s="121"/>
      <c r="O165" s="121"/>
      <c r="P165" s="1"/>
      <c r="Q165" s="1"/>
      <c r="R165" s="1"/>
      <c r="S165" s="1"/>
      <c r="T165" s="1"/>
      <c r="U165" s="1"/>
      <c r="V165" s="1"/>
      <c r="W165" s="1"/>
      <c r="X165" s="1"/>
      <c r="Y165" s="1"/>
    </row>
    <row r="166" spans="1:25" ht="28" x14ac:dyDescent="0.15">
      <c r="A166"/>
      <c r="B166" s="506"/>
      <c r="C166" s="153"/>
      <c r="D166" s="159" t="str">
        <f>VLOOKUP(A165,'imp-questions'!A:H,7,FALSE)</f>
        <v>You consistently write tests for all identified bugs (possibly exceeding a pre-defined severity threshhold)
You collect security tests in a test suite that is part of the existing unit testing framework</v>
      </c>
      <c r="E166" s="149"/>
      <c r="F166" s="25"/>
      <c r="G166" s="21"/>
      <c r="H166" s="188"/>
      <c r="I166" s="440"/>
      <c r="J166" s="346"/>
      <c r="K166" s="563"/>
      <c r="L166" s="552"/>
      <c r="M166" s="555"/>
      <c r="N166" s="121"/>
      <c r="O166" s="121"/>
      <c r="P166" s="1"/>
      <c r="Q166" s="1"/>
      <c r="R166" s="1"/>
      <c r="S166" s="1"/>
      <c r="T166" s="1"/>
      <c r="U166" s="1"/>
      <c r="V166" s="1"/>
      <c r="W166" s="1"/>
      <c r="X166" s="1"/>
      <c r="Y166" s="1"/>
    </row>
    <row r="167" spans="1:25" x14ac:dyDescent="0.15">
      <c r="A167"/>
      <c r="B167" s="305"/>
      <c r="C167" s="306"/>
      <c r="D167" s="306"/>
      <c r="E167" s="306"/>
      <c r="F167" s="306"/>
      <c r="G167" s="306"/>
      <c r="H167" s="306"/>
      <c r="I167" s="349"/>
      <c r="J167" s="350"/>
      <c r="K167" s="349"/>
      <c r="L167" s="349"/>
      <c r="M167" s="351"/>
      <c r="N167" s="121"/>
      <c r="O167" s="121"/>
      <c r="P167" s="1"/>
      <c r="Q167" s="1"/>
      <c r="R167" s="1"/>
      <c r="S167" s="1"/>
      <c r="T167" s="1"/>
      <c r="U167" s="1"/>
      <c r="V167" s="1"/>
      <c r="W167" s="1"/>
      <c r="X167" s="1"/>
      <c r="Y167" s="1"/>
    </row>
    <row r="168" spans="1:25" x14ac:dyDescent="0.15">
      <c r="A168" s="140" t="s">
        <v>354</v>
      </c>
      <c r="B168" s="481" t="str">
        <f>VLOOKUP(A168,'imp-questions'!A:H,4,FALSE)</f>
        <v>Misuse/Abuse Testing</v>
      </c>
      <c r="C168" s="182">
        <f>VLOOKUP(A168,'imp-questions'!A:H,5,FALSE)</f>
        <v>1</v>
      </c>
      <c r="D168" s="176" t="str">
        <f>VLOOKUP(A168,'imp-questions'!A:H,6,FALSE)</f>
        <v>Do you test applications using randomization or fuzzing techniques?</v>
      </c>
      <c r="E168" s="144" t="str">
        <f>CHAR(65+VLOOKUP(A168,'imp-questions'!A:H,8,FALSE))</f>
        <v>F</v>
      </c>
      <c r="F168" s="429" t="s">
        <v>27</v>
      </c>
      <c r="G168" s="17">
        <f>IFERROR(VLOOKUP(F168,AnsFTBL,2,FALSE),0)</f>
        <v>0</v>
      </c>
      <c r="H168" s="95"/>
      <c r="I168" s="467"/>
      <c r="J168" s="347"/>
      <c r="K168" s="567"/>
      <c r="L168" s="550" t="s">
        <v>534</v>
      </c>
      <c r="M168" s="553" t="s">
        <v>541</v>
      </c>
      <c r="N168" s="121"/>
      <c r="O168" s="121"/>
      <c r="P168" s="1"/>
      <c r="Q168" s="1"/>
      <c r="R168" s="1"/>
      <c r="S168" s="1"/>
      <c r="T168" s="1"/>
      <c r="U168" s="1"/>
      <c r="V168" s="1"/>
      <c r="W168" s="1"/>
      <c r="X168" s="1"/>
      <c r="Y168" s="1"/>
    </row>
    <row r="169" spans="1:25" ht="28" x14ac:dyDescent="0.15">
      <c r="A169"/>
      <c r="B169" s="482"/>
      <c r="C169" s="133"/>
      <c r="D169" s="167" t="str">
        <f>VLOOKUP(A168,'imp-questions'!A:H,7,FALSE)</f>
        <v>Testing covers most or all of the application's main input parameters
You record and inspect all application crashes for security impact on a best-effort basis</v>
      </c>
      <c r="E169" s="149"/>
      <c r="F169" s="25"/>
      <c r="G169" s="21"/>
      <c r="H169" s="107"/>
      <c r="I169" s="440"/>
      <c r="J169" s="347"/>
      <c r="K169" s="557"/>
      <c r="L169" s="551"/>
      <c r="M169" s="554"/>
      <c r="N169" s="121"/>
      <c r="O169" s="121"/>
      <c r="P169" s="1"/>
      <c r="Q169" s="1"/>
      <c r="R169" s="1"/>
      <c r="S169" s="1"/>
      <c r="T169" s="1"/>
      <c r="U169" s="1"/>
      <c r="V169" s="1"/>
      <c r="W169" s="1"/>
      <c r="X169" s="1"/>
      <c r="Y169" s="1"/>
    </row>
    <row r="170" spans="1:25" x14ac:dyDescent="0.15">
      <c r="A170" s="140" t="s">
        <v>359</v>
      </c>
      <c r="B170" s="482"/>
      <c r="C170" s="182">
        <f>VLOOKUP(A170,'imp-questions'!A:H,5,FALSE)</f>
        <v>2</v>
      </c>
      <c r="D170" s="176" t="str">
        <f>VLOOKUP(A170,'imp-questions'!A:H,6,FALSE)</f>
        <v>Do you create abuse cases from functional requirements and use them to drive security tests?</v>
      </c>
      <c r="E170" s="144" t="str">
        <f>CHAR(65+VLOOKUP(A170,'imp-questions'!A:H,8,FALSE))</f>
        <v>H</v>
      </c>
      <c r="F170" s="431" t="s">
        <v>27</v>
      </c>
      <c r="G170" s="161">
        <f>IFERROR(VLOOKUP(F170,AnsHTBL,2,FALSE),0)</f>
        <v>0</v>
      </c>
      <c r="H170" s="95"/>
      <c r="I170" s="467"/>
      <c r="J170" s="347"/>
      <c r="K170" s="567"/>
      <c r="L170" s="551"/>
      <c r="M170" s="554"/>
      <c r="N170" s="121"/>
      <c r="O170" s="121"/>
      <c r="P170" s="1"/>
      <c r="Q170" s="1"/>
      <c r="R170" s="1"/>
      <c r="S170" s="1"/>
      <c r="T170" s="1"/>
      <c r="U170" s="1"/>
      <c r="V170" s="1"/>
      <c r="W170" s="1"/>
      <c r="X170" s="1"/>
      <c r="Y170" s="1"/>
    </row>
    <row r="171" spans="1:25" ht="42" x14ac:dyDescent="0.15">
      <c r="A171"/>
      <c r="B171" s="482"/>
      <c r="C171" s="133"/>
      <c r="D171" s="167" t="str">
        <f>VLOOKUP(A170,'imp-questions'!A:H,7,FALSE)</f>
        <v>Important business functionality has corresponding abuse cases
You build abuse stories around relevant personas with well-defined motivations and characteristics
You capture identified weaknesses as security requirements</v>
      </c>
      <c r="E171" s="149"/>
      <c r="F171" s="25"/>
      <c r="G171" s="21"/>
      <c r="H171" s="107"/>
      <c r="I171" s="440"/>
      <c r="J171" s="347"/>
      <c r="K171" s="557"/>
      <c r="L171" s="551"/>
      <c r="M171" s="554"/>
      <c r="N171" s="121"/>
      <c r="O171" s="121"/>
      <c r="P171" s="1"/>
      <c r="Q171" s="1"/>
      <c r="R171" s="1"/>
      <c r="S171" s="1"/>
      <c r="T171" s="1"/>
      <c r="U171" s="1"/>
      <c r="V171" s="1"/>
      <c r="W171" s="1"/>
      <c r="X171" s="1"/>
      <c r="Y171" s="1"/>
    </row>
    <row r="172" spans="1:25" x14ac:dyDescent="0.15">
      <c r="A172" s="140" t="s">
        <v>355</v>
      </c>
      <c r="B172" s="482"/>
      <c r="C172" s="182">
        <f>VLOOKUP(A172,'imp-questions'!A:H,5,FALSE)</f>
        <v>3</v>
      </c>
      <c r="D172" s="176" t="str">
        <f>VLOOKUP(A172,'imp-questions'!A:H,6,FALSE)</f>
        <v>Do you perform denial of service and security stress testing?</v>
      </c>
      <c r="E172" s="144" t="str">
        <f>CHAR(65+VLOOKUP(A172,'imp-questions'!A:H,8,FALSE))</f>
        <v>H</v>
      </c>
      <c r="F172" s="431" t="s">
        <v>27</v>
      </c>
      <c r="G172" s="161">
        <f>IFERROR(VLOOKUP(F172,AnsHTBL,2,FALSE),0)</f>
        <v>0</v>
      </c>
      <c r="H172" s="95"/>
      <c r="I172" s="467"/>
      <c r="J172" s="347"/>
      <c r="K172" s="567"/>
      <c r="L172" s="551"/>
      <c r="M172" s="554"/>
      <c r="N172" s="121"/>
      <c r="O172" s="121"/>
      <c r="P172" s="1"/>
      <c r="Q172" s="1"/>
      <c r="R172" s="1"/>
      <c r="S172" s="1"/>
      <c r="T172" s="1"/>
      <c r="U172" s="1"/>
      <c r="V172" s="1"/>
      <c r="W172" s="1"/>
      <c r="X172" s="1"/>
      <c r="Y172" s="1"/>
    </row>
    <row r="173" spans="1:25" ht="51" customHeight="1" x14ac:dyDescent="0.15">
      <c r="A173"/>
      <c r="B173" s="483"/>
      <c r="C173" s="133"/>
      <c r="D173" s="167"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45"/>
      <c r="F173" s="317"/>
      <c r="G173" s="318"/>
      <c r="H173" s="319"/>
      <c r="I173" s="440"/>
      <c r="J173" s="348"/>
      <c r="K173" s="547"/>
      <c r="L173" s="552"/>
      <c r="M173" s="555"/>
      <c r="N173" s="121"/>
      <c r="O173" s="121"/>
      <c r="P173" s="1"/>
      <c r="Q173" s="1"/>
      <c r="R173" s="1"/>
      <c r="S173" s="1"/>
      <c r="T173" s="1"/>
      <c r="U173" s="1"/>
      <c r="V173" s="1"/>
      <c r="W173" s="1"/>
      <c r="X173" s="1"/>
      <c r="Y173" s="1"/>
    </row>
    <row r="174" spans="1:25" x14ac:dyDescent="0.15">
      <c r="A174"/>
      <c r="B174" s="447" t="s">
        <v>25</v>
      </c>
      <c r="C174" s="448"/>
      <c r="D174" s="449"/>
      <c r="E174" s="335"/>
      <c r="F174" s="336" t="s">
        <v>31</v>
      </c>
      <c r="G174" s="336"/>
      <c r="H174" s="337"/>
      <c r="I174" s="400" t="s">
        <v>543</v>
      </c>
      <c r="J174" s="401" t="s">
        <v>29</v>
      </c>
      <c r="K174" s="402"/>
      <c r="L174" s="403"/>
      <c r="M174" s="404"/>
      <c r="N174" s="121"/>
      <c r="O174" s="121"/>
      <c r="P174" s="1"/>
      <c r="Q174" s="1"/>
      <c r="R174" s="1"/>
      <c r="S174" s="1"/>
      <c r="T174" s="1"/>
      <c r="U174" s="1"/>
      <c r="V174" s="1"/>
      <c r="W174" s="1"/>
      <c r="X174" s="1"/>
      <c r="Y174" s="1"/>
    </row>
    <row r="175" spans="1:25" ht="14" customHeight="1" x14ac:dyDescent="0.15">
      <c r="A175" s="140" t="s">
        <v>251</v>
      </c>
      <c r="B175" s="483" t="str">
        <f>VLOOKUP(A175,'imp-questions'!A:H,4,FALSE)</f>
        <v>Scalable Baseline</v>
      </c>
      <c r="C175" s="334">
        <f>VLOOKUP(A175,'imp-questions'!A:H,5,FALSE)</f>
        <v>1</v>
      </c>
      <c r="D175" s="302" t="str">
        <f>VLOOKUP(A175,'imp-questions'!A:H,6,FALSE)</f>
        <v>Do you scan applications with automated security testing tools?</v>
      </c>
      <c r="E175" s="146" t="str">
        <f>CHAR(65+VLOOKUP(A175,'imp-questions'!A:H,8,FALSE))</f>
        <v>C</v>
      </c>
      <c r="F175" s="430" t="s">
        <v>320</v>
      </c>
      <c r="G175" s="303">
        <f>IFERROR(VLOOKUP(F175,AnsCTBL,2,FALSE),0)</f>
        <v>1</v>
      </c>
      <c r="H175" s="320">
        <f>IFERROR(AVERAGE(G175,G182),0)</f>
        <v>0.625</v>
      </c>
      <c r="I175" s="439"/>
      <c r="J175" s="503">
        <f>SUM(H175,H177,H179)</f>
        <v>1</v>
      </c>
      <c r="K175" s="558"/>
      <c r="L175" s="550" t="s">
        <v>534</v>
      </c>
      <c r="M175" s="553" t="s">
        <v>541</v>
      </c>
      <c r="N175" s="121"/>
      <c r="O175" s="121"/>
      <c r="P175" s="1"/>
      <c r="Q175" s="1"/>
      <c r="R175" s="1"/>
      <c r="S175" s="1"/>
      <c r="T175" s="1"/>
      <c r="U175" s="1"/>
      <c r="V175" s="1"/>
      <c r="W175" s="1"/>
      <c r="X175" s="1"/>
      <c r="Y175" s="1"/>
    </row>
    <row r="176" spans="1:25" ht="42" x14ac:dyDescent="0.15">
      <c r="A176"/>
      <c r="B176" s="482"/>
      <c r="C176" s="133"/>
      <c r="D176" s="167"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49"/>
      <c r="F176" s="25"/>
      <c r="G176" s="21"/>
      <c r="H176" s="185"/>
      <c r="I176" s="440"/>
      <c r="J176" s="503"/>
      <c r="K176" s="559"/>
      <c r="L176" s="551"/>
      <c r="M176" s="554"/>
      <c r="N176" s="121"/>
      <c r="O176" s="121"/>
      <c r="P176" s="1"/>
      <c r="Q176" s="1"/>
      <c r="R176" s="1"/>
      <c r="S176" s="1"/>
      <c r="T176" s="1"/>
      <c r="U176" s="1"/>
      <c r="V176" s="1"/>
      <c r="W176" s="1"/>
      <c r="X176" s="1"/>
      <c r="Y176" s="1"/>
    </row>
    <row r="177" spans="1:25" x14ac:dyDescent="0.15">
      <c r="A177" s="140" t="s">
        <v>254</v>
      </c>
      <c r="B177" s="482"/>
      <c r="C177" s="182">
        <f>VLOOKUP(A177,'imp-questions'!A:H,5,FALSE)</f>
        <v>2</v>
      </c>
      <c r="D177" s="176" t="str">
        <f>VLOOKUP(A177,'imp-questions'!A:H,6,FALSE)</f>
        <v>Do you customize the automated security tools to your applications and technology stacks?</v>
      </c>
      <c r="E177" s="144" t="str">
        <f>CHAR(65+VLOOKUP(A177,'imp-questions'!A:H,8,FALSE))</f>
        <v>C</v>
      </c>
      <c r="F177" s="431" t="s">
        <v>127</v>
      </c>
      <c r="G177" s="17">
        <f>IFERROR(VLOOKUP(F177,AnsCTBL,2,FALSE),0)</f>
        <v>0.25</v>
      </c>
      <c r="H177" s="184">
        <f>IFERROR(AVERAGE(G177,G184),0)</f>
        <v>0.25</v>
      </c>
      <c r="I177" s="439"/>
      <c r="J177" s="346"/>
      <c r="K177" s="570"/>
      <c r="L177" s="551"/>
      <c r="M177" s="554"/>
      <c r="N177" s="121"/>
      <c r="O177" s="121"/>
      <c r="P177" s="1"/>
      <c r="Q177" s="1"/>
      <c r="R177" s="1"/>
      <c r="S177" s="1"/>
      <c r="T177" s="1"/>
      <c r="U177" s="1"/>
      <c r="V177" s="1"/>
      <c r="W177" s="1"/>
      <c r="X177" s="1"/>
      <c r="Y177" s="1"/>
    </row>
    <row r="178" spans="1:25" ht="42" x14ac:dyDescent="0.15">
      <c r="A178"/>
      <c r="B178" s="482"/>
      <c r="C178" s="133"/>
      <c r="D178" s="167"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49"/>
      <c r="F178" s="25"/>
      <c r="G178" s="21"/>
      <c r="H178" s="188"/>
      <c r="I178" s="440"/>
      <c r="J178" s="346"/>
      <c r="K178" s="563"/>
      <c r="L178" s="551"/>
      <c r="M178" s="554"/>
      <c r="N178" s="121"/>
      <c r="O178" s="121"/>
      <c r="P178" s="1"/>
      <c r="Q178" s="1"/>
      <c r="R178" s="1"/>
      <c r="S178" s="1"/>
      <c r="T178" s="1"/>
      <c r="U178" s="1"/>
      <c r="V178" s="1"/>
      <c r="W178" s="1"/>
      <c r="X178" s="1"/>
      <c r="Y178" s="1"/>
    </row>
    <row r="179" spans="1:25" x14ac:dyDescent="0.15">
      <c r="A179" s="140" t="s">
        <v>255</v>
      </c>
      <c r="B179" s="482"/>
      <c r="C179" s="182">
        <f>VLOOKUP(A179,'imp-questions'!A:H,5,FALSE)</f>
        <v>3</v>
      </c>
      <c r="D179" s="176" t="str">
        <f>VLOOKUP(A179,'imp-questions'!A:H,6,FALSE)</f>
        <v>Do you integrate automated security testing into the build and deploy process?</v>
      </c>
      <c r="E179" s="144" t="str">
        <f>CHAR(65+VLOOKUP(A179,'imp-questions'!A:H,8,FALSE))</f>
        <v>X</v>
      </c>
      <c r="F179" s="431" t="s">
        <v>27</v>
      </c>
      <c r="G179" s="17">
        <f>IFERROR(VLOOKUP(F179,AnsXTBL,2,FALSE),0)</f>
        <v>0</v>
      </c>
      <c r="H179" s="184">
        <f>IFERROR(AVERAGE(G179,G186),0)</f>
        <v>0.125</v>
      </c>
      <c r="I179" s="467"/>
      <c r="J179" s="346"/>
      <c r="K179" s="562"/>
      <c r="L179" s="551"/>
      <c r="M179" s="554"/>
      <c r="N179" s="121"/>
      <c r="O179" s="121"/>
      <c r="P179" s="1"/>
      <c r="Q179" s="1"/>
      <c r="R179" s="1"/>
      <c r="S179" s="1"/>
      <c r="T179" s="1"/>
      <c r="U179" s="1"/>
      <c r="V179" s="1"/>
      <c r="W179" s="1"/>
      <c r="X179" s="1"/>
      <c r="Y179" s="1"/>
    </row>
    <row r="180" spans="1:25" ht="28" x14ac:dyDescent="0.15">
      <c r="A180"/>
      <c r="B180" s="506"/>
      <c r="C180" s="153"/>
      <c r="D180" s="159" t="str">
        <f>VLOOKUP(A179,'imp-questions'!A:H,7,FALSE)</f>
        <v>Management and business stakeholders track and review test results throughout the development cycle
You merge test results into a central dashboard and feed them into defect management</v>
      </c>
      <c r="E180" s="149"/>
      <c r="F180" s="25"/>
      <c r="G180" s="21"/>
      <c r="H180" s="188"/>
      <c r="I180" s="440"/>
      <c r="J180" s="346"/>
      <c r="K180" s="563"/>
      <c r="L180" s="552"/>
      <c r="M180" s="555"/>
      <c r="N180" s="121"/>
      <c r="O180" s="121"/>
      <c r="P180" s="1"/>
      <c r="Q180" s="1"/>
      <c r="R180" s="1"/>
      <c r="S180" s="1"/>
      <c r="T180" s="1"/>
      <c r="U180" s="1"/>
      <c r="V180" s="1"/>
      <c r="W180" s="1"/>
      <c r="X180" s="1"/>
      <c r="Y180" s="1"/>
    </row>
    <row r="181" spans="1:25" x14ac:dyDescent="0.15">
      <c r="A181"/>
      <c r="B181" s="305"/>
      <c r="C181" s="306"/>
      <c r="D181" s="306"/>
      <c r="E181" s="306"/>
      <c r="F181" s="306"/>
      <c r="G181" s="306"/>
      <c r="H181" s="306"/>
      <c r="I181" s="349"/>
      <c r="J181" s="350"/>
      <c r="K181" s="349"/>
      <c r="L181" s="349"/>
      <c r="M181" s="351"/>
      <c r="N181" s="121"/>
      <c r="O181" s="121"/>
      <c r="P181" s="1"/>
      <c r="Q181" s="1"/>
      <c r="R181" s="1"/>
      <c r="S181" s="1"/>
      <c r="T181" s="1"/>
      <c r="U181" s="1"/>
      <c r="V181" s="1"/>
      <c r="W181" s="1"/>
      <c r="X181" s="1"/>
      <c r="Y181" s="1"/>
    </row>
    <row r="182" spans="1:25" x14ac:dyDescent="0.15">
      <c r="A182" s="140" t="s">
        <v>257</v>
      </c>
      <c r="B182" s="481" t="str">
        <f>VLOOKUP(A182,'imp-questions'!A:H,4,FALSE)</f>
        <v>Deep Understanding</v>
      </c>
      <c r="C182" s="182">
        <f>VLOOKUP(A182,'imp-questions'!A:H,5,FALSE)</f>
        <v>1</v>
      </c>
      <c r="D182" s="176" t="str">
        <f>VLOOKUP(A182,'imp-questions'!A:H,6,FALSE)</f>
        <v>Do you manually review the security quality of selected high-risk components?</v>
      </c>
      <c r="E182" s="144" t="str">
        <f>CHAR(65+VLOOKUP(A182,'imp-questions'!A:H,8,FALSE))</f>
        <v>M</v>
      </c>
      <c r="F182" s="429" t="s">
        <v>131</v>
      </c>
      <c r="G182" s="17">
        <f>IFERROR(VLOOKUP(F182,AnsMTBL,2,FALSE),0)</f>
        <v>0.25</v>
      </c>
      <c r="H182" s="95"/>
      <c r="I182" s="439"/>
      <c r="J182" s="347"/>
      <c r="K182" s="567"/>
      <c r="L182" s="550" t="s">
        <v>534</v>
      </c>
      <c r="M182" s="553" t="s">
        <v>541</v>
      </c>
      <c r="N182" s="121"/>
      <c r="O182" s="121"/>
      <c r="P182" s="1"/>
      <c r="Q182" s="1"/>
      <c r="R182" s="1"/>
      <c r="S182" s="1"/>
      <c r="T182" s="1"/>
      <c r="U182" s="1"/>
      <c r="V182" s="1"/>
      <c r="W182" s="1"/>
      <c r="X182" s="1"/>
      <c r="Y182" s="1"/>
    </row>
    <row r="183" spans="1:25" ht="42" x14ac:dyDescent="0.15">
      <c r="A183"/>
      <c r="B183" s="482"/>
      <c r="C183" s="133"/>
      <c r="D183" s="167" t="str">
        <f>VLOOKUP(A182,'imp-questions'!A:H,7,FALSE)</f>
        <v>Criteria exist to help the reviewer focus on high-risk components
Qualified personnel conduct reviews following documented guidelines
You address findings in accordance with the organization's defect management policy</v>
      </c>
      <c r="E183" s="149"/>
      <c r="F183" s="25"/>
      <c r="G183" s="21"/>
      <c r="H183" s="107"/>
      <c r="I183" s="440"/>
      <c r="J183" s="347"/>
      <c r="K183" s="557"/>
      <c r="L183" s="551"/>
      <c r="M183" s="554"/>
      <c r="N183" s="121"/>
      <c r="O183" s="121"/>
      <c r="P183" s="1"/>
      <c r="Q183" s="1"/>
      <c r="R183" s="1"/>
      <c r="S183" s="1"/>
      <c r="T183" s="1"/>
      <c r="U183" s="1"/>
      <c r="V183" s="1"/>
      <c r="W183" s="1"/>
      <c r="X183" s="1"/>
      <c r="Y183" s="1"/>
    </row>
    <row r="184" spans="1:25" x14ac:dyDescent="0.15">
      <c r="A184" s="140" t="s">
        <v>260</v>
      </c>
      <c r="B184" s="482"/>
      <c r="C184" s="182">
        <f>VLOOKUP(A184,'imp-questions'!A:H,5,FALSE)</f>
        <v>2</v>
      </c>
      <c r="D184" s="176" t="str">
        <f>VLOOKUP(A184,'imp-questions'!A:H,6,FALSE)</f>
        <v>Do you perform penetration testing for your applications at regular intervals?</v>
      </c>
      <c r="E184" s="144" t="str">
        <f>CHAR(65+VLOOKUP(A184,'imp-questions'!A:H,8,FALSE))</f>
        <v>F</v>
      </c>
      <c r="F184" s="429" t="s">
        <v>125</v>
      </c>
      <c r="G184" s="17">
        <f>IFERROR(VLOOKUP(F184,AnsFTBL,2,FALSE),0)</f>
        <v>0.25</v>
      </c>
      <c r="H184" s="95"/>
      <c r="I184" s="439"/>
      <c r="J184" s="347"/>
      <c r="K184" s="567"/>
      <c r="L184" s="551"/>
      <c r="M184" s="554"/>
      <c r="N184" s="121"/>
      <c r="O184" s="121"/>
      <c r="P184" s="1"/>
      <c r="Q184" s="1"/>
      <c r="R184" s="1"/>
      <c r="S184" s="1"/>
      <c r="T184" s="1"/>
      <c r="U184" s="1"/>
      <c r="V184" s="1"/>
      <c r="W184" s="1"/>
      <c r="X184" s="1"/>
      <c r="Y184" s="1"/>
    </row>
    <row r="185" spans="1:25" ht="56" x14ac:dyDescent="0.15">
      <c r="A185"/>
      <c r="B185" s="482"/>
      <c r="C185" s="133"/>
      <c r="D185" s="167"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49"/>
      <c r="F185" s="25"/>
      <c r="G185" s="21"/>
      <c r="H185" s="107"/>
      <c r="I185" s="440"/>
      <c r="J185" s="347"/>
      <c r="K185" s="557"/>
      <c r="L185" s="551"/>
      <c r="M185" s="554"/>
      <c r="N185" s="121"/>
      <c r="O185" s="121"/>
      <c r="P185" s="1"/>
      <c r="Q185" s="1"/>
      <c r="R185" s="1"/>
      <c r="S185" s="1"/>
      <c r="T185" s="1"/>
      <c r="U185" s="1"/>
      <c r="V185" s="1"/>
      <c r="W185" s="1"/>
      <c r="X185" s="1"/>
      <c r="Y185" s="1"/>
    </row>
    <row r="186" spans="1:25" x14ac:dyDescent="0.15">
      <c r="A186" s="140" t="s">
        <v>262</v>
      </c>
      <c r="B186" s="482"/>
      <c r="C186" s="182">
        <f>VLOOKUP(A186,'imp-questions'!A:H,5,FALSE)</f>
        <v>3</v>
      </c>
      <c r="D186" s="176" t="str">
        <f>VLOOKUP(A186,'imp-questions'!A:H,6,FALSE)</f>
        <v>Do you use the results of security testing to improve the development lifecycle?</v>
      </c>
      <c r="E186" s="144" t="str">
        <f>CHAR(65+VLOOKUP(A186,'imp-questions'!A:H,8,FALSE))</f>
        <v>T</v>
      </c>
      <c r="F186" s="431" t="s">
        <v>456</v>
      </c>
      <c r="G186" s="161">
        <f>IFERROR(VLOOKUP(F186,AnsTTBL,2,FALSE),0)</f>
        <v>0.25</v>
      </c>
      <c r="H186" s="95"/>
      <c r="I186" s="439"/>
      <c r="J186" s="347"/>
      <c r="K186" s="567"/>
      <c r="L186" s="551"/>
      <c r="M186" s="554"/>
      <c r="N186" s="121"/>
      <c r="O186" s="121"/>
      <c r="P186" s="1"/>
      <c r="Q186" s="1"/>
      <c r="R186" s="1"/>
      <c r="S186" s="1"/>
      <c r="T186" s="1"/>
      <c r="U186" s="1"/>
      <c r="V186" s="1"/>
      <c r="W186" s="1"/>
      <c r="X186" s="1"/>
      <c r="Y186" s="1"/>
    </row>
    <row r="187" spans="1:25" ht="42" x14ac:dyDescent="0.15">
      <c r="A187"/>
      <c r="B187" s="483"/>
      <c r="C187" s="133"/>
      <c r="D187" s="167"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45"/>
      <c r="F187" s="317"/>
      <c r="G187" s="318"/>
      <c r="H187" s="319"/>
      <c r="I187" s="440"/>
      <c r="J187" s="348"/>
      <c r="K187" s="547"/>
      <c r="L187" s="552"/>
      <c r="M187" s="555"/>
      <c r="N187" s="121"/>
      <c r="O187" s="121"/>
      <c r="P187" s="1"/>
      <c r="Q187" s="1"/>
      <c r="R187" s="1"/>
      <c r="S187" s="1"/>
      <c r="T187" s="1"/>
      <c r="U187" s="1"/>
      <c r="V187" s="1"/>
      <c r="W187" s="1"/>
      <c r="X187" s="1"/>
      <c r="Y187" s="1"/>
    </row>
    <row r="188" spans="1:25" ht="13" x14ac:dyDescent="0.15">
      <c r="A188"/>
      <c r="B188" s="500" t="s">
        <v>33</v>
      </c>
      <c r="C188" s="501"/>
      <c r="D188" s="501"/>
      <c r="E188" s="501"/>
      <c r="F188" s="501"/>
      <c r="G188" s="501"/>
      <c r="H188" s="501"/>
      <c r="I188" s="501"/>
      <c r="J188" s="501"/>
      <c r="K188" s="405"/>
      <c r="L188" s="405"/>
      <c r="M188" s="406"/>
      <c r="N188" s="121"/>
      <c r="O188" s="121"/>
      <c r="P188" s="1"/>
      <c r="Q188" s="1"/>
      <c r="R188" s="1"/>
      <c r="S188" s="1"/>
      <c r="T188" s="1"/>
      <c r="U188" s="1"/>
      <c r="V188" s="1"/>
      <c r="W188" s="1"/>
      <c r="X188" s="1"/>
      <c r="Y188" s="1"/>
    </row>
    <row r="189" spans="1:25" x14ac:dyDescent="0.15">
      <c r="A189"/>
      <c r="B189" s="510" t="s">
        <v>265</v>
      </c>
      <c r="C189" s="511"/>
      <c r="D189" s="512"/>
      <c r="E189" s="407"/>
      <c r="F189" s="408" t="s">
        <v>31</v>
      </c>
      <c r="G189" s="408"/>
      <c r="H189" s="409"/>
      <c r="I189" s="410" t="s">
        <v>543</v>
      </c>
      <c r="J189" s="411" t="s">
        <v>29</v>
      </c>
      <c r="K189" s="412"/>
      <c r="L189" s="413"/>
      <c r="M189" s="414"/>
      <c r="N189" s="121"/>
      <c r="O189" s="121"/>
      <c r="P189" s="1"/>
      <c r="Q189" s="1"/>
      <c r="R189" s="1"/>
      <c r="S189" s="1"/>
      <c r="T189" s="1"/>
      <c r="U189" s="1"/>
      <c r="V189" s="1"/>
      <c r="W189" s="1"/>
      <c r="X189" s="1"/>
      <c r="Y189" s="1"/>
    </row>
    <row r="190" spans="1:25" x14ac:dyDescent="0.15">
      <c r="A190" s="140" t="s">
        <v>264</v>
      </c>
      <c r="B190" s="484" t="str">
        <f>VLOOKUP(A190,'imp-questions'!A:H,4,FALSE)</f>
        <v>Incident Detection</v>
      </c>
      <c r="C190" s="183">
        <f>VLOOKUP(A190,'imp-questions'!A:H,5,FALSE)</f>
        <v>1</v>
      </c>
      <c r="D190" s="176" t="str">
        <f>VLOOKUP(A190,'imp-questions'!A:H,6,FALSE)</f>
        <v>Do you analyze log data for security incidents periodically?</v>
      </c>
      <c r="E190" s="144" t="str">
        <f>CHAR(65+VLOOKUP(A190,'imp-questions'!A:H,8,FALSE))</f>
        <v>F</v>
      </c>
      <c r="F190" s="429" t="s">
        <v>125</v>
      </c>
      <c r="G190" s="17">
        <f>IFERROR(VLOOKUP(F190,AnsFTBL,2,FALSE),0)</f>
        <v>0.25</v>
      </c>
      <c r="H190" s="184">
        <f>IFERROR(AVERAGE(G190,G197),0)</f>
        <v>0.625</v>
      </c>
      <c r="I190" s="439"/>
      <c r="J190" s="502">
        <f>SUM(H190,H192,H194)</f>
        <v>0.75</v>
      </c>
      <c r="K190" s="566"/>
      <c r="L190" s="550" t="s">
        <v>534</v>
      </c>
      <c r="M190" s="553" t="s">
        <v>541</v>
      </c>
      <c r="N190" s="121"/>
      <c r="O190" s="121"/>
      <c r="P190" s="1"/>
      <c r="Q190" s="1"/>
      <c r="R190" s="1"/>
      <c r="S190" s="1"/>
      <c r="T190" s="1"/>
      <c r="U190" s="1"/>
      <c r="V190" s="1"/>
      <c r="W190" s="1"/>
      <c r="X190" s="1"/>
      <c r="Y190" s="1"/>
    </row>
    <row r="191" spans="1:25" ht="42" x14ac:dyDescent="0.15">
      <c r="A191"/>
      <c r="B191" s="485"/>
      <c r="C191" s="153"/>
      <c r="D191" s="159" t="str">
        <f>VLOOKUP(A190,'imp-questions'!A:H,7,FALSE)</f>
        <v>You have a contact point for the creation of security incidents
You analyze data in accordance with the log data retention periods
The frequency of this analysis is aligned with the criticality of your applications</v>
      </c>
      <c r="E191" s="149"/>
      <c r="F191" s="154"/>
      <c r="G191" s="20"/>
      <c r="H191" s="185"/>
      <c r="I191" s="440"/>
      <c r="J191" s="438"/>
      <c r="K191" s="559"/>
      <c r="L191" s="551"/>
      <c r="M191" s="554"/>
      <c r="N191" s="121"/>
      <c r="O191" s="121"/>
      <c r="P191" s="1"/>
      <c r="Q191" s="1"/>
      <c r="R191" s="1"/>
      <c r="S191" s="1"/>
      <c r="T191" s="1"/>
      <c r="U191" s="1"/>
      <c r="V191" s="1"/>
      <c r="W191" s="1"/>
      <c r="X191" s="1"/>
      <c r="Y191" s="1"/>
    </row>
    <row r="192" spans="1:25" x14ac:dyDescent="0.15">
      <c r="A192" s="140" t="s">
        <v>267</v>
      </c>
      <c r="B192" s="485"/>
      <c r="C192" s="183">
        <f>VLOOKUP(A192,'imp-questions'!A:H,5,FALSE)</f>
        <v>2</v>
      </c>
      <c r="D192" s="176" t="str">
        <f>VLOOKUP(A192,'imp-questions'!A:H,6,FALSE)</f>
        <v>Do you follow a documented process for incident detection?</v>
      </c>
      <c r="E192" s="144" t="str">
        <f>CHAR(65+VLOOKUP(A192,'imp-questions'!A:H,8,FALSE))</f>
        <v>F</v>
      </c>
      <c r="F192" s="429" t="s">
        <v>27</v>
      </c>
      <c r="G192" s="17">
        <f>IFERROR(VLOOKUP(F192,AnsFTBL,2,FALSE),0)</f>
        <v>0</v>
      </c>
      <c r="H192" s="184">
        <f>IFERROR(AVERAGE(G192,G199),0)</f>
        <v>0.125</v>
      </c>
      <c r="I192" s="467"/>
      <c r="J192" s="187"/>
      <c r="K192" s="566"/>
      <c r="L192" s="551"/>
      <c r="M192" s="554"/>
      <c r="N192" s="121"/>
      <c r="O192" s="121"/>
      <c r="P192" s="1"/>
      <c r="Q192" s="1"/>
      <c r="R192" s="1"/>
      <c r="S192" s="1"/>
      <c r="T192" s="1"/>
      <c r="U192" s="1"/>
      <c r="V192" s="1"/>
      <c r="W192" s="1"/>
      <c r="X192" s="1"/>
      <c r="Y192" s="1"/>
    </row>
    <row r="193" spans="1:25" ht="70" x14ac:dyDescent="0.15">
      <c r="A193"/>
      <c r="B193" s="485"/>
      <c r="C193" s="153"/>
      <c r="D193" s="159"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49"/>
      <c r="F193" s="24"/>
      <c r="G193" s="20"/>
      <c r="H193" s="188"/>
      <c r="I193" s="440"/>
      <c r="J193" s="187"/>
      <c r="K193" s="559"/>
      <c r="L193" s="551"/>
      <c r="M193" s="554"/>
      <c r="N193" s="121"/>
      <c r="O193" s="121"/>
      <c r="P193" s="1"/>
      <c r="Q193" s="1"/>
      <c r="R193" s="1"/>
      <c r="S193" s="1"/>
      <c r="T193" s="1"/>
      <c r="U193" s="1"/>
      <c r="V193" s="1"/>
      <c r="W193" s="1"/>
      <c r="X193" s="1"/>
      <c r="Y193" s="1"/>
    </row>
    <row r="194" spans="1:25" x14ac:dyDescent="0.15">
      <c r="A194" s="140" t="s">
        <v>268</v>
      </c>
      <c r="B194" s="485"/>
      <c r="C194" s="183">
        <f>VLOOKUP(A194,'imp-questions'!A:H,5,FALSE)</f>
        <v>3</v>
      </c>
      <c r="D194" s="176" t="str">
        <f>VLOOKUP(A194,'imp-questions'!A:H,6,FALSE)</f>
        <v>Do you review and update the incident detection process regularly?</v>
      </c>
      <c r="E194" s="144" t="str">
        <f>CHAR(65+VLOOKUP(A194,'imp-questions'!A:H,8,FALSE))</f>
        <v>F</v>
      </c>
      <c r="F194" s="429" t="s">
        <v>27</v>
      </c>
      <c r="G194" s="17">
        <f>IFERROR(VLOOKUP(F194,AnsFTBL,2,FALSE),0)</f>
        <v>0</v>
      </c>
      <c r="H194" s="184">
        <f>IFERROR(AVERAGE(G194,G201),0)</f>
        <v>0</v>
      </c>
      <c r="I194" s="467"/>
      <c r="J194" s="187"/>
      <c r="K194" s="566"/>
      <c r="L194" s="551"/>
      <c r="M194" s="554"/>
      <c r="N194" s="121"/>
      <c r="O194" s="121"/>
      <c r="P194" s="1"/>
      <c r="Q194" s="1"/>
      <c r="R194" s="1"/>
      <c r="S194" s="1"/>
      <c r="T194" s="1"/>
      <c r="U194" s="1"/>
      <c r="V194" s="1"/>
      <c r="W194" s="1"/>
      <c r="X194" s="1"/>
      <c r="Y194" s="1"/>
    </row>
    <row r="195" spans="1:25" ht="28" x14ac:dyDescent="0.15">
      <c r="A195"/>
      <c r="B195" s="486"/>
      <c r="C195" s="153"/>
      <c r="D195" s="159" t="str">
        <f>VLOOKUP(A194,'imp-questions'!A:H,7,FALSE)</f>
        <v>You perform reviews at least annually
You update the checklist of potential attacks with external and internal data</v>
      </c>
      <c r="E195" s="149"/>
      <c r="F195" s="154"/>
      <c r="G195" s="20"/>
      <c r="H195" s="188"/>
      <c r="I195" s="440"/>
      <c r="J195" s="187"/>
      <c r="K195" s="559"/>
      <c r="L195" s="552"/>
      <c r="M195" s="555"/>
      <c r="N195" s="121"/>
      <c r="O195" s="121"/>
      <c r="P195" s="1"/>
      <c r="Q195" s="1"/>
      <c r="R195" s="1"/>
      <c r="S195" s="1"/>
      <c r="T195" s="1"/>
      <c r="U195" s="1"/>
      <c r="V195" s="1"/>
      <c r="W195" s="1"/>
      <c r="X195" s="1"/>
      <c r="Y195" s="1"/>
    </row>
    <row r="196" spans="1:25" x14ac:dyDescent="0.15">
      <c r="A196"/>
      <c r="B196" s="305"/>
      <c r="C196" s="306"/>
      <c r="D196" s="306"/>
      <c r="E196" s="306"/>
      <c r="F196" s="306"/>
      <c r="G196" s="306"/>
      <c r="H196" s="306"/>
      <c r="I196" s="349"/>
      <c r="J196" s="350"/>
      <c r="K196" s="349"/>
      <c r="L196" s="349"/>
      <c r="M196" s="351"/>
      <c r="N196" s="121"/>
      <c r="O196" s="121"/>
      <c r="P196" s="1"/>
      <c r="Q196" s="1"/>
      <c r="R196" s="1"/>
      <c r="S196" s="1"/>
      <c r="T196" s="1"/>
      <c r="U196" s="1"/>
      <c r="V196" s="1"/>
      <c r="W196" s="1"/>
      <c r="X196" s="1"/>
      <c r="Y196" s="1"/>
    </row>
    <row r="197" spans="1:25" x14ac:dyDescent="0.15">
      <c r="A197" s="140" t="s">
        <v>270</v>
      </c>
      <c r="B197" s="484" t="str">
        <f>VLOOKUP(A197,'imp-questions'!A:H,4,FALSE)</f>
        <v>Incident Response</v>
      </c>
      <c r="C197" s="183">
        <f>VLOOKUP(A197,'imp-questions'!A:H,5,FALSE)</f>
        <v>1</v>
      </c>
      <c r="D197" s="176" t="str">
        <f>VLOOKUP(A197,'imp-questions'!A:H,6,FALSE)</f>
        <v>Do you respond to detected incidents?</v>
      </c>
      <c r="E197" s="144" t="str">
        <f>CHAR(65+VLOOKUP(A197,'imp-questions'!A:H,8,FALSE))</f>
        <v>R</v>
      </c>
      <c r="F197" s="425" t="s">
        <v>331</v>
      </c>
      <c r="G197" s="17">
        <f>IFERROR(VLOOKUP(F197,AnsRTBL,2,FALSE),0)</f>
        <v>1</v>
      </c>
      <c r="H197" s="95"/>
      <c r="I197" s="439"/>
      <c r="J197" s="11"/>
      <c r="K197" s="546"/>
      <c r="L197" s="550" t="s">
        <v>534</v>
      </c>
      <c r="M197" s="553" t="s">
        <v>541</v>
      </c>
      <c r="N197" s="121"/>
      <c r="O197" s="121"/>
      <c r="P197" s="1"/>
      <c r="Q197" s="1"/>
      <c r="R197" s="1"/>
      <c r="S197" s="1"/>
      <c r="T197" s="1"/>
      <c r="U197" s="1"/>
      <c r="V197" s="1"/>
      <c r="W197" s="1"/>
      <c r="X197" s="1"/>
      <c r="Y197" s="1"/>
    </row>
    <row r="198" spans="1:25" ht="28" x14ac:dyDescent="0.15">
      <c r="A198"/>
      <c r="B198" s="485"/>
      <c r="C198" s="153"/>
      <c r="D198" s="159" t="str">
        <f>VLOOKUP(A197,'imp-questions'!A:H,7,FALSE)</f>
        <v>You have a defined person or role for incident handling
You document security incidents</v>
      </c>
      <c r="E198" s="149"/>
      <c r="F198" s="154"/>
      <c r="G198" s="20"/>
      <c r="H198" s="108"/>
      <c r="I198" s="440"/>
      <c r="J198" s="11"/>
      <c r="K198" s="547"/>
      <c r="L198" s="551"/>
      <c r="M198" s="554"/>
      <c r="N198" s="121"/>
      <c r="O198" s="121"/>
      <c r="P198" s="1"/>
      <c r="Q198" s="1"/>
      <c r="R198" s="1"/>
      <c r="S198" s="1"/>
      <c r="T198" s="1"/>
      <c r="U198" s="1"/>
      <c r="V198" s="1"/>
      <c r="W198" s="1"/>
      <c r="X198" s="1"/>
      <c r="Y198" s="1"/>
    </row>
    <row r="199" spans="1:25" x14ac:dyDescent="0.15">
      <c r="A199" s="140" t="s">
        <v>272</v>
      </c>
      <c r="B199" s="485"/>
      <c r="C199" s="183">
        <f>VLOOKUP(A199,'imp-questions'!A:H,5,FALSE)</f>
        <v>2</v>
      </c>
      <c r="D199" s="176" t="str">
        <f>VLOOKUP(A199,'imp-questions'!A:H,6,FALSE)</f>
        <v>Do you use a repeatable process for incident handling?</v>
      </c>
      <c r="E199" s="144" t="str">
        <f>CHAR(65+VLOOKUP(A199,'imp-questions'!A:H,8,FALSE))</f>
        <v>Q</v>
      </c>
      <c r="F199" s="426" t="s">
        <v>328</v>
      </c>
      <c r="G199" s="17">
        <f>IFERROR(VLOOKUP(F199,AnsQTBL,2,FALSE),0)</f>
        <v>0.25</v>
      </c>
      <c r="H199" s="95"/>
      <c r="I199" s="439"/>
      <c r="J199" s="11"/>
      <c r="K199" s="546"/>
      <c r="L199" s="551"/>
      <c r="M199" s="554"/>
      <c r="N199" s="121"/>
      <c r="O199" s="121"/>
      <c r="P199" s="1"/>
      <c r="Q199" s="1"/>
      <c r="R199" s="1"/>
      <c r="S199" s="1"/>
      <c r="T199" s="1"/>
      <c r="U199" s="1"/>
      <c r="V199" s="1"/>
      <c r="W199" s="1"/>
      <c r="X199" s="1"/>
      <c r="Y199" s="1"/>
    </row>
    <row r="200" spans="1:25" ht="56" x14ac:dyDescent="0.15">
      <c r="A200"/>
      <c r="B200" s="485"/>
      <c r="C200" s="153"/>
      <c r="D200" s="159"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49"/>
      <c r="F200" s="154"/>
      <c r="G200" s="20"/>
      <c r="H200" s="108"/>
      <c r="I200" s="440"/>
      <c r="J200" s="11"/>
      <c r="K200" s="547"/>
      <c r="L200" s="551"/>
      <c r="M200" s="554"/>
      <c r="N200" s="121"/>
      <c r="O200" s="121"/>
      <c r="P200" s="1"/>
      <c r="Q200" s="1"/>
      <c r="R200" s="1"/>
      <c r="S200" s="1"/>
      <c r="T200" s="1"/>
      <c r="U200" s="1"/>
      <c r="V200" s="1"/>
      <c r="W200" s="1"/>
      <c r="X200" s="1"/>
      <c r="Y200" s="1"/>
    </row>
    <row r="201" spans="1:25" x14ac:dyDescent="0.15">
      <c r="A201" s="140" t="s">
        <v>273</v>
      </c>
      <c r="B201" s="485"/>
      <c r="C201" s="183">
        <f>VLOOKUP(A201,'imp-questions'!A:H,5,FALSE)</f>
        <v>3</v>
      </c>
      <c r="D201" s="176" t="str">
        <f>VLOOKUP(A201,'imp-questions'!A:H,6,FALSE)</f>
        <v>Do you have a dedicated incident response team available?</v>
      </c>
      <c r="E201" s="144" t="str">
        <f>CHAR(65+VLOOKUP(A201,'imp-questions'!A:H,8,FALSE))</f>
        <v>H</v>
      </c>
      <c r="F201" s="426" t="s">
        <v>27</v>
      </c>
      <c r="G201" s="17">
        <f>IFERROR(VLOOKUP(F201,AnsHTBL,2,FALSE),0)</f>
        <v>0</v>
      </c>
      <c r="H201" s="95"/>
      <c r="I201" s="467"/>
      <c r="J201" s="11"/>
      <c r="K201" s="546"/>
      <c r="L201" s="551"/>
      <c r="M201" s="554"/>
      <c r="N201" s="121"/>
      <c r="O201" s="121"/>
      <c r="P201" s="1"/>
      <c r="Q201" s="1"/>
      <c r="R201" s="1"/>
      <c r="S201" s="1"/>
      <c r="T201" s="1"/>
      <c r="U201" s="1"/>
      <c r="V201" s="1"/>
      <c r="W201" s="1"/>
      <c r="X201" s="1"/>
      <c r="Y201" s="1"/>
    </row>
    <row r="202" spans="1:25" ht="28" x14ac:dyDescent="0.15">
      <c r="A202"/>
      <c r="B202" s="486"/>
      <c r="C202" s="153"/>
      <c r="D202" s="159" t="str">
        <f>VLOOKUP(A201,'imp-questions'!A:H,7,FALSE)</f>
        <v>The team performs Root Cause Analysis for all security incidents unless there is a specific reason not to do so
You review and update the response process at least annually</v>
      </c>
      <c r="E202" s="149"/>
      <c r="F202" s="154"/>
      <c r="G202" s="20"/>
      <c r="H202" s="108"/>
      <c r="I202" s="440"/>
      <c r="J202" s="11"/>
      <c r="K202" s="547"/>
      <c r="L202" s="552"/>
      <c r="M202" s="555"/>
      <c r="N202" s="121"/>
      <c r="O202" s="121"/>
      <c r="P202" s="1"/>
      <c r="Q202" s="1"/>
      <c r="R202" s="1"/>
      <c r="S202" s="1"/>
      <c r="T202" s="1"/>
      <c r="U202" s="1"/>
      <c r="V202" s="1"/>
      <c r="W202" s="1"/>
      <c r="X202" s="1"/>
      <c r="Y202" s="1"/>
    </row>
    <row r="203" spans="1:25" x14ac:dyDescent="0.15">
      <c r="A203"/>
      <c r="B203" s="491" t="s">
        <v>275</v>
      </c>
      <c r="C203" s="492"/>
      <c r="D203" s="493"/>
      <c r="E203" s="137"/>
      <c r="F203" s="76" t="s">
        <v>31</v>
      </c>
      <c r="G203" s="76"/>
      <c r="H203" s="115"/>
      <c r="I203" s="415" t="s">
        <v>543</v>
      </c>
      <c r="J203" s="416" t="s">
        <v>29</v>
      </c>
      <c r="K203" s="417"/>
      <c r="L203" s="418"/>
      <c r="M203" s="419"/>
      <c r="N203" s="121"/>
      <c r="O203" s="121"/>
      <c r="P203" s="1"/>
      <c r="Q203" s="1"/>
      <c r="R203" s="1"/>
      <c r="S203" s="1"/>
      <c r="T203" s="1"/>
      <c r="U203" s="1"/>
      <c r="V203" s="1"/>
      <c r="W203" s="1"/>
      <c r="X203" s="1"/>
      <c r="Y203" s="1"/>
    </row>
    <row r="204" spans="1:25" ht="30" customHeight="1" x14ac:dyDescent="0.15">
      <c r="A204" s="140" t="s">
        <v>274</v>
      </c>
      <c r="B204" s="484" t="str">
        <f>VLOOKUP(A204,'imp-questions'!A:H,4,FALSE)</f>
        <v>Configuration Hardening</v>
      </c>
      <c r="C204" s="183">
        <f>VLOOKUP(A204,'imp-questions'!A:H,5,FALSE)</f>
        <v>1</v>
      </c>
      <c r="D204" s="176" t="str">
        <f>VLOOKUP(A204,'imp-questions'!A:H,6,FALSE)</f>
        <v>Do you harden configurations for key components of your technology stacks?</v>
      </c>
      <c r="E204" s="144" t="str">
        <f>CHAR(65+VLOOKUP(A204,'imp-questions'!A:H,8,FALSE))</f>
        <v>M</v>
      </c>
      <c r="F204" s="429" t="s">
        <v>131</v>
      </c>
      <c r="G204" s="17">
        <f>IFERROR(VLOOKUP(F204,AnsMTBL,2,FALSE),0)</f>
        <v>0.25</v>
      </c>
      <c r="H204" s="184">
        <f>IFERROR(AVERAGE(G204,G211),0)</f>
        <v>0.625</v>
      </c>
      <c r="I204" s="439"/>
      <c r="J204" s="502">
        <f>SUM(H204,H206,H208)</f>
        <v>1.875</v>
      </c>
      <c r="K204" s="566"/>
      <c r="L204" s="550" t="s">
        <v>534</v>
      </c>
      <c r="M204" s="553" t="s">
        <v>541</v>
      </c>
      <c r="N204" s="121"/>
      <c r="O204" s="121"/>
      <c r="P204" s="1"/>
      <c r="Q204" s="1"/>
      <c r="R204" s="1"/>
      <c r="S204" s="1"/>
      <c r="T204" s="1"/>
      <c r="U204" s="1"/>
      <c r="V204" s="1"/>
      <c r="W204" s="1"/>
      <c r="X204" s="1"/>
      <c r="Y204" s="1"/>
    </row>
    <row r="205" spans="1:25" ht="28" x14ac:dyDescent="0.15">
      <c r="A205"/>
      <c r="B205" s="485"/>
      <c r="C205" s="153"/>
      <c r="D205" s="159" t="str">
        <f>VLOOKUP(A204,'imp-questions'!A:H,7,FALSE)</f>
        <v>You have identified the key components in each technology stack used
You have an established configuration standard for each key component</v>
      </c>
      <c r="E205" s="149"/>
      <c r="F205" s="435"/>
      <c r="G205" s="20"/>
      <c r="H205" s="185"/>
      <c r="I205" s="440"/>
      <c r="J205" s="438"/>
      <c r="K205" s="559"/>
      <c r="L205" s="551"/>
      <c r="M205" s="554"/>
      <c r="N205" s="121"/>
      <c r="O205" s="121"/>
      <c r="P205" s="1"/>
      <c r="Q205" s="1"/>
      <c r="R205" s="1"/>
      <c r="S205" s="1"/>
      <c r="T205" s="1"/>
      <c r="U205" s="1"/>
      <c r="V205" s="1"/>
      <c r="W205" s="1"/>
      <c r="X205" s="1"/>
      <c r="Y205" s="1"/>
    </row>
    <row r="206" spans="1:25" x14ac:dyDescent="0.15">
      <c r="A206" s="140" t="s">
        <v>277</v>
      </c>
      <c r="B206" s="485"/>
      <c r="C206" s="183">
        <f>VLOOKUP(A206,'imp-questions'!A:H,5,FALSE)</f>
        <v>2</v>
      </c>
      <c r="D206" s="176" t="str">
        <f>VLOOKUP(A206,'imp-questions'!A:H,6,FALSE)</f>
        <v>Do you have hardening baselines for your components?</v>
      </c>
      <c r="E206" s="144" t="str">
        <f>CHAR(65+VLOOKUP(A206,'imp-questions'!A:H,8,FALSE))</f>
        <v>M</v>
      </c>
      <c r="F206" s="426" t="s">
        <v>131</v>
      </c>
      <c r="G206" s="17">
        <f>IFERROR(VLOOKUP(F206,AnsMTBL,2,FALSE),0)</f>
        <v>0.25</v>
      </c>
      <c r="H206" s="184">
        <f>IFERROR(AVERAGE(G206,G213),0)</f>
        <v>0.625</v>
      </c>
      <c r="I206" s="439"/>
      <c r="J206" s="187"/>
      <c r="K206" s="566"/>
      <c r="L206" s="551"/>
      <c r="M206" s="554"/>
      <c r="N206" s="121"/>
      <c r="O206" s="121"/>
      <c r="P206" s="1"/>
      <c r="Q206" s="1"/>
      <c r="R206" s="1"/>
      <c r="S206" s="1"/>
      <c r="T206" s="1"/>
      <c r="U206" s="1"/>
      <c r="V206" s="1"/>
      <c r="W206" s="1"/>
      <c r="X206" s="1"/>
      <c r="Y206" s="1"/>
    </row>
    <row r="207" spans="1:25" ht="56" x14ac:dyDescent="0.15">
      <c r="A207"/>
      <c r="B207" s="485"/>
      <c r="C207" s="153"/>
      <c r="D207" s="159" t="str">
        <f>VLOOKUP(A206,'imp-questions'!A:H,7,FALSE)</f>
        <v>You have assigned an owner for each baseline
The owner keeps their assigned baselines up to date
You store baselines in an accessible location
You train employees responsible for configurations in these baselines</v>
      </c>
      <c r="E207" s="149"/>
      <c r="F207" s="435"/>
      <c r="G207" s="20"/>
      <c r="H207" s="188"/>
      <c r="I207" s="440"/>
      <c r="J207" s="187"/>
      <c r="K207" s="559"/>
      <c r="L207" s="551"/>
      <c r="M207" s="554"/>
      <c r="N207" s="121"/>
      <c r="O207" s="121"/>
      <c r="P207" s="1"/>
      <c r="Q207" s="1"/>
      <c r="R207" s="1"/>
      <c r="S207" s="1"/>
      <c r="T207" s="1"/>
      <c r="U207" s="1"/>
      <c r="V207" s="1"/>
      <c r="W207" s="1"/>
      <c r="X207" s="1"/>
      <c r="Y207" s="1"/>
    </row>
    <row r="208" spans="1:25" x14ac:dyDescent="0.15">
      <c r="A208" s="140" t="s">
        <v>278</v>
      </c>
      <c r="B208" s="485"/>
      <c r="C208" s="183">
        <f>VLOOKUP(A208,'imp-questions'!A:H,5,FALSE)</f>
        <v>3</v>
      </c>
      <c r="D208" s="176" t="str">
        <f>VLOOKUP(A208,'imp-questions'!A:H,6,FALSE)</f>
        <v>Do you monitor and enforce conformity with hardening baselines?</v>
      </c>
      <c r="E208" s="144" t="str">
        <f>CHAR(65+VLOOKUP(A208,'imp-questions'!A:H,8,FALSE))</f>
        <v>M</v>
      </c>
      <c r="F208" s="426" t="s">
        <v>131</v>
      </c>
      <c r="G208" s="17">
        <f>IFERROR(VLOOKUP(F208,AnsMTBL,2,FALSE),0)</f>
        <v>0.25</v>
      </c>
      <c r="H208" s="184">
        <f>IFERROR(AVERAGE(G208,G215),0)</f>
        <v>0.625</v>
      </c>
      <c r="I208" s="439"/>
      <c r="J208" s="187"/>
      <c r="K208" s="566"/>
      <c r="L208" s="551"/>
      <c r="M208" s="554"/>
      <c r="N208" s="121"/>
      <c r="O208" s="121"/>
      <c r="P208" s="1"/>
      <c r="Q208" s="1"/>
      <c r="R208" s="1"/>
      <c r="S208" s="1"/>
      <c r="T208" s="1"/>
      <c r="U208" s="1"/>
      <c r="V208" s="1"/>
      <c r="W208" s="1"/>
      <c r="X208" s="1"/>
      <c r="Y208" s="1"/>
    </row>
    <row r="209" spans="1:25" ht="56" x14ac:dyDescent="0.15">
      <c r="A209"/>
      <c r="B209" s="486"/>
      <c r="C209" s="153"/>
      <c r="D209" s="159"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49"/>
      <c r="F209" s="435"/>
      <c r="G209" s="20"/>
      <c r="H209" s="188"/>
      <c r="I209" s="440"/>
      <c r="J209" s="187"/>
      <c r="K209" s="559"/>
      <c r="L209" s="552"/>
      <c r="M209" s="555"/>
      <c r="N209" s="121"/>
      <c r="O209" s="121"/>
      <c r="P209" s="1"/>
      <c r="Q209" s="1"/>
      <c r="R209" s="1"/>
      <c r="S209" s="1"/>
      <c r="T209" s="1"/>
      <c r="U209" s="1"/>
      <c r="V209" s="1"/>
      <c r="W209" s="1"/>
      <c r="X209" s="1"/>
      <c r="Y209" s="1"/>
    </row>
    <row r="210" spans="1:25" x14ac:dyDescent="0.15">
      <c r="A210"/>
      <c r="B210" s="305"/>
      <c r="C210" s="306"/>
      <c r="D210" s="306"/>
      <c r="E210" s="306"/>
      <c r="F210" s="349"/>
      <c r="G210" s="306"/>
      <c r="H210" s="306"/>
      <c r="I210" s="349"/>
      <c r="J210" s="350"/>
      <c r="K210" s="349"/>
      <c r="L210" s="349"/>
      <c r="M210" s="351"/>
      <c r="N210" s="121"/>
      <c r="O210" s="121"/>
      <c r="P210" s="1"/>
      <c r="Q210" s="1"/>
      <c r="R210" s="1"/>
      <c r="S210" s="1"/>
      <c r="T210" s="1"/>
      <c r="U210" s="1"/>
      <c r="V210" s="1"/>
      <c r="W210" s="1"/>
      <c r="X210" s="1"/>
      <c r="Y210" s="1"/>
    </row>
    <row r="211" spans="1:25" x14ac:dyDescent="0.15">
      <c r="A211" s="140" t="s">
        <v>279</v>
      </c>
      <c r="B211" s="484" t="str">
        <f>VLOOKUP(A211,'imp-questions'!A:H,4,FALSE)</f>
        <v>Patching and Updating</v>
      </c>
      <c r="C211" s="183">
        <f>VLOOKUP(A211,'imp-questions'!A:H,5,FALSE)</f>
        <v>1</v>
      </c>
      <c r="D211" s="176" t="str">
        <f>VLOOKUP(A211,'imp-questions'!A:H,6,FALSE)</f>
        <v>Do you identify and patch vulnerable components?</v>
      </c>
      <c r="E211" s="144" t="str">
        <f>CHAR(65+VLOOKUP(A211,'imp-questions'!A:H,8,FALSE))</f>
        <v>M</v>
      </c>
      <c r="F211" s="425" t="s">
        <v>326</v>
      </c>
      <c r="G211" s="17">
        <f>IFERROR(VLOOKUP(F211,AnsMTBL,2,FALSE),0)</f>
        <v>1</v>
      </c>
      <c r="H211" s="95"/>
      <c r="I211" s="439"/>
      <c r="J211" s="11"/>
      <c r="K211" s="546"/>
      <c r="L211" s="550" t="s">
        <v>534</v>
      </c>
      <c r="M211" s="553" t="s">
        <v>541</v>
      </c>
      <c r="N211" s="121"/>
      <c r="O211" s="121"/>
      <c r="P211" s="1"/>
      <c r="Q211" s="1"/>
      <c r="R211" s="1"/>
      <c r="S211" s="1"/>
      <c r="T211" s="1"/>
      <c r="U211" s="1"/>
      <c r="V211" s="1"/>
      <c r="W211" s="1"/>
      <c r="X211" s="1"/>
      <c r="Y211" s="1"/>
    </row>
    <row r="212" spans="1:25" ht="28" x14ac:dyDescent="0.15">
      <c r="A212"/>
      <c r="B212" s="485"/>
      <c r="C212" s="153"/>
      <c r="D212" s="159" t="str">
        <f>VLOOKUP(A211,'imp-questions'!A:H,7,FALSE)</f>
        <v>You have an up-to-date list of components, including version information
You regularly review public sources for vulnerabilities related to your components</v>
      </c>
      <c r="E212" s="149"/>
      <c r="F212" s="435"/>
      <c r="G212" s="20"/>
      <c r="H212" s="108"/>
      <c r="I212" s="440"/>
      <c r="J212" s="11"/>
      <c r="K212" s="547"/>
      <c r="L212" s="551"/>
      <c r="M212" s="554"/>
      <c r="N212" s="121"/>
      <c r="O212" s="121"/>
      <c r="P212" s="1"/>
      <c r="Q212" s="1"/>
      <c r="R212" s="1"/>
      <c r="S212" s="1"/>
      <c r="T212" s="1"/>
      <c r="U212" s="1"/>
      <c r="V212" s="1"/>
      <c r="W212" s="1"/>
      <c r="X212" s="1"/>
      <c r="Y212" s="1"/>
    </row>
    <row r="213" spans="1:25" x14ac:dyDescent="0.15">
      <c r="A213" s="140" t="s">
        <v>282</v>
      </c>
      <c r="B213" s="485"/>
      <c r="C213" s="183">
        <f>VLOOKUP(A213,'imp-questions'!A:H,5,FALSE)</f>
        <v>2</v>
      </c>
      <c r="D213" s="176" t="str">
        <f>VLOOKUP(A213,'imp-questions'!A:H,6,FALSE)</f>
        <v>Do you follow an established process for updating components of your technology stacks?</v>
      </c>
      <c r="E213" s="144" t="str">
        <f>CHAR(65+VLOOKUP(A213,'imp-questions'!A:H,8,FALSE))</f>
        <v>M</v>
      </c>
      <c r="F213" s="426" t="s">
        <v>326</v>
      </c>
      <c r="G213" s="17">
        <f>IFERROR(VLOOKUP(F213,AnsMTBL,2,FALSE),0)</f>
        <v>1</v>
      </c>
      <c r="H213" s="95"/>
      <c r="I213" s="439"/>
      <c r="J213" s="11"/>
      <c r="K213" s="546"/>
      <c r="L213" s="551"/>
      <c r="M213" s="554"/>
      <c r="N213" s="121"/>
      <c r="O213" s="121"/>
      <c r="P213" s="1"/>
      <c r="Q213" s="1"/>
      <c r="R213" s="1"/>
      <c r="S213" s="1"/>
      <c r="T213" s="1"/>
      <c r="U213" s="1"/>
      <c r="V213" s="1"/>
      <c r="W213" s="1"/>
      <c r="X213" s="1"/>
      <c r="Y213" s="1"/>
    </row>
    <row r="214" spans="1:25" ht="42" x14ac:dyDescent="0.15">
      <c r="A214"/>
      <c r="B214" s="485"/>
      <c r="C214" s="153"/>
      <c r="D214" s="159"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49"/>
      <c r="F214" s="435"/>
      <c r="G214" s="150"/>
      <c r="H214" s="155"/>
      <c r="I214" s="440"/>
      <c r="J214" s="11"/>
      <c r="K214" s="547"/>
      <c r="L214" s="551"/>
      <c r="M214" s="554"/>
      <c r="N214" s="121"/>
      <c r="O214" s="121"/>
      <c r="P214" s="1"/>
      <c r="Q214" s="1"/>
      <c r="R214" s="1"/>
      <c r="S214" s="1"/>
      <c r="T214" s="1"/>
      <c r="U214" s="1"/>
      <c r="V214" s="1"/>
      <c r="W214" s="1"/>
      <c r="X214" s="1"/>
      <c r="Y214" s="1"/>
    </row>
    <row r="215" spans="1:25" x14ac:dyDescent="0.15">
      <c r="A215" s="140" t="s">
        <v>283</v>
      </c>
      <c r="B215" s="485"/>
      <c r="C215" s="183">
        <f>VLOOKUP(A215,'imp-questions'!A:H,5,FALSE)</f>
        <v>3</v>
      </c>
      <c r="D215" s="176" t="str">
        <f>VLOOKUP(A215,'imp-questions'!A:H,6,FALSE)</f>
        <v>Do you regularly evaluate components and review patch level status?</v>
      </c>
      <c r="E215" s="144" t="str">
        <f>CHAR(65+VLOOKUP(A215,'imp-questions'!A:H,8,FALSE))</f>
        <v>M</v>
      </c>
      <c r="F215" s="426" t="s">
        <v>326</v>
      </c>
      <c r="G215" s="17">
        <f>IFERROR(VLOOKUP(F215,AnsMTBL,2,FALSE),0)</f>
        <v>1</v>
      </c>
      <c r="H215" s="95"/>
      <c r="I215" s="439"/>
      <c r="J215" s="11"/>
      <c r="K215" s="546"/>
      <c r="L215" s="551"/>
      <c r="M215" s="554"/>
      <c r="N215" s="121"/>
      <c r="O215" s="121"/>
      <c r="P215" s="1"/>
      <c r="Q215" s="1"/>
      <c r="R215" s="1"/>
      <c r="S215" s="1"/>
      <c r="T215" s="1"/>
      <c r="U215" s="1"/>
      <c r="V215" s="1"/>
      <c r="W215" s="1"/>
      <c r="X215" s="1"/>
      <c r="Y215" s="1"/>
    </row>
    <row r="216" spans="1:25" ht="42" x14ac:dyDescent="0.15">
      <c r="A216"/>
      <c r="B216" s="487"/>
      <c r="C216" s="133"/>
      <c r="D216" s="167" t="str">
        <f>VLOOKUP(A215,'imp-questions'!A:H,7,FALSE)</f>
        <v>You update the list with components and versions
You identify and update missing updates according to existing SLA
You review and update the process based on feedback from the people who perform patching</v>
      </c>
      <c r="E216" s="145"/>
      <c r="F216" s="436"/>
      <c r="G216" s="20"/>
      <c r="H216" s="108"/>
      <c r="I216" s="440"/>
      <c r="J216" s="300"/>
      <c r="K216" s="547"/>
      <c r="L216" s="552"/>
      <c r="M216" s="555"/>
      <c r="N216" s="121"/>
      <c r="O216" s="121"/>
      <c r="P216" s="1"/>
      <c r="Q216" s="1"/>
      <c r="R216" s="1"/>
      <c r="S216" s="1"/>
      <c r="T216" s="1"/>
      <c r="U216" s="1"/>
      <c r="V216" s="1"/>
      <c r="W216" s="1"/>
      <c r="X216" s="1"/>
      <c r="Y216" s="1"/>
    </row>
    <row r="217" spans="1:25" x14ac:dyDescent="0.15">
      <c r="A217"/>
      <c r="B217" s="488" t="s">
        <v>286</v>
      </c>
      <c r="C217" s="489"/>
      <c r="D217" s="490"/>
      <c r="E217" s="339"/>
      <c r="F217" s="437" t="s">
        <v>31</v>
      </c>
      <c r="G217" s="340"/>
      <c r="H217" s="341"/>
      <c r="I217" s="420" t="s">
        <v>543</v>
      </c>
      <c r="J217" s="421" t="s">
        <v>29</v>
      </c>
      <c r="K217" s="422"/>
      <c r="L217" s="423"/>
      <c r="M217" s="424"/>
      <c r="N217" s="121"/>
      <c r="O217" s="121"/>
      <c r="P217" s="1"/>
      <c r="Q217" s="1"/>
      <c r="R217" s="1"/>
      <c r="S217" s="1"/>
      <c r="T217" s="1"/>
      <c r="U217" s="1"/>
      <c r="V217" s="1"/>
      <c r="W217" s="1"/>
      <c r="X217" s="1"/>
      <c r="Y217" s="1"/>
    </row>
    <row r="218" spans="1:25" x14ac:dyDescent="0.15">
      <c r="A218" s="140" t="s">
        <v>285</v>
      </c>
      <c r="B218" s="487" t="str">
        <f>VLOOKUP(A218,'imp-questions'!A:H,4,FALSE)</f>
        <v>Data Protection</v>
      </c>
      <c r="C218" s="338">
        <f>VLOOKUP(A218,'imp-questions'!A:H,5,FALSE)</f>
        <v>1</v>
      </c>
      <c r="D218" s="302" t="str">
        <f>VLOOKUP(A218,'imp-questions'!A:H,6,FALSE)</f>
        <v>Do you protect and handle information according to protection requirements for data stored and processed on each application?</v>
      </c>
      <c r="E218" s="146" t="str">
        <f>CHAR(65+VLOOKUP(A218,'imp-questions'!A:H,8,FALSE))</f>
        <v>F</v>
      </c>
      <c r="F218" s="434" t="s">
        <v>321</v>
      </c>
      <c r="G218" s="303">
        <f>IFERROR(VLOOKUP(F218,AnsFTBL,2,FALSE),0)</f>
        <v>1</v>
      </c>
      <c r="H218" s="320">
        <f>IFERROR(AVERAGE(G218,G225),0)</f>
        <v>1</v>
      </c>
      <c r="I218" s="439"/>
      <c r="J218" s="438">
        <f>SUM(H218,H220,H222)</f>
        <v>2.25</v>
      </c>
      <c r="K218" s="558"/>
      <c r="L218" s="550" t="s">
        <v>534</v>
      </c>
      <c r="M218" s="553" t="s">
        <v>541</v>
      </c>
      <c r="N218" s="121"/>
      <c r="O218" s="121"/>
      <c r="P218" s="1"/>
      <c r="Q218" s="1"/>
      <c r="R218" s="1"/>
      <c r="S218" s="1"/>
      <c r="T218" s="1"/>
      <c r="U218" s="1"/>
      <c r="V218" s="1"/>
      <c r="W218" s="1"/>
      <c r="X218" s="1"/>
      <c r="Y218" s="1"/>
    </row>
    <row r="219" spans="1:25" ht="42" x14ac:dyDescent="0.15">
      <c r="A219"/>
      <c r="B219" s="485"/>
      <c r="C219" s="153"/>
      <c r="D219" s="159"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49"/>
      <c r="F219" s="435"/>
      <c r="G219" s="150"/>
      <c r="H219" s="185"/>
      <c r="I219" s="440"/>
      <c r="J219" s="438"/>
      <c r="K219" s="559"/>
      <c r="L219" s="551"/>
      <c r="M219" s="554"/>
      <c r="N219" s="121"/>
      <c r="O219" s="121"/>
      <c r="P219" s="1"/>
      <c r="Q219" s="1"/>
      <c r="R219" s="1"/>
      <c r="S219" s="1"/>
      <c r="T219" s="1"/>
      <c r="U219" s="1"/>
      <c r="V219" s="1"/>
      <c r="W219" s="1"/>
      <c r="X219" s="1"/>
      <c r="Y219" s="1"/>
    </row>
    <row r="220" spans="1:25" x14ac:dyDescent="0.15">
      <c r="A220" s="140" t="s">
        <v>289</v>
      </c>
      <c r="B220" s="485"/>
      <c r="C220" s="183">
        <f>VLOOKUP(A220,'imp-questions'!A:H,5,FALSE)</f>
        <v>2</v>
      </c>
      <c r="D220" s="176" t="str">
        <f>VLOOKUP(A220,'imp-questions'!A:H,6,FALSE)</f>
        <v>Do you maintain a data catalog, including types, sensitivity levels, and processing and storage locations?</v>
      </c>
      <c r="E220" s="144" t="str">
        <f>CHAR(65+VLOOKUP(A220,'imp-questions'!A:H,8,FALSE))</f>
        <v>O</v>
      </c>
      <c r="F220" s="426" t="s">
        <v>327</v>
      </c>
      <c r="G220" s="17">
        <f>IFERROR(VLOOKUP(F220,AnsOTBL,2,FALSE),0)</f>
        <v>1</v>
      </c>
      <c r="H220" s="184">
        <f>IFERROR(AVERAGE(G220,G227),0)</f>
        <v>1</v>
      </c>
      <c r="I220" s="439"/>
      <c r="J220" s="187"/>
      <c r="K220" s="566"/>
      <c r="L220" s="551"/>
      <c r="M220" s="554"/>
      <c r="N220" s="121"/>
      <c r="O220" s="121"/>
      <c r="P220" s="1"/>
      <c r="Q220" s="1"/>
      <c r="R220" s="1"/>
      <c r="S220" s="1"/>
      <c r="T220" s="1"/>
      <c r="U220" s="1"/>
      <c r="V220" s="1"/>
      <c r="W220" s="1"/>
      <c r="X220" s="1"/>
      <c r="Y220" s="1"/>
    </row>
    <row r="221" spans="1:25" ht="63.75" customHeight="1" x14ac:dyDescent="0.15">
      <c r="A221"/>
      <c r="B221" s="485"/>
      <c r="C221" s="153"/>
      <c r="D221" s="159"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49"/>
      <c r="F221" s="435"/>
      <c r="G221" s="150"/>
      <c r="H221" s="188"/>
      <c r="I221" s="440"/>
      <c r="J221" s="187"/>
      <c r="K221" s="559"/>
      <c r="L221" s="551"/>
      <c r="M221" s="554"/>
      <c r="N221" s="121"/>
      <c r="O221" s="121"/>
      <c r="P221" s="1"/>
      <c r="Q221" s="1"/>
      <c r="R221" s="1"/>
      <c r="S221" s="1"/>
      <c r="T221" s="1"/>
      <c r="U221" s="1"/>
      <c r="V221" s="1"/>
      <c r="W221" s="1"/>
      <c r="X221" s="1"/>
      <c r="Y221" s="1"/>
    </row>
    <row r="222" spans="1:25" x14ac:dyDescent="0.15">
      <c r="A222" s="140" t="s">
        <v>291</v>
      </c>
      <c r="B222" s="485"/>
      <c r="C222" s="183">
        <f>VLOOKUP(A222,'imp-questions'!A:H,5,FALSE)</f>
        <v>3</v>
      </c>
      <c r="D222" s="176" t="str">
        <f>VLOOKUP(A222,'imp-questions'!A:H,6,FALSE)</f>
        <v>Do you regularly review and update the data catalog and your data protection policies and procedures?</v>
      </c>
      <c r="E222" s="144" t="str">
        <f>CHAR(65+VLOOKUP(A222,'imp-questions'!A:H,8,FALSE))</f>
        <v>P</v>
      </c>
      <c r="F222" s="426" t="s">
        <v>136</v>
      </c>
      <c r="G222" s="17">
        <f>IFERROR(VLOOKUP(F222,AnsPTBL,2,FALSE),0)</f>
        <v>0.25</v>
      </c>
      <c r="H222" s="184">
        <f>IFERROR(AVERAGE(G222,G229),0)</f>
        <v>0.25</v>
      </c>
      <c r="I222" s="439"/>
      <c r="J222" s="187"/>
      <c r="K222" s="566"/>
      <c r="L222" s="551"/>
      <c r="M222" s="554"/>
      <c r="N222" s="121"/>
      <c r="O222" s="121"/>
      <c r="P222" s="1"/>
      <c r="Q222" s="1"/>
      <c r="R222" s="1"/>
      <c r="S222" s="1"/>
      <c r="T222" s="1"/>
      <c r="U222" s="1"/>
      <c r="V222" s="1"/>
      <c r="W222" s="1"/>
      <c r="X222" s="1"/>
      <c r="Y222" s="1"/>
    </row>
    <row r="223" spans="1:25" ht="42" x14ac:dyDescent="0.15">
      <c r="A223"/>
      <c r="B223" s="486"/>
      <c r="C223" s="153"/>
      <c r="D223" s="159"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49"/>
      <c r="F223" s="435"/>
      <c r="G223" s="150"/>
      <c r="H223" s="188"/>
      <c r="I223" s="440"/>
      <c r="J223" s="187"/>
      <c r="K223" s="559"/>
      <c r="L223" s="552"/>
      <c r="M223" s="555"/>
      <c r="N223" s="121"/>
      <c r="O223" s="121"/>
      <c r="P223" s="1"/>
      <c r="Q223" s="1"/>
      <c r="R223" s="1"/>
      <c r="S223" s="1"/>
      <c r="T223" s="1"/>
      <c r="U223" s="1"/>
      <c r="V223" s="1"/>
      <c r="W223" s="1"/>
      <c r="X223" s="1"/>
      <c r="Y223" s="1"/>
    </row>
    <row r="224" spans="1:25" x14ac:dyDescent="0.15">
      <c r="A224"/>
      <c r="B224" s="305"/>
      <c r="C224" s="306"/>
      <c r="D224" s="306"/>
      <c r="E224" s="306"/>
      <c r="F224" s="349"/>
      <c r="G224" s="306"/>
      <c r="H224" s="306"/>
      <c r="I224" s="349"/>
      <c r="J224" s="350"/>
      <c r="K224" s="349"/>
      <c r="L224" s="349"/>
      <c r="M224" s="351"/>
      <c r="N224" s="121"/>
      <c r="O224" s="121"/>
      <c r="P224" s="1"/>
      <c r="Q224" s="1"/>
      <c r="R224" s="1"/>
      <c r="S224" s="1"/>
      <c r="T224" s="1"/>
      <c r="U224" s="1"/>
      <c r="V224" s="1"/>
      <c r="W224" s="1"/>
      <c r="X224" s="1"/>
      <c r="Y224" s="1"/>
    </row>
    <row r="225" spans="1:25" ht="28" x14ac:dyDescent="0.15">
      <c r="A225" s="140" t="s">
        <v>293</v>
      </c>
      <c r="B225" s="484" t="str">
        <f>VLOOKUP(A225,'imp-questions'!A:H,4,FALSE)</f>
        <v>System Decomissioning / Legacy Management</v>
      </c>
      <c r="C225" s="183">
        <f>VLOOKUP(A225,'imp-questions'!A:H,5,FALSE)</f>
        <v>1</v>
      </c>
      <c r="D225" s="176" t="str">
        <f>VLOOKUP(A225,'imp-questions'!A:H,6,FALSE)</f>
        <v>Do you identify and remove systems, applications, application dependencies, or services that are no longer used, have reached end of life, or are no longer actively developed or supported?</v>
      </c>
      <c r="E225" s="144" t="str">
        <f>CHAR(65+VLOOKUP(A225,'imp-questions'!A:H,8,FALSE))</f>
        <v>F</v>
      </c>
      <c r="F225" s="429" t="s">
        <v>321</v>
      </c>
      <c r="G225" s="17">
        <f>IFERROR(VLOOKUP(F225,AnsFTBL,2,FALSE),0)</f>
        <v>1</v>
      </c>
      <c r="H225" s="95"/>
      <c r="I225" s="439"/>
      <c r="J225" s="11"/>
      <c r="K225" s="546"/>
      <c r="L225" s="550" t="s">
        <v>534</v>
      </c>
      <c r="M225" s="553" t="s">
        <v>541</v>
      </c>
      <c r="N225" s="121"/>
      <c r="O225" s="121"/>
      <c r="P225" s="1"/>
      <c r="Q225" s="1"/>
      <c r="R225" s="1"/>
      <c r="S225" s="1"/>
      <c r="T225" s="1"/>
      <c r="U225" s="1"/>
      <c r="V225" s="1"/>
      <c r="W225" s="1"/>
      <c r="X225" s="1"/>
      <c r="Y225" s="1"/>
    </row>
    <row r="226" spans="1:25" ht="28" x14ac:dyDescent="0.15">
      <c r="A226"/>
      <c r="B226" s="485"/>
      <c r="C226" s="153"/>
      <c r="D226" s="159" t="str">
        <f>VLOOKUP(A225,'imp-questions'!A:H,7,FALSE)</f>
        <v>You do not use unsupported applications or dependencies
You manage customer/user migration from older versions for each product and customer/user group</v>
      </c>
      <c r="E226" s="149"/>
      <c r="F226" s="435"/>
      <c r="G226" s="150"/>
      <c r="H226" s="155"/>
      <c r="I226" s="440"/>
      <c r="J226" s="11"/>
      <c r="K226" s="547"/>
      <c r="L226" s="551"/>
      <c r="M226" s="554"/>
      <c r="N226" s="121"/>
      <c r="O226" s="121"/>
      <c r="P226" s="1"/>
      <c r="Q226" s="1"/>
      <c r="R226" s="1"/>
      <c r="S226" s="1"/>
      <c r="T226" s="1"/>
      <c r="U226" s="1"/>
      <c r="V226" s="1"/>
      <c r="W226" s="1"/>
      <c r="X226" s="1"/>
      <c r="Y226" s="1"/>
    </row>
    <row r="227" spans="1:25" ht="28" x14ac:dyDescent="0.15">
      <c r="A227" s="140" t="s">
        <v>295</v>
      </c>
      <c r="B227" s="485"/>
      <c r="C227" s="183">
        <f>VLOOKUP(A227,'imp-questions'!A:H,5,FALSE)</f>
        <v>2</v>
      </c>
      <c r="D227" s="176" t="str">
        <f>VLOOKUP(A227,'imp-questions'!A:H,6,FALSE)</f>
        <v>Do you follow an established process for removing all associated resources, as part of decommissioning of unused systems, applications, application dependencies, or services?</v>
      </c>
      <c r="E227" s="144" t="str">
        <f>CHAR(65+VLOOKUP(A227,'imp-questions'!A:H,8,FALSE))</f>
        <v>H</v>
      </c>
      <c r="F227" s="426" t="s">
        <v>323</v>
      </c>
      <c r="G227" s="17">
        <f>IFERROR(VLOOKUP(F227,AnsHTBL,2,FALSE),0)</f>
        <v>1</v>
      </c>
      <c r="H227" s="95"/>
      <c r="I227" s="439"/>
      <c r="J227" s="11"/>
      <c r="K227" s="546"/>
      <c r="L227" s="551"/>
      <c r="M227" s="554"/>
      <c r="N227" s="121"/>
      <c r="O227" s="121"/>
      <c r="P227" s="1"/>
      <c r="Q227" s="1"/>
      <c r="R227" s="1"/>
      <c r="S227" s="1"/>
      <c r="T227" s="1"/>
      <c r="U227" s="1"/>
      <c r="V227" s="1"/>
      <c r="W227" s="1"/>
      <c r="X227" s="1"/>
      <c r="Y227" s="1"/>
    </row>
    <row r="228" spans="1:25" ht="42" x14ac:dyDescent="0.15">
      <c r="A228"/>
      <c r="B228" s="485"/>
      <c r="C228" s="153"/>
      <c r="D228" s="159"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49"/>
      <c r="F228" s="435"/>
      <c r="G228" s="150"/>
      <c r="H228" s="155"/>
      <c r="I228" s="440"/>
      <c r="J228" s="11"/>
      <c r="K228" s="547"/>
      <c r="L228" s="551"/>
      <c r="M228" s="554"/>
      <c r="N228" s="121"/>
      <c r="O228" s="121"/>
      <c r="P228" s="1"/>
      <c r="Q228" s="1"/>
      <c r="R228" s="1"/>
      <c r="S228" s="1"/>
      <c r="T228" s="1"/>
      <c r="U228" s="1"/>
      <c r="V228" s="1"/>
      <c r="W228" s="1"/>
      <c r="X228" s="1"/>
      <c r="Y228" s="1"/>
    </row>
    <row r="229" spans="1:25" ht="28" x14ac:dyDescent="0.15">
      <c r="A229" s="140" t="s">
        <v>297</v>
      </c>
      <c r="B229" s="485"/>
      <c r="C229" s="183">
        <f>VLOOKUP(A229,'imp-questions'!A:H,5,FALSE)</f>
        <v>3</v>
      </c>
      <c r="D229" s="176" t="str">
        <f>VLOOKUP(A229,'imp-questions'!A:H,6,FALSE)</f>
        <v>Do you regularly evaluate the lifecycle state and support status of every software asset and underlying infrastructure component, and estimate their end of life?</v>
      </c>
      <c r="E229" s="144" t="str">
        <f>CHAR(65+VLOOKUP(A229,'imp-questions'!A:H,8,FALSE))</f>
        <v>S</v>
      </c>
      <c r="F229" s="426" t="s">
        <v>137</v>
      </c>
      <c r="G229" s="17">
        <f>IFERROR(VLOOKUP(F229,AnsSTBL,2,FALSE),0)</f>
        <v>0.25</v>
      </c>
      <c r="H229" s="308"/>
      <c r="I229" s="439"/>
      <c r="J229" s="310"/>
      <c r="K229" s="576"/>
      <c r="L229" s="551"/>
      <c r="M229" s="554"/>
      <c r="N229" s="121"/>
      <c r="O229" s="121"/>
      <c r="P229" s="1"/>
      <c r="Q229" s="1"/>
      <c r="R229" s="1"/>
      <c r="S229" s="1"/>
      <c r="T229" s="1"/>
      <c r="U229" s="1"/>
      <c r="V229" s="1"/>
      <c r="W229" s="1"/>
      <c r="X229" s="1"/>
      <c r="Y229" s="1"/>
    </row>
    <row r="230" spans="1:25" ht="42" x14ac:dyDescent="0.15">
      <c r="A230"/>
      <c r="B230" s="486"/>
      <c r="C230" s="153"/>
      <c r="D230" s="159" t="str">
        <f>VLOOKUP(A229,'imp-questions'!A:H,7,FALSE)</f>
        <v>Your end of life management process is agreed upon
You inform customers and user groups of product timelines to prevent disruption of service or support
You review the process at least annually</v>
      </c>
      <c r="E230" s="149"/>
      <c r="F230" s="435"/>
      <c r="G230" s="150"/>
      <c r="H230" s="309"/>
      <c r="I230" s="440"/>
      <c r="J230" s="310"/>
      <c r="K230" s="576"/>
      <c r="L230" s="552"/>
      <c r="M230" s="555"/>
      <c r="N230" s="121"/>
      <c r="O230" s="121"/>
      <c r="P230" s="1"/>
      <c r="Q230" s="1"/>
      <c r="R230" s="1"/>
      <c r="S230" s="1"/>
      <c r="T230" s="1"/>
      <c r="U230" s="1"/>
      <c r="V230" s="1"/>
      <c r="W230" s="1"/>
      <c r="X230" s="1"/>
      <c r="Y230" s="1"/>
    </row>
    <row r="232" spans="1:25" ht="44.25" customHeight="1" x14ac:dyDescent="0.15">
      <c r="F232" s="311" t="s">
        <v>546</v>
      </c>
      <c r="G232" s="312"/>
      <c r="H232" s="313"/>
      <c r="I232" s="432" t="s">
        <v>553</v>
      </c>
    </row>
    <row r="233" spans="1:25" x14ac:dyDescent="0.15">
      <c r="F233" s="26" t="s">
        <v>554</v>
      </c>
      <c r="I233" s="140" t="s">
        <v>555</v>
      </c>
    </row>
  </sheetData>
  <sheetProtection selectLockedCells="1"/>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17">
    <mergeCell ref="M168:M173"/>
    <mergeCell ref="M175:M180"/>
    <mergeCell ref="M182:M187"/>
    <mergeCell ref="M190:M195"/>
    <mergeCell ref="M197:M202"/>
    <mergeCell ref="M204:M209"/>
    <mergeCell ref="M225:M230"/>
    <mergeCell ref="M218:M223"/>
    <mergeCell ref="M211:M216"/>
    <mergeCell ref="L197:L202"/>
    <mergeCell ref="L204:L209"/>
    <mergeCell ref="L225:L230"/>
    <mergeCell ref="L218:L223"/>
    <mergeCell ref="L211:L216"/>
    <mergeCell ref="M32:M37"/>
    <mergeCell ref="M39:M44"/>
    <mergeCell ref="M46:M51"/>
    <mergeCell ref="M53:M58"/>
    <mergeCell ref="M61:M66"/>
    <mergeCell ref="M68:M73"/>
    <mergeCell ref="M75:M80"/>
    <mergeCell ref="M82:M87"/>
    <mergeCell ref="M89:M94"/>
    <mergeCell ref="M96:M101"/>
    <mergeCell ref="M104:M109"/>
    <mergeCell ref="M111:M116"/>
    <mergeCell ref="M118:M123"/>
    <mergeCell ref="M125:M130"/>
    <mergeCell ref="M132:M137"/>
    <mergeCell ref="M139:M144"/>
    <mergeCell ref="M147:M152"/>
    <mergeCell ref="M154:M159"/>
    <mergeCell ref="M161:M166"/>
    <mergeCell ref="K229:K230"/>
    <mergeCell ref="L32:L37"/>
    <mergeCell ref="L39:L44"/>
    <mergeCell ref="L46:L51"/>
    <mergeCell ref="L53:L58"/>
    <mergeCell ref="L61:L66"/>
    <mergeCell ref="L68:L73"/>
    <mergeCell ref="L75:L80"/>
    <mergeCell ref="L82:L87"/>
    <mergeCell ref="L89:L94"/>
    <mergeCell ref="L96:L101"/>
    <mergeCell ref="L104:L109"/>
    <mergeCell ref="L111:L116"/>
    <mergeCell ref="L118:L123"/>
    <mergeCell ref="L125:L130"/>
    <mergeCell ref="L132:L137"/>
    <mergeCell ref="L139:L144"/>
    <mergeCell ref="L147:L152"/>
    <mergeCell ref="L154:L159"/>
    <mergeCell ref="L161:L166"/>
    <mergeCell ref="L168:L173"/>
    <mergeCell ref="L175:L180"/>
    <mergeCell ref="L182:L187"/>
    <mergeCell ref="L190:L195"/>
    <mergeCell ref="K208:K209"/>
    <mergeCell ref="K211:K212"/>
    <mergeCell ref="K213:K214"/>
    <mergeCell ref="K215:K216"/>
    <mergeCell ref="K218:K219"/>
    <mergeCell ref="K220:K221"/>
    <mergeCell ref="K222:K223"/>
    <mergeCell ref="K225:K226"/>
    <mergeCell ref="K227:K228"/>
    <mergeCell ref="K186:K187"/>
    <mergeCell ref="K190:K191"/>
    <mergeCell ref="K192:K193"/>
    <mergeCell ref="K194:K195"/>
    <mergeCell ref="K197:K198"/>
    <mergeCell ref="K199:K200"/>
    <mergeCell ref="K201:K202"/>
    <mergeCell ref="K204:K205"/>
    <mergeCell ref="K206:K207"/>
    <mergeCell ref="K165:K166"/>
    <mergeCell ref="K168:K169"/>
    <mergeCell ref="K170:K171"/>
    <mergeCell ref="K172:K173"/>
    <mergeCell ref="K175:K176"/>
    <mergeCell ref="K177:K178"/>
    <mergeCell ref="K179:K180"/>
    <mergeCell ref="K182:K183"/>
    <mergeCell ref="K184:K185"/>
    <mergeCell ref="K143:K144"/>
    <mergeCell ref="K147:K148"/>
    <mergeCell ref="K149:K150"/>
    <mergeCell ref="K151:K152"/>
    <mergeCell ref="K154:K155"/>
    <mergeCell ref="K156:K157"/>
    <mergeCell ref="K158:K159"/>
    <mergeCell ref="K161:K162"/>
    <mergeCell ref="K163:K164"/>
    <mergeCell ref="K122:K123"/>
    <mergeCell ref="K125:K126"/>
    <mergeCell ref="K127:K128"/>
    <mergeCell ref="K129:K130"/>
    <mergeCell ref="K132:K133"/>
    <mergeCell ref="K134:K135"/>
    <mergeCell ref="K136:K137"/>
    <mergeCell ref="K139:K140"/>
    <mergeCell ref="K141:K142"/>
    <mergeCell ref="K100:K101"/>
    <mergeCell ref="K104:K105"/>
    <mergeCell ref="K106:K107"/>
    <mergeCell ref="K108:K109"/>
    <mergeCell ref="K111:K112"/>
    <mergeCell ref="K113:K114"/>
    <mergeCell ref="K115:K116"/>
    <mergeCell ref="K118:K119"/>
    <mergeCell ref="K120:K121"/>
    <mergeCell ref="K79:K80"/>
    <mergeCell ref="K82:K83"/>
    <mergeCell ref="K84:K85"/>
    <mergeCell ref="K86:K87"/>
    <mergeCell ref="K89:K90"/>
    <mergeCell ref="K91:K92"/>
    <mergeCell ref="K93:K94"/>
    <mergeCell ref="K96:K97"/>
    <mergeCell ref="K98:K99"/>
    <mergeCell ref="K57:K58"/>
    <mergeCell ref="K61:K62"/>
    <mergeCell ref="K63:K64"/>
    <mergeCell ref="K65:K66"/>
    <mergeCell ref="K68:K69"/>
    <mergeCell ref="K70:K71"/>
    <mergeCell ref="K72:K73"/>
    <mergeCell ref="K75:K76"/>
    <mergeCell ref="K77:K78"/>
    <mergeCell ref="K36:K37"/>
    <mergeCell ref="K39:K40"/>
    <mergeCell ref="K41:K42"/>
    <mergeCell ref="K43:K44"/>
    <mergeCell ref="K46:K47"/>
    <mergeCell ref="K48:K49"/>
    <mergeCell ref="K50:K51"/>
    <mergeCell ref="K53:K54"/>
    <mergeCell ref="K55:K56"/>
    <mergeCell ref="K16:M16"/>
    <mergeCell ref="K18:K19"/>
    <mergeCell ref="K20:K21"/>
    <mergeCell ref="K22:K23"/>
    <mergeCell ref="K25:K26"/>
    <mergeCell ref="K27:K28"/>
    <mergeCell ref="K29:K30"/>
    <mergeCell ref="K32:K33"/>
    <mergeCell ref="K34:K35"/>
    <mergeCell ref="L25:L30"/>
    <mergeCell ref="M25:M30"/>
    <mergeCell ref="L18:L23"/>
    <mergeCell ref="M18:M23"/>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6:I6"/>
    <mergeCell ref="B25:B30"/>
    <mergeCell ref="B11:C11"/>
    <mergeCell ref="B12:C12"/>
    <mergeCell ref="B13:C13"/>
    <mergeCell ref="B14:C14"/>
    <mergeCell ref="I18:I19"/>
    <mergeCell ref="I22:I23"/>
    <mergeCell ref="I25:I26"/>
    <mergeCell ref="I29:I30"/>
    <mergeCell ref="B8:I8"/>
    <mergeCell ref="B10:C10"/>
    <mergeCell ref="B16:J16"/>
    <mergeCell ref="B7:I7"/>
    <mergeCell ref="B5:I5"/>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633" priority="2">
      <formula>$H$25=1</formula>
    </cfRule>
  </conditionalFormatting>
  <dataValidations count="28">
    <dataValidation type="list" allowBlank="1" showInputMessage="1" showErrorMessage="1" sqref="N22:O22 N20:O20" xr:uid="{00000000-0002-0000-0100-000000000000}">
      <formula1>AnswerB</formula1>
    </dataValidation>
    <dataValidation type="list" allowBlank="1" showInputMessage="1" showErrorMessage="1" sqref="N18:O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25:M230 M218:M223 M211:M216" xr:uid="{A60208DA-3E8E-4128-A256-EB0895A73CA1}">
      <formula1>$M$4:$M$7</formula1>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25:L230 L218:L223 L211:L216" xr:uid="{A7F40DE3-4CAA-41FD-B3E0-12F52033CAD0}">
      <formula1>$L$4:$L$7</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C1" zoomScale="140" zoomScaleNormal="140" workbookViewId="0">
      <selection activeCell="I17" sqref="I1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583" t="str">
        <f>CONCATENATE("SAMM Assessment Scorecard: ",C6," For ",C5)</f>
        <v>SAMM Assessment Scorecard:  For COMPANY</v>
      </c>
      <c r="B1" s="583"/>
      <c r="C1" s="583"/>
      <c r="D1" s="584"/>
      <c r="E1" s="584"/>
      <c r="F1" s="584"/>
      <c r="G1" s="585"/>
      <c r="H1" s="585"/>
      <c r="I1" s="585"/>
      <c r="J1" s="585"/>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589" t="s">
        <v>95</v>
      </c>
      <c r="B3" s="590"/>
      <c r="C3" s="590"/>
      <c r="D3" s="590"/>
      <c r="E3" s="590"/>
      <c r="F3" s="590"/>
      <c r="G3" s="590"/>
      <c r="H3" s="590"/>
      <c r="I3" s="590"/>
      <c r="J3" s="590"/>
      <c r="K3" s="591"/>
      <c r="L3" s="1"/>
      <c r="M3" s="1"/>
      <c r="N3" s="1"/>
    </row>
    <row r="4" spans="1:26" ht="12.75" customHeight="1" x14ac:dyDescent="0.15">
      <c r="A4" s="4"/>
      <c r="B4" s="4"/>
      <c r="C4" s="4"/>
      <c r="D4" s="4"/>
      <c r="E4" s="4"/>
      <c r="F4" s="4"/>
      <c r="G4" s="4"/>
      <c r="H4" s="4"/>
      <c r="I4" s="4"/>
      <c r="J4" s="4"/>
      <c r="K4" s="1"/>
      <c r="L4" s="1"/>
      <c r="M4" s="1"/>
      <c r="N4" s="1"/>
    </row>
    <row r="5" spans="1:26" ht="12.75" customHeight="1" x14ac:dyDescent="0.15">
      <c r="A5" s="586" t="str">
        <f>Interview!B10</f>
        <v>Organization:</v>
      </c>
      <c r="B5" s="587"/>
      <c r="C5" s="587" t="str">
        <f>IF(ISBLANK(Interview!D10),"",Interview!D10)</f>
        <v>COMPANY</v>
      </c>
      <c r="D5" s="587"/>
      <c r="E5" s="587"/>
      <c r="F5" s="587"/>
      <c r="G5" s="1"/>
      <c r="H5" s="1"/>
      <c r="I5" s="1"/>
      <c r="J5" s="1"/>
      <c r="K5" s="1"/>
      <c r="L5" s="1"/>
      <c r="M5" s="1"/>
      <c r="N5" s="1"/>
    </row>
    <row r="6" spans="1:26" ht="12.75" customHeight="1" x14ac:dyDescent="0.15">
      <c r="A6" s="586" t="str">
        <f>Interview!B11</f>
        <v>Team/Application:</v>
      </c>
      <c r="B6" s="587"/>
      <c r="C6" s="587" t="str">
        <f>IF(ISBLANK(Interview!D11),"",Interview!D11)</f>
        <v/>
      </c>
      <c r="D6" s="587"/>
      <c r="E6" s="587"/>
      <c r="F6" s="587"/>
      <c r="G6" s="1"/>
      <c r="H6" s="1"/>
      <c r="I6" s="1"/>
      <c r="J6" s="1"/>
      <c r="K6" s="1"/>
      <c r="L6" s="1"/>
      <c r="M6" s="1"/>
      <c r="N6" s="1"/>
    </row>
    <row r="7" spans="1:26" ht="12.75" customHeight="1" x14ac:dyDescent="0.15">
      <c r="A7" s="586" t="str">
        <f>Interview!B12</f>
        <v>Interview Date:</v>
      </c>
      <c r="B7" s="587"/>
      <c r="C7" s="588" t="str">
        <f>IF(ISBLANK(Interview!D12),"",Interview!D12)</f>
        <v/>
      </c>
      <c r="D7" s="588"/>
      <c r="E7" s="588"/>
      <c r="F7" s="588"/>
      <c r="G7" s="1"/>
      <c r="H7" s="1"/>
      <c r="I7" s="1"/>
      <c r="J7" s="1"/>
      <c r="K7" s="1"/>
      <c r="L7" s="1"/>
      <c r="M7" s="1"/>
      <c r="N7" s="1"/>
    </row>
    <row r="8" spans="1:26" ht="12.75" customHeight="1" x14ac:dyDescent="0.15">
      <c r="A8" s="586" t="str">
        <f>Interview!B13</f>
        <v xml:space="preserve">Team Lead: </v>
      </c>
      <c r="B8" s="587"/>
      <c r="C8" s="587" t="str">
        <f>IF(ISBLANK(Interview!D13),"",Interview!D13)</f>
        <v/>
      </c>
      <c r="D8" s="587"/>
      <c r="E8" s="587"/>
      <c r="F8" s="587"/>
      <c r="G8" s="1"/>
      <c r="H8" s="1"/>
      <c r="I8" s="1"/>
      <c r="J8" s="1"/>
      <c r="K8" s="1"/>
      <c r="L8" s="1"/>
      <c r="M8" s="1"/>
      <c r="N8" s="1"/>
    </row>
    <row r="9" spans="1:26" ht="12.75" customHeight="1" x14ac:dyDescent="0.15">
      <c r="A9" s="586" t="str">
        <f>Interview!B14</f>
        <v>Name:</v>
      </c>
      <c r="B9" s="587"/>
      <c r="C9" s="592" t="str">
        <f>IF(ISBLANK(Interview!D14),"",Interview!D14)</f>
        <v>3a6a54e4eb49d8ff90528dbc49e637eb</v>
      </c>
      <c r="D9" s="592"/>
      <c r="E9" s="592"/>
      <c r="F9" s="592"/>
      <c r="G9" s="592"/>
      <c r="H9" s="592"/>
      <c r="I9" s="592"/>
      <c r="J9" s="1"/>
      <c r="K9" s="1"/>
      <c r="L9" s="1"/>
      <c r="M9" s="1"/>
      <c r="N9" s="1"/>
    </row>
    <row r="10" spans="1:26" ht="12.75" customHeight="1" thickBot="1" x14ac:dyDescent="0.2">
      <c r="A10" s="120"/>
      <c r="B10" s="1"/>
      <c r="C10" s="1"/>
      <c r="D10" s="1"/>
      <c r="E10" s="1"/>
      <c r="F10" s="1"/>
      <c r="G10" s="1"/>
      <c r="H10" s="1"/>
      <c r="I10" s="1"/>
      <c r="J10" s="1"/>
      <c r="K10" s="1"/>
      <c r="L10" s="1"/>
      <c r="M10" s="1"/>
      <c r="N10" s="1"/>
    </row>
    <row r="11" spans="1:26" ht="25" customHeight="1" thickBot="1" x14ac:dyDescent="0.2">
      <c r="A11" s="577" t="s">
        <v>93</v>
      </c>
      <c r="B11" s="578"/>
      <c r="C11" s="578"/>
      <c r="D11" s="578"/>
      <c r="E11" s="578"/>
      <c r="F11" s="578"/>
      <c r="G11" s="578"/>
      <c r="H11" s="578"/>
      <c r="I11" s="578"/>
      <c r="J11" s="579"/>
      <c r="K11" s="1"/>
      <c r="L11" s="577" t="s">
        <v>93</v>
      </c>
      <c r="M11" s="578"/>
      <c r="N11" s="578"/>
      <c r="O11" s="578"/>
      <c r="P11" s="578"/>
      <c r="Q11" s="578"/>
      <c r="R11" s="579"/>
      <c r="T11" s="580" t="s">
        <v>93</v>
      </c>
      <c r="U11" s="581"/>
      <c r="V11" s="581"/>
      <c r="W11" s="581"/>
      <c r="X11" s="581"/>
      <c r="Y11" s="581"/>
      <c r="Z11" s="582"/>
    </row>
    <row r="12" spans="1:26" ht="12.75" customHeight="1" x14ac:dyDescent="0.15">
      <c r="A12" s="2"/>
      <c r="B12" s="2"/>
      <c r="C12" s="2"/>
      <c r="D12" s="593" t="s">
        <v>86</v>
      </c>
      <c r="E12" s="594"/>
      <c r="F12" s="595"/>
      <c r="G12" s="1"/>
      <c r="H12" s="1"/>
      <c r="I12" s="1"/>
      <c r="J12" s="1"/>
      <c r="K12" s="1"/>
      <c r="L12" s="1"/>
      <c r="M12" s="1"/>
      <c r="N12" s="1"/>
    </row>
    <row r="13" spans="1:26" ht="15" customHeight="1" x14ac:dyDescent="0.15">
      <c r="A13" s="7" t="s">
        <v>0</v>
      </c>
      <c r="B13" s="7" t="s">
        <v>1</v>
      </c>
      <c r="C13" s="7" t="s">
        <v>55</v>
      </c>
      <c r="D13" s="119">
        <v>1</v>
      </c>
      <c r="E13" s="119">
        <v>2</v>
      </c>
      <c r="F13" s="119">
        <v>3</v>
      </c>
      <c r="G13" s="8" t="s">
        <v>5</v>
      </c>
      <c r="H13" s="1"/>
      <c r="I13" s="7" t="s">
        <v>0</v>
      </c>
      <c r="J13" s="7" t="s">
        <v>55</v>
      </c>
      <c r="L13" s="1"/>
      <c r="M13" s="1"/>
      <c r="N13" s="1"/>
      <c r="V13" t="str">
        <f>T14</f>
        <v>Governance</v>
      </c>
      <c r="W13" t="str">
        <f>T17</f>
        <v>Design</v>
      </c>
      <c r="X13" t="str">
        <f>T20</f>
        <v>Implementation</v>
      </c>
      <c r="Y13" t="str">
        <f>T23</f>
        <v>Verification</v>
      </c>
      <c r="Z13" t="str">
        <f>T26</f>
        <v>Operations</v>
      </c>
    </row>
    <row r="14" spans="1:26" ht="25" customHeight="1" x14ac:dyDescent="0.15">
      <c r="A14" s="61" t="str">
        <f>Interview!$B$16</f>
        <v>Governance</v>
      </c>
      <c r="B14" s="65" t="str">
        <f>Interview!$D$17</f>
        <v>Strategy &amp; Metrics</v>
      </c>
      <c r="C14" s="93">
        <f>Interview!$J$18</f>
        <v>0.25</v>
      </c>
      <c r="D14" s="93">
        <f>Interview!H18</f>
        <v>0.125</v>
      </c>
      <c r="E14" s="93">
        <f>Interview!H20</f>
        <v>0.125</v>
      </c>
      <c r="F14" s="93">
        <f>Interview!H22</f>
        <v>0</v>
      </c>
      <c r="G14" s="6">
        <f t="shared" ref="G14:G28" si="0">(((((IF((C14="0+"),0.5,0)+IF((C14=1),1,0))+IF((C14="1+"),1.5,0))+IF((C14=2),2,0))+IF((C14="2+"),2.5,0))+IF((C14=3),3,0))+IF((C14="3+"),3.5,0)</f>
        <v>0</v>
      </c>
      <c r="H14" s="3"/>
      <c r="I14" s="61" t="str">
        <f>A14</f>
        <v>Governance</v>
      </c>
      <c r="J14" s="93">
        <f>AVERAGE(C14:C16)</f>
        <v>0.75</v>
      </c>
      <c r="L14" s="1"/>
      <c r="M14" s="1"/>
      <c r="N14" s="1"/>
      <c r="T14" s="61" t="str">
        <f t="shared" ref="T14:V16" si="1">A14</f>
        <v>Governance</v>
      </c>
      <c r="U14" s="65" t="str">
        <f t="shared" si="1"/>
        <v>Strategy &amp; Metrics</v>
      </c>
      <c r="V14" s="93">
        <f t="shared" si="1"/>
        <v>0.25</v>
      </c>
      <c r="W14" s="93">
        <v>0</v>
      </c>
      <c r="X14" s="93">
        <v>0</v>
      </c>
      <c r="Y14" s="93">
        <v>0</v>
      </c>
      <c r="Z14" s="93">
        <v>0</v>
      </c>
    </row>
    <row r="15" spans="1:26" ht="25" customHeight="1" x14ac:dyDescent="0.15">
      <c r="A15" s="61" t="str">
        <f>Interview!$B$16</f>
        <v>Governance</v>
      </c>
      <c r="B15" s="65" t="str">
        <f>Interview!$B$31</f>
        <v>Policy &amp; Compliance</v>
      </c>
      <c r="C15" s="93">
        <f>Interview!$J$32</f>
        <v>1.25</v>
      </c>
      <c r="D15" s="93">
        <f>Interview!H32</f>
        <v>0.625</v>
      </c>
      <c r="E15" s="93">
        <f>Interview!H34</f>
        <v>0.125</v>
      </c>
      <c r="F15" s="93">
        <f>Interview!H36</f>
        <v>0.5</v>
      </c>
      <c r="G15" s="6">
        <f t="shared" si="0"/>
        <v>0</v>
      </c>
      <c r="H15" s="3"/>
      <c r="I15" s="66" t="str">
        <f>A17</f>
        <v>Design</v>
      </c>
      <c r="J15" s="93">
        <f>AVERAGE(C17:C19)</f>
        <v>1.3333333333333333</v>
      </c>
      <c r="L15" s="1"/>
      <c r="M15" s="1"/>
      <c r="N15" s="1"/>
      <c r="T15" s="61" t="str">
        <f t="shared" si="1"/>
        <v>Governance</v>
      </c>
      <c r="U15" s="65" t="str">
        <f t="shared" si="1"/>
        <v>Policy &amp; Compliance</v>
      </c>
      <c r="V15" s="93">
        <f t="shared" si="1"/>
        <v>1.25</v>
      </c>
      <c r="W15" s="93">
        <v>0</v>
      </c>
      <c r="X15" s="93">
        <v>0</v>
      </c>
      <c r="Y15" s="93">
        <v>0</v>
      </c>
      <c r="Z15" s="93">
        <v>0</v>
      </c>
    </row>
    <row r="16" spans="1:26" ht="25" customHeight="1" x14ac:dyDescent="0.15">
      <c r="A16" s="61" t="str">
        <f>Interview!$B$16</f>
        <v>Governance</v>
      </c>
      <c r="B16" s="65" t="str">
        <f>Interview!$B$45</f>
        <v>Education &amp; Guidance</v>
      </c>
      <c r="C16" s="93">
        <f>Interview!$J$46</f>
        <v>0.75</v>
      </c>
      <c r="D16" s="93">
        <f>Interview!H46</f>
        <v>0.125</v>
      </c>
      <c r="E16" s="93">
        <f>Interview!H48</f>
        <v>0.125</v>
      </c>
      <c r="F16" s="93">
        <f>Interview!H50</f>
        <v>0.5</v>
      </c>
      <c r="G16" s="6">
        <f t="shared" si="0"/>
        <v>0</v>
      </c>
      <c r="H16" s="3"/>
      <c r="I16" s="277" t="str">
        <f>A20</f>
        <v>Implementation</v>
      </c>
      <c r="J16" s="93">
        <f>AVERAGE(C20:C22)</f>
        <v>0.91666666666666663</v>
      </c>
      <c r="L16" s="1"/>
      <c r="M16" s="1"/>
      <c r="N16" s="1"/>
      <c r="T16" s="61" t="str">
        <f t="shared" si="1"/>
        <v>Governance</v>
      </c>
      <c r="U16" s="65" t="str">
        <f t="shared" si="1"/>
        <v>Education &amp; Guidance</v>
      </c>
      <c r="V16" s="93">
        <f t="shared" si="1"/>
        <v>0.75</v>
      </c>
      <c r="W16" s="93">
        <v>0</v>
      </c>
      <c r="X16" s="93">
        <v>0</v>
      </c>
      <c r="Y16" s="93">
        <v>0</v>
      </c>
      <c r="Z16" s="93">
        <v>0</v>
      </c>
    </row>
    <row r="17" spans="1:26" ht="25" customHeight="1" x14ac:dyDescent="0.15">
      <c r="A17" s="66" t="str">
        <f>Interview!$B$59</f>
        <v>Design</v>
      </c>
      <c r="B17" s="69" t="str">
        <f>Interview!$B$60</f>
        <v>Threat Assessment</v>
      </c>
      <c r="C17" s="93">
        <f>Interview!$J$61</f>
        <v>0.25</v>
      </c>
      <c r="D17" s="93">
        <f>Interview!H61</f>
        <v>0.125</v>
      </c>
      <c r="E17" s="93">
        <f>Interview!H63</f>
        <v>0</v>
      </c>
      <c r="F17" s="93">
        <f>Interview!H65</f>
        <v>0.125</v>
      </c>
      <c r="G17" s="6">
        <f t="shared" si="0"/>
        <v>0</v>
      </c>
      <c r="H17" s="3"/>
      <c r="I17" s="70" t="str">
        <f>A23</f>
        <v>Verification</v>
      </c>
      <c r="J17" s="93">
        <f>AVERAGE(C23:C25)</f>
        <v>0.375</v>
      </c>
      <c r="L17" s="1"/>
      <c r="M17" s="1"/>
      <c r="N17" s="1"/>
      <c r="T17" s="66" t="str">
        <f t="shared" ref="T17:T28" si="2">A17</f>
        <v>Design</v>
      </c>
      <c r="U17" s="69" t="str">
        <f t="shared" ref="U17:U28" si="3">B17</f>
        <v>Threat Assessment</v>
      </c>
      <c r="V17" s="93">
        <v>0</v>
      </c>
      <c r="W17" s="93">
        <f>C17</f>
        <v>0.25</v>
      </c>
      <c r="X17" s="93">
        <v>0</v>
      </c>
      <c r="Y17" s="93">
        <v>0</v>
      </c>
      <c r="Z17" s="93">
        <v>0</v>
      </c>
    </row>
    <row r="18" spans="1:26" ht="25" customHeight="1" x14ac:dyDescent="0.15">
      <c r="A18" s="66" t="str">
        <f>Interview!$B$59</f>
        <v>Design</v>
      </c>
      <c r="B18" s="69" t="str">
        <f>Interview!$B$74</f>
        <v>Security Requirements</v>
      </c>
      <c r="C18" s="93">
        <f>Interview!$J$75</f>
        <v>1.25</v>
      </c>
      <c r="D18" s="93">
        <f>Interview!H75</f>
        <v>0.5</v>
      </c>
      <c r="E18" s="93">
        <f>Interview!H77</f>
        <v>0.5</v>
      </c>
      <c r="F18" s="93">
        <f>Interview!H79</f>
        <v>0.25</v>
      </c>
      <c r="G18" s="6">
        <f t="shared" si="0"/>
        <v>0</v>
      </c>
      <c r="H18" s="3"/>
      <c r="I18" s="74" t="str">
        <f>A26</f>
        <v>Operations</v>
      </c>
      <c r="J18" s="93">
        <f>AVERAGE(C26:C28)</f>
        <v>1.625</v>
      </c>
      <c r="K18" s="1"/>
      <c r="L18" s="1"/>
      <c r="M18" s="1"/>
      <c r="N18" s="1"/>
      <c r="T18" s="66" t="str">
        <f t="shared" si="2"/>
        <v>Design</v>
      </c>
      <c r="U18" s="69" t="str">
        <f t="shared" si="3"/>
        <v>Security Requirements</v>
      </c>
      <c r="V18" s="93">
        <v>0</v>
      </c>
      <c r="W18" s="93">
        <f>C18</f>
        <v>1.25</v>
      </c>
      <c r="X18" s="93">
        <v>0</v>
      </c>
      <c r="Y18" s="93">
        <v>0</v>
      </c>
      <c r="Z18" s="93">
        <v>0</v>
      </c>
    </row>
    <row r="19" spans="1:26" ht="25" customHeight="1" x14ac:dyDescent="0.15">
      <c r="A19" s="66" t="str">
        <f>Interview!$B$59</f>
        <v>Design</v>
      </c>
      <c r="B19" s="69" t="str">
        <f>Interview!$B$88</f>
        <v>Secure Architecture</v>
      </c>
      <c r="C19" s="93">
        <f>Interview!$J$89</f>
        <v>2.5</v>
      </c>
      <c r="D19" s="93">
        <f>Interview!H89</f>
        <v>0.5</v>
      </c>
      <c r="E19" s="93">
        <f>Interview!H91</f>
        <v>1</v>
      </c>
      <c r="F19" s="93">
        <f>Interview!H93</f>
        <v>1</v>
      </c>
      <c r="G19" s="6">
        <f t="shared" si="0"/>
        <v>0</v>
      </c>
      <c r="H19" s="3"/>
      <c r="I19" s="1"/>
      <c r="J19" s="1"/>
      <c r="K19" s="1"/>
      <c r="L19" s="1"/>
      <c r="M19" s="1"/>
      <c r="N19" s="1"/>
      <c r="T19" s="66" t="str">
        <f t="shared" si="2"/>
        <v>Design</v>
      </c>
      <c r="U19" s="69" t="str">
        <f t="shared" si="3"/>
        <v>Secure Architecture</v>
      </c>
      <c r="V19" s="93">
        <v>0</v>
      </c>
      <c r="W19" s="93">
        <f>C19</f>
        <v>2.5</v>
      </c>
      <c r="X19" s="93">
        <v>0</v>
      </c>
      <c r="Y19" s="93">
        <v>0</v>
      </c>
      <c r="Z19" s="93">
        <v>0</v>
      </c>
    </row>
    <row r="20" spans="1:26" ht="25" customHeight="1" x14ac:dyDescent="0.15">
      <c r="A20" s="277" t="str">
        <f>Interview!$B$102</f>
        <v>Implementation</v>
      </c>
      <c r="B20" s="278" t="str">
        <f>Interview!$B$103</f>
        <v>Secure Build</v>
      </c>
      <c r="C20" s="93">
        <f>Interview!$J$104</f>
        <v>0.5</v>
      </c>
      <c r="D20" s="93">
        <f>Interview!H104</f>
        <v>0</v>
      </c>
      <c r="E20" s="93">
        <f>Interview!H106</f>
        <v>0</v>
      </c>
      <c r="F20" s="93">
        <f>Interview!H108</f>
        <v>0.5</v>
      </c>
      <c r="G20" s="6"/>
      <c r="H20" s="3"/>
      <c r="I20" s="1"/>
      <c r="J20" s="1"/>
      <c r="K20" s="1"/>
      <c r="L20" s="1"/>
      <c r="M20" s="1"/>
      <c r="N20" s="1"/>
      <c r="T20" s="277" t="str">
        <f t="shared" si="2"/>
        <v>Implementation</v>
      </c>
      <c r="U20" s="279" t="str">
        <f t="shared" si="3"/>
        <v>Secure Build</v>
      </c>
      <c r="V20" s="93">
        <v>0</v>
      </c>
      <c r="W20" s="93">
        <v>0</v>
      </c>
      <c r="X20" s="93">
        <f>C20</f>
        <v>0.5</v>
      </c>
      <c r="Y20" s="93">
        <v>0</v>
      </c>
      <c r="Z20" s="93">
        <v>0</v>
      </c>
    </row>
    <row r="21" spans="1:26" ht="25" customHeight="1" x14ac:dyDescent="0.15">
      <c r="A21" s="277" t="str">
        <f>Interview!$B$102</f>
        <v>Implementation</v>
      </c>
      <c r="B21" s="278" t="str">
        <f>Interview!$B$117</f>
        <v>Secure Deployment</v>
      </c>
      <c r="C21" s="93">
        <f>Interview!$J$118</f>
        <v>1.75</v>
      </c>
      <c r="D21" s="93">
        <f>Interview!H118</f>
        <v>0.625</v>
      </c>
      <c r="E21" s="93">
        <f>Interview!H120</f>
        <v>0.125</v>
      </c>
      <c r="F21" s="93">
        <f>Interview!H122</f>
        <v>1</v>
      </c>
      <c r="G21" s="6"/>
      <c r="H21" s="3"/>
      <c r="I21" s="1"/>
      <c r="J21" s="1"/>
      <c r="K21" s="1"/>
      <c r="L21" s="1"/>
      <c r="M21" s="1"/>
      <c r="N21" s="1"/>
      <c r="T21" s="277" t="str">
        <f t="shared" si="2"/>
        <v>Implementation</v>
      </c>
      <c r="U21" s="279" t="str">
        <f t="shared" si="3"/>
        <v>Secure Deployment</v>
      </c>
      <c r="V21" s="93">
        <v>0</v>
      </c>
      <c r="W21" s="93">
        <v>0</v>
      </c>
      <c r="X21" s="93">
        <f>C21</f>
        <v>1.75</v>
      </c>
      <c r="Y21" s="93">
        <v>0</v>
      </c>
      <c r="Z21" s="93">
        <v>0</v>
      </c>
    </row>
    <row r="22" spans="1:26" ht="25" customHeight="1" x14ac:dyDescent="0.15">
      <c r="A22" s="277" t="str">
        <f>Interview!$B$102</f>
        <v>Implementation</v>
      </c>
      <c r="B22" s="278" t="str">
        <f>Interview!$B$131</f>
        <v>Defect Management</v>
      </c>
      <c r="C22" s="93">
        <f>Interview!$J$132</f>
        <v>0.5</v>
      </c>
      <c r="D22" s="93">
        <f>Interview!H132</f>
        <v>0.125</v>
      </c>
      <c r="E22" s="93">
        <f>Interview!H134</f>
        <v>0.125</v>
      </c>
      <c r="F22" s="93">
        <f>Interview!H136</f>
        <v>0.25</v>
      </c>
      <c r="G22" s="6"/>
      <c r="H22" s="3"/>
      <c r="I22" s="1"/>
      <c r="J22" s="1"/>
      <c r="K22" s="1"/>
      <c r="L22" s="1"/>
      <c r="M22" s="1"/>
      <c r="N22" s="1"/>
      <c r="T22" s="277" t="str">
        <f t="shared" si="2"/>
        <v>Implementation</v>
      </c>
      <c r="U22" s="279" t="str">
        <f t="shared" si="3"/>
        <v>Defect Management</v>
      </c>
      <c r="V22" s="93">
        <v>0</v>
      </c>
      <c r="W22" s="93">
        <v>0</v>
      </c>
      <c r="X22" s="93">
        <f>C22</f>
        <v>0.5</v>
      </c>
      <c r="Y22" s="93">
        <v>0</v>
      </c>
      <c r="Z22" s="93">
        <v>0</v>
      </c>
    </row>
    <row r="23" spans="1:26" ht="25" customHeight="1" x14ac:dyDescent="0.15">
      <c r="A23" s="70" t="str">
        <f>Interview!$B$145</f>
        <v>Verification</v>
      </c>
      <c r="B23" s="73" t="str">
        <f>Interview!$B$146</f>
        <v>Architecture Assessment</v>
      </c>
      <c r="C23" s="93">
        <f>Interview!$J$147</f>
        <v>0.125</v>
      </c>
      <c r="D23" s="93">
        <f>Interview!H147</f>
        <v>0</v>
      </c>
      <c r="E23" s="93">
        <f>Interview!H149</f>
        <v>0.125</v>
      </c>
      <c r="F23" s="93">
        <f>Interview!H151</f>
        <v>0</v>
      </c>
      <c r="G23" s="6">
        <f t="shared" si="0"/>
        <v>0</v>
      </c>
      <c r="H23" s="3"/>
      <c r="I23" s="1"/>
      <c r="J23" s="1"/>
      <c r="K23" s="1"/>
      <c r="L23" s="1"/>
      <c r="M23" s="1"/>
      <c r="N23" s="1"/>
      <c r="T23" s="70" t="str">
        <f t="shared" si="2"/>
        <v>Verification</v>
      </c>
      <c r="U23" s="73" t="str">
        <f t="shared" si="3"/>
        <v>Architecture Assessment</v>
      </c>
      <c r="V23" s="93">
        <v>0</v>
      </c>
      <c r="W23" s="93">
        <v>0</v>
      </c>
      <c r="X23" s="93">
        <v>0</v>
      </c>
      <c r="Y23" s="93">
        <f>C23</f>
        <v>0.125</v>
      </c>
      <c r="Z23" s="93">
        <v>0</v>
      </c>
    </row>
    <row r="24" spans="1:26" ht="25" customHeight="1" x14ac:dyDescent="0.15">
      <c r="A24" s="70" t="str">
        <f>Interview!$B$145</f>
        <v>Verification</v>
      </c>
      <c r="B24" s="73" t="str">
        <f>Interview!$B$160</f>
        <v>Requirements Testing</v>
      </c>
      <c r="C24" s="93">
        <f>Interview!$J$161</f>
        <v>0</v>
      </c>
      <c r="D24" s="93">
        <f>Interview!H161</f>
        <v>0</v>
      </c>
      <c r="E24" s="93">
        <f>Interview!H163</f>
        <v>0</v>
      </c>
      <c r="F24" s="93">
        <f>Interview!H165</f>
        <v>0</v>
      </c>
      <c r="G24" s="6">
        <f t="shared" si="0"/>
        <v>0</v>
      </c>
      <c r="H24" s="3"/>
      <c r="I24" s="1"/>
      <c r="J24" s="1"/>
      <c r="K24" s="1"/>
      <c r="L24" s="1"/>
      <c r="M24" s="1"/>
      <c r="N24" s="1"/>
      <c r="T24" s="70" t="str">
        <f t="shared" si="2"/>
        <v>Verification</v>
      </c>
      <c r="U24" s="73" t="str">
        <f t="shared" si="3"/>
        <v>Requirements Testing</v>
      </c>
      <c r="V24" s="93">
        <v>0</v>
      </c>
      <c r="W24" s="93">
        <v>0</v>
      </c>
      <c r="X24" s="93">
        <v>0</v>
      </c>
      <c r="Y24" s="93">
        <f>C24</f>
        <v>0</v>
      </c>
      <c r="Z24" s="93">
        <v>0</v>
      </c>
    </row>
    <row r="25" spans="1:26" ht="25" customHeight="1" x14ac:dyDescent="0.15">
      <c r="A25" s="70" t="str">
        <f>Interview!$B$145</f>
        <v>Verification</v>
      </c>
      <c r="B25" s="73" t="str">
        <f>Interview!$B$174</f>
        <v>Security Testing</v>
      </c>
      <c r="C25" s="93">
        <f>Interview!$J$175</f>
        <v>1</v>
      </c>
      <c r="D25" s="93">
        <f>Interview!H175</f>
        <v>0.625</v>
      </c>
      <c r="E25" s="93">
        <f>Interview!H177</f>
        <v>0.25</v>
      </c>
      <c r="F25" s="93">
        <f>Interview!H179</f>
        <v>0.125</v>
      </c>
      <c r="G25" s="6">
        <f t="shared" si="0"/>
        <v>1</v>
      </c>
      <c r="H25" s="3"/>
      <c r="I25" s="1"/>
      <c r="J25" s="1"/>
      <c r="K25" s="1"/>
      <c r="L25" s="1"/>
      <c r="M25" s="1"/>
      <c r="N25" s="1"/>
      <c r="T25" s="70" t="str">
        <f t="shared" si="2"/>
        <v>Verification</v>
      </c>
      <c r="U25" s="73" t="str">
        <f t="shared" si="3"/>
        <v>Security Testing</v>
      </c>
      <c r="V25" s="93">
        <v>0</v>
      </c>
      <c r="W25" s="93">
        <v>0</v>
      </c>
      <c r="X25" s="93">
        <v>0</v>
      </c>
      <c r="Y25" s="93">
        <f>C25</f>
        <v>1</v>
      </c>
      <c r="Z25" s="93">
        <v>0</v>
      </c>
    </row>
    <row r="26" spans="1:26" ht="25" customHeight="1" x14ac:dyDescent="0.15">
      <c r="A26" s="74" t="str">
        <f>Interview!$B$188</f>
        <v>Operations</v>
      </c>
      <c r="B26" s="77" t="str">
        <f>Interview!$B$189</f>
        <v>Incident Management</v>
      </c>
      <c r="C26" s="93">
        <f>Interview!$J$190</f>
        <v>0.75</v>
      </c>
      <c r="D26" s="93">
        <f>Interview!H190</f>
        <v>0.625</v>
      </c>
      <c r="E26" s="93">
        <f>Interview!H192</f>
        <v>0.125</v>
      </c>
      <c r="F26" s="93">
        <f>Interview!H194</f>
        <v>0</v>
      </c>
      <c r="G26" s="6">
        <f t="shared" si="0"/>
        <v>0</v>
      </c>
      <c r="H26" s="3"/>
      <c r="I26" s="1"/>
      <c r="J26" s="1"/>
      <c r="K26" s="1"/>
      <c r="L26" s="1"/>
      <c r="M26" s="1"/>
      <c r="N26" s="1"/>
      <c r="T26" s="74" t="str">
        <f t="shared" si="2"/>
        <v>Operations</v>
      </c>
      <c r="U26" s="77" t="str">
        <f t="shared" si="3"/>
        <v>Incident Management</v>
      </c>
      <c r="V26" s="93">
        <v>0</v>
      </c>
      <c r="W26" s="93">
        <v>0</v>
      </c>
      <c r="X26" s="93">
        <v>0</v>
      </c>
      <c r="Y26" s="93">
        <v>0</v>
      </c>
      <c r="Z26" s="93">
        <f>C26</f>
        <v>0.75</v>
      </c>
    </row>
    <row r="27" spans="1:26" ht="25" customHeight="1" x14ac:dyDescent="0.15">
      <c r="A27" s="74" t="str">
        <f>Interview!$B$188</f>
        <v>Operations</v>
      </c>
      <c r="B27" s="77" t="str">
        <f>Interview!$B$203</f>
        <v>Environment Management</v>
      </c>
      <c r="C27" s="93">
        <f>Interview!$J$204</f>
        <v>1.875</v>
      </c>
      <c r="D27" s="93">
        <f>Interview!H204</f>
        <v>0.625</v>
      </c>
      <c r="E27" s="93">
        <f>Interview!H206</f>
        <v>0.625</v>
      </c>
      <c r="F27" s="93">
        <f>Interview!H208</f>
        <v>0.625</v>
      </c>
      <c r="G27" s="6">
        <f t="shared" si="0"/>
        <v>0</v>
      </c>
      <c r="H27" s="3"/>
      <c r="I27" s="1"/>
      <c r="J27" s="1"/>
      <c r="K27" s="1"/>
      <c r="L27" s="1"/>
      <c r="M27" s="1"/>
      <c r="N27" s="1"/>
      <c r="T27" s="74" t="str">
        <f t="shared" si="2"/>
        <v>Operations</v>
      </c>
      <c r="U27" s="77" t="str">
        <f t="shared" si="3"/>
        <v>Environment Management</v>
      </c>
      <c r="V27" s="93">
        <v>0</v>
      </c>
      <c r="W27" s="93">
        <v>0</v>
      </c>
      <c r="X27" s="93">
        <v>0</v>
      </c>
      <c r="Y27" s="93">
        <v>0</v>
      </c>
      <c r="Z27" s="93">
        <f>C27</f>
        <v>1.875</v>
      </c>
    </row>
    <row r="28" spans="1:26" ht="25" customHeight="1" x14ac:dyDescent="0.15">
      <c r="A28" s="74" t="str">
        <f>Interview!$B$188</f>
        <v>Operations</v>
      </c>
      <c r="B28" s="77" t="str">
        <f>Interview!$B$217</f>
        <v>Operational Management</v>
      </c>
      <c r="C28" s="93">
        <f>Interview!$J$218</f>
        <v>2.25</v>
      </c>
      <c r="D28" s="93">
        <f>Interview!H218</f>
        <v>1</v>
      </c>
      <c r="E28" s="93">
        <f>Interview!H220</f>
        <v>1</v>
      </c>
      <c r="F28" s="93">
        <f>Interview!H222</f>
        <v>0.25</v>
      </c>
      <c r="G28" s="6">
        <f t="shared" si="0"/>
        <v>0</v>
      </c>
      <c r="H28" s="3"/>
      <c r="I28" s="1"/>
      <c r="J28" s="1"/>
      <c r="K28" s="1"/>
      <c r="L28" s="1"/>
      <c r="M28" s="1"/>
      <c r="N28" s="1"/>
      <c r="T28" s="74" t="str">
        <f t="shared" si="2"/>
        <v>Operations</v>
      </c>
      <c r="U28" s="77" t="str">
        <f t="shared" si="3"/>
        <v>Operational Management</v>
      </c>
      <c r="V28" s="93">
        <v>0</v>
      </c>
      <c r="W28" s="93">
        <v>0</v>
      </c>
      <c r="X28" s="93">
        <v>0</v>
      </c>
      <c r="Y28" s="93">
        <v>0</v>
      </c>
      <c r="Z28" s="93">
        <f>C28</f>
        <v>2.25</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
    </row>
    <row r="31" spans="1:26" ht="25" customHeight="1" thickBot="1" x14ac:dyDescent="0.2">
      <c r="A31" s="577" t="s">
        <v>118</v>
      </c>
      <c r="B31" s="578"/>
      <c r="C31" s="578"/>
      <c r="D31" s="578"/>
      <c r="E31" s="578"/>
      <c r="F31" s="578"/>
      <c r="G31" s="578"/>
      <c r="H31" s="578"/>
      <c r="I31" s="578"/>
      <c r="J31" s="579"/>
      <c r="K31" s="1"/>
      <c r="L31" s="577" t="s">
        <v>118</v>
      </c>
      <c r="M31" s="578"/>
      <c r="N31" s="578"/>
      <c r="O31" s="578"/>
      <c r="P31" s="578"/>
      <c r="Q31" s="578"/>
      <c r="R31" s="579"/>
      <c r="T31" s="580" t="s">
        <v>118</v>
      </c>
      <c r="U31" s="581"/>
      <c r="V31" s="581"/>
      <c r="W31" s="581"/>
      <c r="X31" s="581"/>
      <c r="Y31" s="581"/>
      <c r="Z31" s="582"/>
    </row>
    <row r="32" spans="1:26" ht="12" customHeight="1" x14ac:dyDescent="0.15">
      <c r="A32" s="2"/>
      <c r="B32" s="2"/>
      <c r="C32" s="2"/>
      <c r="D32" s="593" t="s">
        <v>86</v>
      </c>
      <c r="E32" s="594"/>
      <c r="F32" s="595"/>
      <c r="G32" s="1"/>
      <c r="H32" s="1"/>
      <c r="I32" s="1"/>
      <c r="J32" s="1"/>
      <c r="K32" s="1"/>
      <c r="L32" s="1"/>
      <c r="M32" s="1"/>
      <c r="N32" s="1"/>
    </row>
    <row r="33" spans="1:26" ht="25" customHeight="1" x14ac:dyDescent="0.15">
      <c r="A33" s="7" t="s">
        <v>0</v>
      </c>
      <c r="B33" s="7" t="s">
        <v>1</v>
      </c>
      <c r="C33" s="7" t="s">
        <v>55</v>
      </c>
      <c r="D33" s="119">
        <v>1</v>
      </c>
      <c r="E33" s="119">
        <v>2</v>
      </c>
      <c r="F33" s="119">
        <v>3</v>
      </c>
      <c r="G33" s="8" t="s">
        <v>5</v>
      </c>
      <c r="H33" s="1"/>
      <c r="I33" s="7" t="s">
        <v>0</v>
      </c>
      <c r="J33" s="7" t="s">
        <v>55</v>
      </c>
      <c r="K33" s="1"/>
      <c r="L33" s="1"/>
      <c r="M33" s="1"/>
      <c r="N33" s="1"/>
      <c r="V33" t="str">
        <f>T34</f>
        <v>Governance</v>
      </c>
      <c r="W33" t="str">
        <f>T37</f>
        <v>Design</v>
      </c>
      <c r="X33" t="str">
        <f>T40</f>
        <v>Implementation</v>
      </c>
      <c r="Y33" t="str">
        <f>T43</f>
        <v>Verification</v>
      </c>
      <c r="Z33" t="str">
        <f>T46</f>
        <v>Operations</v>
      </c>
    </row>
    <row r="34" spans="1:26" ht="25" customHeight="1" x14ac:dyDescent="0.15">
      <c r="A34" s="61" t="str">
        <f>Interview!$B$16</f>
        <v>Governance</v>
      </c>
      <c r="B34" s="65" t="str">
        <f>Interview!$D$17</f>
        <v>Strategy &amp; Metrics</v>
      </c>
      <c r="C34" s="93">
        <f>Roadmap!M18</f>
        <v>0.375</v>
      </c>
      <c r="D34" s="93">
        <f>Roadmap!L18</f>
        <v>0.125</v>
      </c>
      <c r="E34" s="93">
        <f>Roadmap!L19</f>
        <v>0.125</v>
      </c>
      <c r="F34" s="93">
        <f>Roadmap!L20</f>
        <v>0.125</v>
      </c>
      <c r="G34" s="6">
        <f t="shared" ref="G34:G48" si="4">(((((IF((C34="0+"),0.5,0)+IF((C34=1),1,0))+IF((C34="1+"),1.5,0))+IF((C34=2),2,0))+IF((C34="2+"),2.5,0))+IF((C34=3),3,0))+IF((C34="3+"),3.5,0)</f>
        <v>0</v>
      </c>
      <c r="H34" s="3"/>
      <c r="I34" s="61" t="str">
        <f>A34</f>
        <v>Governance</v>
      </c>
      <c r="J34" s="93">
        <f>AVERAGE(C34:C36)</f>
        <v>0.79166666666666663</v>
      </c>
      <c r="K34" s="1"/>
      <c r="L34" s="1"/>
      <c r="M34" s="1"/>
      <c r="N34" s="1"/>
      <c r="T34" s="61" t="str">
        <f>Interview!$B$16</f>
        <v>Governance</v>
      </c>
      <c r="U34" s="65" t="str">
        <f>Interview!$D$17</f>
        <v>Strategy &amp; Metrics</v>
      </c>
      <c r="V34" s="93">
        <f>C34</f>
        <v>0.375</v>
      </c>
      <c r="W34" s="93">
        <v>0</v>
      </c>
      <c r="X34" s="93">
        <v>0</v>
      </c>
      <c r="Y34" s="93">
        <v>0</v>
      </c>
      <c r="Z34" s="93">
        <v>0</v>
      </c>
    </row>
    <row r="35" spans="1:26" ht="25" customHeight="1" x14ac:dyDescent="0.15">
      <c r="A35" s="61" t="str">
        <f>Interview!$B$16</f>
        <v>Governance</v>
      </c>
      <c r="B35" s="65" t="str">
        <f>Interview!$B$31</f>
        <v>Policy &amp; Compliance</v>
      </c>
      <c r="C35" s="93">
        <f>Roadmap!M27</f>
        <v>1.25</v>
      </c>
      <c r="D35" s="93">
        <f>Roadmap!L27</f>
        <v>0.625</v>
      </c>
      <c r="E35" s="93">
        <f>Roadmap!L28</f>
        <v>0.125</v>
      </c>
      <c r="F35" s="93">
        <f>Roadmap!L29</f>
        <v>0.5</v>
      </c>
      <c r="G35" s="6">
        <f t="shared" si="4"/>
        <v>0</v>
      </c>
      <c r="H35" s="3"/>
      <c r="I35" s="66" t="str">
        <f>A37</f>
        <v>Design</v>
      </c>
      <c r="J35" s="93">
        <f>AVERAGE(C37:C39)</f>
        <v>1.3333333333333333</v>
      </c>
      <c r="K35" s="1"/>
      <c r="L35" s="1"/>
      <c r="M35" s="1"/>
      <c r="N35" s="1"/>
      <c r="T35" s="61" t="str">
        <f>Interview!$B$16</f>
        <v>Governance</v>
      </c>
      <c r="U35" s="65" t="str">
        <f>Interview!$B$31</f>
        <v>Policy &amp; Compliance</v>
      </c>
      <c r="V35" s="93">
        <f>C35</f>
        <v>1.25</v>
      </c>
      <c r="W35" s="93">
        <v>0</v>
      </c>
      <c r="X35" s="93">
        <v>0</v>
      </c>
      <c r="Y35" s="93">
        <v>0</v>
      </c>
      <c r="Z35" s="93">
        <v>0</v>
      </c>
    </row>
    <row r="36" spans="1:26" ht="25" customHeight="1" x14ac:dyDescent="0.15">
      <c r="A36" s="61" t="str">
        <f>Interview!$B$16</f>
        <v>Governance</v>
      </c>
      <c r="B36" s="65" t="str">
        <f>Interview!$B$45</f>
        <v>Education &amp; Guidance</v>
      </c>
      <c r="C36" s="93">
        <f>Roadmap!M36</f>
        <v>0.75</v>
      </c>
      <c r="D36" s="93">
        <f>Roadmap!L36</f>
        <v>0.125</v>
      </c>
      <c r="E36" s="93">
        <f>Roadmap!L37</f>
        <v>0.125</v>
      </c>
      <c r="F36" s="93">
        <f>Roadmap!L38</f>
        <v>0.5</v>
      </c>
      <c r="G36" s="6">
        <f t="shared" si="4"/>
        <v>0</v>
      </c>
      <c r="H36" s="3"/>
      <c r="I36" s="277" t="str">
        <f>A40</f>
        <v>Implementation</v>
      </c>
      <c r="J36" s="93">
        <f>AVERAGE(C40:C42)</f>
        <v>0</v>
      </c>
      <c r="K36" s="1"/>
      <c r="L36" s="1"/>
      <c r="M36" s="1"/>
      <c r="N36" s="1"/>
      <c r="T36" s="61" t="str">
        <f>Interview!$B$16</f>
        <v>Governance</v>
      </c>
      <c r="U36" s="65" t="str">
        <f>Interview!$B$45</f>
        <v>Education &amp; Guidance</v>
      </c>
      <c r="V36" s="93">
        <f>C36</f>
        <v>0.75</v>
      </c>
      <c r="W36" s="93">
        <v>0</v>
      </c>
      <c r="X36" s="93">
        <v>0</v>
      </c>
      <c r="Y36" s="93">
        <v>0</v>
      </c>
      <c r="Z36" s="93">
        <v>0</v>
      </c>
    </row>
    <row r="37" spans="1:26" ht="25" customHeight="1" x14ac:dyDescent="0.15">
      <c r="A37" s="66" t="str">
        <f>Interview!$B$59</f>
        <v>Design</v>
      </c>
      <c r="B37" s="69" t="str">
        <f>Interview!$B$60</f>
        <v>Threat Assessment</v>
      </c>
      <c r="C37" s="93">
        <f>Roadmap!M46</f>
        <v>0.25</v>
      </c>
      <c r="D37" s="93">
        <f>Roadmap!L46</f>
        <v>0.125</v>
      </c>
      <c r="E37" s="93">
        <f>Roadmap!L47</f>
        <v>0</v>
      </c>
      <c r="F37" s="93">
        <f>Roadmap!L48</f>
        <v>0.125</v>
      </c>
      <c r="G37" s="6">
        <f t="shared" si="4"/>
        <v>0</v>
      </c>
      <c r="H37" s="3"/>
      <c r="I37" s="70" t="str">
        <f>A43</f>
        <v>Verification</v>
      </c>
      <c r="J37" s="93">
        <f>AVERAGE(C43:C45)</f>
        <v>0.375</v>
      </c>
      <c r="K37" s="1"/>
      <c r="L37" s="1"/>
      <c r="M37" s="1"/>
      <c r="N37" s="1"/>
      <c r="T37" s="66" t="str">
        <f>Interview!$B$59</f>
        <v>Design</v>
      </c>
      <c r="U37" s="69" t="str">
        <f>Interview!$B$60</f>
        <v>Threat Assessment</v>
      </c>
      <c r="V37" s="93">
        <v>0</v>
      </c>
      <c r="W37" s="93">
        <f>C37</f>
        <v>0.25</v>
      </c>
      <c r="X37" s="93">
        <v>0</v>
      </c>
      <c r="Y37" s="93">
        <v>0</v>
      </c>
      <c r="Z37" s="93">
        <v>0</v>
      </c>
    </row>
    <row r="38" spans="1:26" ht="25" customHeight="1" x14ac:dyDescent="0.15">
      <c r="A38" s="66" t="str">
        <f>Interview!$B$59</f>
        <v>Design</v>
      </c>
      <c r="B38" s="69" t="str">
        <f>Interview!$B$74</f>
        <v>Security Requirements</v>
      </c>
      <c r="C38" s="93">
        <f>Roadmap!M55</f>
        <v>1.25</v>
      </c>
      <c r="D38" s="93">
        <f>Roadmap!L55</f>
        <v>0.5</v>
      </c>
      <c r="E38" s="93">
        <f>Roadmap!L56</f>
        <v>0.5</v>
      </c>
      <c r="F38" s="93">
        <f>Roadmap!L57</f>
        <v>0.25</v>
      </c>
      <c r="G38" s="6">
        <f t="shared" si="4"/>
        <v>0</v>
      </c>
      <c r="H38" s="3"/>
      <c r="I38" s="74" t="str">
        <f>A46</f>
        <v>Operations</v>
      </c>
      <c r="J38" s="93">
        <f>AVERAGE(C46:C48)</f>
        <v>1.625</v>
      </c>
      <c r="K38" s="1"/>
      <c r="L38" s="1"/>
      <c r="M38" s="1"/>
      <c r="N38" s="1"/>
      <c r="T38" s="66" t="str">
        <f>Interview!$B$59</f>
        <v>Design</v>
      </c>
      <c r="U38" s="69" t="str">
        <f>Interview!$B$74</f>
        <v>Security Requirements</v>
      </c>
      <c r="V38" s="93">
        <v>0</v>
      </c>
      <c r="W38" s="93">
        <f>C38</f>
        <v>1.25</v>
      </c>
      <c r="X38" s="93">
        <v>0</v>
      </c>
      <c r="Y38" s="93">
        <v>0</v>
      </c>
      <c r="Z38" s="93">
        <v>0</v>
      </c>
    </row>
    <row r="39" spans="1:26" ht="25" customHeight="1" x14ac:dyDescent="0.15">
      <c r="A39" s="66" t="str">
        <f>Interview!$B$59</f>
        <v>Design</v>
      </c>
      <c r="B39" s="69" t="str">
        <f>Interview!$B$88</f>
        <v>Secure Architecture</v>
      </c>
      <c r="C39" s="93">
        <f>Roadmap!M64</f>
        <v>2.5</v>
      </c>
      <c r="D39" s="93">
        <f>Roadmap!L64</f>
        <v>0.5</v>
      </c>
      <c r="E39" s="93">
        <f>Roadmap!L65</f>
        <v>1</v>
      </c>
      <c r="F39" s="93">
        <f>Roadmap!L66</f>
        <v>1</v>
      </c>
      <c r="G39" s="6">
        <f t="shared" si="4"/>
        <v>0</v>
      </c>
      <c r="H39" s="3"/>
      <c r="I39" s="1"/>
      <c r="J39" s="1"/>
      <c r="K39" s="1"/>
      <c r="L39" s="1"/>
      <c r="M39" s="1"/>
      <c r="N39" s="1"/>
      <c r="T39" s="66" t="str">
        <f>Interview!$B$59</f>
        <v>Design</v>
      </c>
      <c r="U39" s="69" t="str">
        <f>Interview!$B$88</f>
        <v>Secure Architecture</v>
      </c>
      <c r="V39" s="93">
        <v>0</v>
      </c>
      <c r="W39" s="93">
        <f>C39</f>
        <v>2.5</v>
      </c>
      <c r="X39" s="93">
        <v>0</v>
      </c>
      <c r="Y39" s="93">
        <v>0</v>
      </c>
      <c r="Z39" s="93">
        <v>0</v>
      </c>
    </row>
    <row r="40" spans="1:26" ht="25" customHeight="1" x14ac:dyDescent="0.15">
      <c r="A40" s="277" t="str">
        <f>Interview!$B$102</f>
        <v>Implementation</v>
      </c>
      <c r="B40" s="278" t="str">
        <f>Interview!$B$103</f>
        <v>Secure Build</v>
      </c>
      <c r="C40" s="93">
        <f>Roadmap!M74</f>
        <v>0</v>
      </c>
      <c r="D40" s="93">
        <f>Roadmap!L74</f>
        <v>0</v>
      </c>
      <c r="E40" s="93">
        <f>Roadmap!L75</f>
        <v>0</v>
      </c>
      <c r="F40" s="93">
        <f>Roadmap!L76</f>
        <v>0</v>
      </c>
      <c r="G40" s="6"/>
      <c r="H40" s="3"/>
      <c r="I40" s="1"/>
      <c r="J40" s="1"/>
      <c r="K40" s="1"/>
      <c r="L40" s="1"/>
      <c r="M40" s="1"/>
      <c r="N40" s="1"/>
      <c r="T40" s="277" t="str">
        <f>Interview!$B$102</f>
        <v>Implementation</v>
      </c>
      <c r="U40" s="278" t="str">
        <f>Interview!$B$103</f>
        <v>Secure Build</v>
      </c>
      <c r="V40" s="93">
        <v>0</v>
      </c>
      <c r="W40" s="93">
        <v>0</v>
      </c>
      <c r="X40" s="93">
        <f>C40</f>
        <v>0</v>
      </c>
      <c r="Y40" s="93">
        <v>0</v>
      </c>
      <c r="Z40" s="93">
        <v>0</v>
      </c>
    </row>
    <row r="41" spans="1:26" ht="25" customHeight="1" x14ac:dyDescent="0.15">
      <c r="A41" s="277" t="str">
        <f>Interview!$B$102</f>
        <v>Implementation</v>
      </c>
      <c r="B41" s="278" t="str">
        <f>Interview!$B$117</f>
        <v>Secure Deployment</v>
      </c>
      <c r="C41" s="93">
        <f>Roadmap!M83</f>
        <v>0</v>
      </c>
      <c r="D41" s="93">
        <f>Roadmap!L83</f>
        <v>0</v>
      </c>
      <c r="E41" s="93">
        <f>Roadmap!L84</f>
        <v>0</v>
      </c>
      <c r="F41" s="93">
        <f>Roadmap!L85</f>
        <v>0</v>
      </c>
      <c r="G41" s="6"/>
      <c r="H41" s="3"/>
      <c r="I41" s="1"/>
      <c r="J41" s="1"/>
      <c r="K41" s="1"/>
      <c r="L41" s="1"/>
      <c r="M41" s="1"/>
      <c r="N41" s="1"/>
      <c r="T41" s="277" t="str">
        <f>Interview!$B$102</f>
        <v>Implementation</v>
      </c>
      <c r="U41" s="278" t="str">
        <f>Interview!$B$117</f>
        <v>Secure Deployment</v>
      </c>
      <c r="V41" s="93">
        <v>0</v>
      </c>
      <c r="W41" s="93">
        <v>0</v>
      </c>
      <c r="X41" s="93">
        <f>C41</f>
        <v>0</v>
      </c>
      <c r="Y41" s="93">
        <v>0</v>
      </c>
      <c r="Z41" s="93">
        <v>0</v>
      </c>
    </row>
    <row r="42" spans="1:26" ht="25" customHeight="1" x14ac:dyDescent="0.15">
      <c r="A42" s="277" t="str">
        <f>Interview!$B$102</f>
        <v>Implementation</v>
      </c>
      <c r="B42" s="278" t="str">
        <f>Interview!$B$131</f>
        <v>Defect Management</v>
      </c>
      <c r="C42" s="93">
        <f>Roadmap!M92</f>
        <v>0</v>
      </c>
      <c r="D42" s="93">
        <f>Roadmap!L92</f>
        <v>0</v>
      </c>
      <c r="E42" s="93">
        <f>Roadmap!L93</f>
        <v>0</v>
      </c>
      <c r="F42" s="93">
        <f>Roadmap!L94</f>
        <v>0</v>
      </c>
      <c r="G42" s="6"/>
      <c r="H42" s="3"/>
      <c r="I42" s="1"/>
      <c r="J42" s="1"/>
      <c r="K42" s="1"/>
      <c r="L42" s="1"/>
      <c r="M42" s="1"/>
      <c r="N42" s="1"/>
      <c r="T42" s="277" t="str">
        <f>Interview!$B$102</f>
        <v>Implementation</v>
      </c>
      <c r="U42" s="278" t="str">
        <f>Interview!$B$131</f>
        <v>Defect Management</v>
      </c>
      <c r="V42" s="93">
        <v>0</v>
      </c>
      <c r="W42" s="93">
        <v>0</v>
      </c>
      <c r="X42" s="93">
        <f>C42</f>
        <v>0</v>
      </c>
      <c r="Y42" s="93">
        <v>0</v>
      </c>
      <c r="Z42" s="93">
        <v>0</v>
      </c>
    </row>
    <row r="43" spans="1:26" ht="25" customHeight="1" x14ac:dyDescent="0.15">
      <c r="A43" s="70" t="str">
        <f>Interview!$B$145</f>
        <v>Verification</v>
      </c>
      <c r="B43" s="73" t="str">
        <f>Interview!$B$146</f>
        <v>Architecture Assessment</v>
      </c>
      <c r="C43" s="93">
        <f>Roadmap!M102</f>
        <v>0.125</v>
      </c>
      <c r="D43" s="93">
        <f>Roadmap!L102</f>
        <v>0</v>
      </c>
      <c r="E43" s="93">
        <f>Roadmap!L103</f>
        <v>0.125</v>
      </c>
      <c r="F43" s="93">
        <f>Roadmap!L104</f>
        <v>0</v>
      </c>
      <c r="G43" s="6">
        <f t="shared" si="4"/>
        <v>0</v>
      </c>
      <c r="H43" s="3"/>
      <c r="I43" s="1"/>
      <c r="J43" s="1"/>
      <c r="K43" s="1"/>
      <c r="L43" s="1"/>
      <c r="M43" s="1"/>
      <c r="N43" s="1"/>
      <c r="T43" s="70" t="str">
        <f>Interview!$B$145</f>
        <v>Verification</v>
      </c>
      <c r="U43" s="73" t="str">
        <f>Interview!$B$146</f>
        <v>Architecture Assessment</v>
      </c>
      <c r="V43" s="93">
        <v>0</v>
      </c>
      <c r="W43" s="93">
        <v>0</v>
      </c>
      <c r="X43" s="93">
        <v>0</v>
      </c>
      <c r="Y43" s="93">
        <f>C43</f>
        <v>0.125</v>
      </c>
      <c r="Z43" s="93">
        <v>0</v>
      </c>
    </row>
    <row r="44" spans="1:26" ht="25" customHeight="1" x14ac:dyDescent="0.15">
      <c r="A44" s="70" t="str">
        <f>Interview!$B$145</f>
        <v>Verification</v>
      </c>
      <c r="B44" s="73" t="str">
        <f>Interview!$B$160</f>
        <v>Requirements Testing</v>
      </c>
      <c r="C44" s="93">
        <f>Roadmap!M111</f>
        <v>0</v>
      </c>
      <c r="D44" s="93">
        <f>Roadmap!L111</f>
        <v>0</v>
      </c>
      <c r="E44" s="93">
        <f>Roadmap!L112</f>
        <v>0</v>
      </c>
      <c r="F44" s="93">
        <f>Roadmap!L113</f>
        <v>0</v>
      </c>
      <c r="G44" s="6">
        <f t="shared" si="4"/>
        <v>0</v>
      </c>
      <c r="H44" s="3"/>
      <c r="I44" s="1"/>
      <c r="J44" s="1"/>
      <c r="K44" s="1"/>
      <c r="L44" s="1"/>
      <c r="M44" s="1"/>
      <c r="N44" s="1"/>
      <c r="T44" s="70" t="str">
        <f>Interview!$B$145</f>
        <v>Verification</v>
      </c>
      <c r="U44" s="73" t="str">
        <f>Interview!$B$160</f>
        <v>Requirements Testing</v>
      </c>
      <c r="V44" s="93">
        <v>0</v>
      </c>
      <c r="W44" s="93">
        <v>0</v>
      </c>
      <c r="X44" s="93">
        <v>0</v>
      </c>
      <c r="Y44" s="93">
        <f>C44</f>
        <v>0</v>
      </c>
      <c r="Z44" s="93">
        <v>0</v>
      </c>
    </row>
    <row r="45" spans="1:26" ht="25" customHeight="1" x14ac:dyDescent="0.15">
      <c r="A45" s="70" t="str">
        <f>Interview!$B$145</f>
        <v>Verification</v>
      </c>
      <c r="B45" s="73" t="str">
        <f>Interview!$B$174</f>
        <v>Security Testing</v>
      </c>
      <c r="C45" s="93">
        <f>Roadmap!M120</f>
        <v>1</v>
      </c>
      <c r="D45" s="93">
        <f>Roadmap!L120</f>
        <v>0.625</v>
      </c>
      <c r="E45" s="93">
        <f>Roadmap!L121</f>
        <v>0.25</v>
      </c>
      <c r="F45" s="93">
        <f>Roadmap!L122</f>
        <v>0.125</v>
      </c>
      <c r="G45" s="6">
        <f t="shared" si="4"/>
        <v>1</v>
      </c>
      <c r="H45" s="3"/>
      <c r="I45" s="1"/>
      <c r="J45" s="1"/>
      <c r="K45" s="1"/>
      <c r="L45" s="1"/>
      <c r="M45" s="1"/>
      <c r="N45" s="1"/>
      <c r="T45" s="70" t="str">
        <f>Interview!$B$145</f>
        <v>Verification</v>
      </c>
      <c r="U45" s="73" t="str">
        <f>Interview!$B$174</f>
        <v>Security Testing</v>
      </c>
      <c r="V45" s="93">
        <v>0</v>
      </c>
      <c r="W45" s="93">
        <v>0</v>
      </c>
      <c r="X45" s="93">
        <v>0</v>
      </c>
      <c r="Y45" s="93">
        <f>C45</f>
        <v>1</v>
      </c>
      <c r="Z45" s="93">
        <v>0</v>
      </c>
    </row>
    <row r="46" spans="1:26" ht="25" customHeight="1" x14ac:dyDescent="0.15">
      <c r="A46" s="74" t="str">
        <f>Interview!$B$188</f>
        <v>Operations</v>
      </c>
      <c r="B46" s="77" t="str">
        <f>Interview!$B$189</f>
        <v>Incident Management</v>
      </c>
      <c r="C46" s="93">
        <f>Roadmap!M130</f>
        <v>0.75</v>
      </c>
      <c r="D46" s="93">
        <f>Roadmap!L130</f>
        <v>0.625</v>
      </c>
      <c r="E46" s="93">
        <f>Roadmap!L131</f>
        <v>0.125</v>
      </c>
      <c r="F46" s="93">
        <f>Roadmap!L132</f>
        <v>0</v>
      </c>
      <c r="G46" s="6">
        <f t="shared" si="4"/>
        <v>0</v>
      </c>
      <c r="H46" s="3"/>
      <c r="I46" s="1"/>
      <c r="J46" s="1"/>
      <c r="K46" s="1"/>
      <c r="L46" s="1"/>
      <c r="M46" s="1"/>
      <c r="N46" s="1"/>
      <c r="T46" s="74" t="str">
        <f>Interview!$B$188</f>
        <v>Operations</v>
      </c>
      <c r="U46" s="77" t="str">
        <f>Interview!$B$189</f>
        <v>Incident Management</v>
      </c>
      <c r="V46" s="93">
        <v>0</v>
      </c>
      <c r="W46" s="93">
        <v>0</v>
      </c>
      <c r="X46" s="93">
        <v>0</v>
      </c>
      <c r="Y46" s="93">
        <v>0</v>
      </c>
      <c r="Z46" s="93">
        <f>C46</f>
        <v>0.75</v>
      </c>
    </row>
    <row r="47" spans="1:26" ht="25" customHeight="1" x14ac:dyDescent="0.15">
      <c r="A47" s="74" t="str">
        <f>Interview!$B$188</f>
        <v>Operations</v>
      </c>
      <c r="B47" s="77" t="str">
        <f>Interview!$B$203</f>
        <v>Environment Management</v>
      </c>
      <c r="C47" s="93">
        <f>Roadmap!M139</f>
        <v>1.875</v>
      </c>
      <c r="D47" s="93">
        <f>Roadmap!L139</f>
        <v>0.625</v>
      </c>
      <c r="E47" s="93">
        <f>Roadmap!L140</f>
        <v>0.625</v>
      </c>
      <c r="F47" s="93">
        <f>Roadmap!L141</f>
        <v>0.625</v>
      </c>
      <c r="G47" s="6">
        <f t="shared" si="4"/>
        <v>0</v>
      </c>
      <c r="H47" s="3"/>
      <c r="I47" s="1"/>
      <c r="J47" s="1"/>
      <c r="K47" s="1"/>
      <c r="L47" s="1"/>
      <c r="M47" s="1"/>
      <c r="N47" s="1"/>
      <c r="T47" s="74" t="str">
        <f>Interview!$B$188</f>
        <v>Operations</v>
      </c>
      <c r="U47" s="77" t="str">
        <f>Interview!$B$203</f>
        <v>Environment Management</v>
      </c>
      <c r="V47" s="93">
        <v>0</v>
      </c>
      <c r="W47" s="93">
        <v>0</v>
      </c>
      <c r="X47" s="93">
        <v>0</v>
      </c>
      <c r="Y47" s="93">
        <v>0</v>
      </c>
      <c r="Z47" s="93">
        <f>C47</f>
        <v>1.875</v>
      </c>
    </row>
    <row r="48" spans="1:26" ht="25" customHeight="1" x14ac:dyDescent="0.15">
      <c r="A48" s="74" t="str">
        <f>Interview!$B$188</f>
        <v>Operations</v>
      </c>
      <c r="B48" s="77" t="str">
        <f>Interview!$B$217</f>
        <v>Operational Management</v>
      </c>
      <c r="C48" s="93">
        <f>Roadmap!M148</f>
        <v>2.25</v>
      </c>
      <c r="D48" s="93">
        <f>Roadmap!L148</f>
        <v>1</v>
      </c>
      <c r="E48" s="93">
        <f>Roadmap!L149</f>
        <v>1</v>
      </c>
      <c r="F48" s="93">
        <f>Roadmap!L150</f>
        <v>0.25</v>
      </c>
      <c r="G48" s="6">
        <f t="shared" si="4"/>
        <v>0</v>
      </c>
      <c r="H48" s="3"/>
      <c r="I48" s="1"/>
      <c r="J48" s="1"/>
      <c r="K48" s="1"/>
      <c r="L48" s="1"/>
      <c r="M48" s="1"/>
      <c r="N48" s="1"/>
      <c r="T48" s="74" t="str">
        <f>Interview!$B$188</f>
        <v>Operations</v>
      </c>
      <c r="U48" s="77" t="str">
        <f>Interview!$B$217</f>
        <v>Operational Management</v>
      </c>
      <c r="V48" s="93">
        <v>0</v>
      </c>
      <c r="W48" s="93">
        <v>0</v>
      </c>
      <c r="X48" s="93">
        <v>0</v>
      </c>
      <c r="Y48" s="93">
        <v>0</v>
      </c>
      <c r="Z48" s="93">
        <f>C48</f>
        <v>2.25</v>
      </c>
    </row>
    <row r="49" spans="1:26" ht="12.75" customHeight="1" x14ac:dyDescent="0.15">
      <c r="A49" s="1"/>
      <c r="B49" s="1"/>
      <c r="C49" s="1"/>
      <c r="D49" s="1"/>
      <c r="E49" s="1"/>
      <c r="F49" s="1"/>
      <c r="G49" s="1"/>
      <c r="H49" s="1"/>
      <c r="I49" s="1"/>
      <c r="J49" s="1"/>
      <c r="K49" s="1"/>
      <c r="L49" s="1"/>
      <c r="M49" s="1"/>
      <c r="N49" s="1"/>
    </row>
    <row r="50" spans="1:26" ht="12.75" customHeight="1" thickBot="1" x14ac:dyDescent="0.2">
      <c r="K50" s="1"/>
    </row>
    <row r="51" spans="1:26" ht="25" customHeight="1" thickBot="1" x14ac:dyDescent="0.2">
      <c r="A51" s="577" t="s">
        <v>117</v>
      </c>
      <c r="B51" s="578"/>
      <c r="C51" s="578"/>
      <c r="D51" s="578"/>
      <c r="E51" s="578"/>
      <c r="F51" s="578"/>
      <c r="G51" s="578"/>
      <c r="H51" s="578"/>
      <c r="I51" s="578"/>
      <c r="J51" s="579"/>
      <c r="K51" s="1"/>
      <c r="L51" s="577" t="s">
        <v>117</v>
      </c>
      <c r="M51" s="578"/>
      <c r="N51" s="578"/>
      <c r="O51" s="578"/>
      <c r="P51" s="578"/>
      <c r="Q51" s="578"/>
      <c r="R51" s="579"/>
      <c r="T51" s="580" t="s">
        <v>117</v>
      </c>
      <c r="U51" s="581"/>
      <c r="V51" s="581"/>
      <c r="W51" s="581"/>
      <c r="X51" s="581"/>
      <c r="Y51" s="581"/>
      <c r="Z51" s="582"/>
    </row>
    <row r="52" spans="1:26" ht="12" customHeight="1" x14ac:dyDescent="0.15">
      <c r="A52" s="2"/>
      <c r="B52" s="2"/>
      <c r="C52" s="2"/>
      <c r="D52" s="593" t="s">
        <v>86</v>
      </c>
      <c r="E52" s="594"/>
      <c r="F52" s="595"/>
      <c r="G52" s="1"/>
      <c r="H52" s="1"/>
      <c r="I52" s="1"/>
      <c r="J52" s="1"/>
      <c r="K52" s="1"/>
      <c r="L52" s="1"/>
      <c r="M52" s="1"/>
      <c r="N52" s="1"/>
    </row>
    <row r="53" spans="1:26" ht="25" customHeight="1" x14ac:dyDescent="0.15">
      <c r="A53" s="7" t="s">
        <v>0</v>
      </c>
      <c r="B53" s="7" t="s">
        <v>1</v>
      </c>
      <c r="C53" s="7" t="s">
        <v>55</v>
      </c>
      <c r="D53" s="119">
        <v>1</v>
      </c>
      <c r="E53" s="119">
        <v>2</v>
      </c>
      <c r="F53" s="119">
        <v>3</v>
      </c>
      <c r="G53" s="8" t="s">
        <v>5</v>
      </c>
      <c r="H53" s="1"/>
      <c r="I53" s="7" t="s">
        <v>0</v>
      </c>
      <c r="J53" s="7" t="s">
        <v>55</v>
      </c>
      <c r="K53" s="1"/>
      <c r="L53" s="1"/>
      <c r="M53" s="1"/>
      <c r="N53" s="1"/>
      <c r="V53" t="str">
        <f>T54</f>
        <v>Governance</v>
      </c>
      <c r="W53" t="str">
        <f>T57</f>
        <v>Design</v>
      </c>
      <c r="X53" t="str">
        <f>T60</f>
        <v>Implementation</v>
      </c>
      <c r="Y53" t="str">
        <f>T63</f>
        <v>Verification</v>
      </c>
      <c r="Z53" t="str">
        <f>T66</f>
        <v>Operations</v>
      </c>
    </row>
    <row r="54" spans="1:26" ht="25" customHeight="1" x14ac:dyDescent="0.15">
      <c r="A54" s="61" t="str">
        <f>Interview!$B$16</f>
        <v>Governance</v>
      </c>
      <c r="B54" s="65" t="str">
        <f>Interview!$D$17</f>
        <v>Strategy &amp; Metrics</v>
      </c>
      <c r="C54" s="93">
        <f>Roadmap!Q18</f>
        <v>0.375</v>
      </c>
      <c r="D54" s="93">
        <f>Roadmap!P18</f>
        <v>0.125</v>
      </c>
      <c r="E54" s="93">
        <f>Roadmap!P19</f>
        <v>0.125</v>
      </c>
      <c r="F54" s="93">
        <f>Roadmap!P20</f>
        <v>0.125</v>
      </c>
      <c r="G54" s="6">
        <f t="shared" ref="G54:G68" si="5">(((((IF((C54="0+"),0.5,0)+IF((C54=1),1,0))+IF((C54="1+"),1.5,0))+IF((C54=2),2,0))+IF((C54="2+"),2.5,0))+IF((C54=3),3,0))+IF((C54="3+"),3.5,0)</f>
        <v>0</v>
      </c>
      <c r="H54" s="3"/>
      <c r="I54" s="61" t="str">
        <f>A54</f>
        <v>Governance</v>
      </c>
      <c r="J54" s="93">
        <f>AVERAGE(C54:C56)</f>
        <v>0.79166666666666663</v>
      </c>
      <c r="K54" s="1"/>
      <c r="L54" s="1"/>
      <c r="M54" s="1"/>
      <c r="N54" s="1"/>
      <c r="T54" s="61" t="str">
        <f>Interview!$B$16</f>
        <v>Governance</v>
      </c>
      <c r="U54" s="65" t="str">
        <f>Interview!$D$17</f>
        <v>Strategy &amp; Metrics</v>
      </c>
      <c r="V54" s="93">
        <f>C54</f>
        <v>0.375</v>
      </c>
      <c r="W54" s="93">
        <v>0</v>
      </c>
      <c r="X54" s="93">
        <v>0</v>
      </c>
      <c r="Y54" s="93">
        <v>0</v>
      </c>
      <c r="Z54" s="93">
        <v>0</v>
      </c>
    </row>
    <row r="55" spans="1:26" ht="25" customHeight="1" x14ac:dyDescent="0.15">
      <c r="A55" s="61" t="str">
        <f>Interview!$B$16</f>
        <v>Governance</v>
      </c>
      <c r="B55" s="65" t="str">
        <f>Interview!$B$31</f>
        <v>Policy &amp; Compliance</v>
      </c>
      <c r="C55" s="93">
        <f>Roadmap!Q27</f>
        <v>1.25</v>
      </c>
      <c r="D55" s="93">
        <f>Roadmap!P27</f>
        <v>0.625</v>
      </c>
      <c r="E55" s="93">
        <f>Roadmap!P28</f>
        <v>0.125</v>
      </c>
      <c r="F55" s="93">
        <f>Roadmap!P29</f>
        <v>0.5</v>
      </c>
      <c r="G55" s="6">
        <f t="shared" si="5"/>
        <v>0</v>
      </c>
      <c r="H55" s="3"/>
      <c r="I55" s="66" t="str">
        <f>A57</f>
        <v>Design</v>
      </c>
      <c r="J55" s="93">
        <f>AVERAGE(C57:C59)</f>
        <v>1.3333333333333333</v>
      </c>
      <c r="K55" s="1"/>
      <c r="L55" s="1"/>
      <c r="M55" s="1"/>
      <c r="N55" s="1"/>
      <c r="T55" s="61" t="str">
        <f>Interview!$B$16</f>
        <v>Governance</v>
      </c>
      <c r="U55" s="65" t="str">
        <f>Interview!$B$31</f>
        <v>Policy &amp; Compliance</v>
      </c>
      <c r="V55" s="93">
        <f>C55</f>
        <v>1.25</v>
      </c>
      <c r="W55" s="93">
        <v>0</v>
      </c>
      <c r="X55" s="93">
        <v>0</v>
      </c>
      <c r="Y55" s="93">
        <v>0</v>
      </c>
      <c r="Z55" s="93">
        <v>0</v>
      </c>
    </row>
    <row r="56" spans="1:26" ht="25" customHeight="1" x14ac:dyDescent="0.15">
      <c r="A56" s="61" t="str">
        <f>Interview!$B$16</f>
        <v>Governance</v>
      </c>
      <c r="B56" s="65" t="str">
        <f>Interview!$B$45</f>
        <v>Education &amp; Guidance</v>
      </c>
      <c r="C56" s="93">
        <f>Roadmap!Q36</f>
        <v>0.75</v>
      </c>
      <c r="D56" s="93">
        <f>Roadmap!P36</f>
        <v>0.125</v>
      </c>
      <c r="E56" s="93">
        <f>Roadmap!P37</f>
        <v>0.125</v>
      </c>
      <c r="F56" s="93">
        <f>Roadmap!P38</f>
        <v>0.5</v>
      </c>
      <c r="G56" s="6">
        <f t="shared" si="5"/>
        <v>0</v>
      </c>
      <c r="H56" s="3"/>
      <c r="I56" s="277" t="str">
        <f>A60</f>
        <v>Implementation</v>
      </c>
      <c r="J56" s="93">
        <f>AVERAGE(C60:C62)</f>
        <v>0</v>
      </c>
      <c r="K56" s="1"/>
      <c r="L56" s="1"/>
      <c r="M56" s="1"/>
      <c r="N56" s="1"/>
      <c r="T56" s="61" t="str">
        <f>Interview!$B$16</f>
        <v>Governance</v>
      </c>
      <c r="U56" s="65" t="str">
        <f>Interview!$B$45</f>
        <v>Education &amp; Guidance</v>
      </c>
      <c r="V56" s="93">
        <f>C56</f>
        <v>0.75</v>
      </c>
      <c r="W56" s="93">
        <v>0</v>
      </c>
      <c r="X56" s="93">
        <v>0</v>
      </c>
      <c r="Y56" s="93">
        <v>0</v>
      </c>
      <c r="Z56" s="93">
        <v>0</v>
      </c>
    </row>
    <row r="57" spans="1:26" ht="25" customHeight="1" x14ac:dyDescent="0.15">
      <c r="A57" s="66" t="str">
        <f>Interview!$B$59</f>
        <v>Design</v>
      </c>
      <c r="B57" s="69" t="str">
        <f>Interview!$B$60</f>
        <v>Threat Assessment</v>
      </c>
      <c r="C57" s="93">
        <f>Roadmap!Q46</f>
        <v>0.25</v>
      </c>
      <c r="D57" s="93">
        <f>Roadmap!P46</f>
        <v>0.125</v>
      </c>
      <c r="E57" s="93">
        <f>Roadmap!P47</f>
        <v>0</v>
      </c>
      <c r="F57" s="93">
        <f>Roadmap!P48</f>
        <v>0.125</v>
      </c>
      <c r="G57" s="6">
        <f t="shared" si="5"/>
        <v>0</v>
      </c>
      <c r="H57" s="3"/>
      <c r="I57" s="70" t="str">
        <f>A63</f>
        <v>Verification</v>
      </c>
      <c r="J57" s="93">
        <f>AVERAGE(C63:C65)</f>
        <v>0.375</v>
      </c>
      <c r="K57" s="1"/>
      <c r="L57" s="1"/>
      <c r="M57" s="1"/>
      <c r="N57" s="1"/>
      <c r="T57" s="66" t="str">
        <f>Interview!$B$59</f>
        <v>Design</v>
      </c>
      <c r="U57" s="69" t="str">
        <f>Interview!$B$60</f>
        <v>Threat Assessment</v>
      </c>
      <c r="V57" s="93">
        <v>0</v>
      </c>
      <c r="W57" s="93">
        <f>C57</f>
        <v>0.25</v>
      </c>
      <c r="X57" s="93">
        <v>0</v>
      </c>
      <c r="Y57" s="93">
        <v>0</v>
      </c>
      <c r="Z57" s="93">
        <v>0</v>
      </c>
    </row>
    <row r="58" spans="1:26" ht="25" customHeight="1" x14ac:dyDescent="0.15">
      <c r="A58" s="66" t="str">
        <f>Interview!$B$59</f>
        <v>Design</v>
      </c>
      <c r="B58" s="69" t="str">
        <f>Interview!$B$74</f>
        <v>Security Requirements</v>
      </c>
      <c r="C58" s="93">
        <f>Roadmap!Q55</f>
        <v>1.25</v>
      </c>
      <c r="D58" s="93">
        <f>Roadmap!P55</f>
        <v>0.5</v>
      </c>
      <c r="E58" s="93">
        <f>Roadmap!P56</f>
        <v>0.5</v>
      </c>
      <c r="F58" s="93">
        <f>Roadmap!P57</f>
        <v>0.25</v>
      </c>
      <c r="G58" s="6">
        <f t="shared" si="5"/>
        <v>0</v>
      </c>
      <c r="H58" s="3"/>
      <c r="I58" s="74" t="str">
        <f>A66</f>
        <v>Operations</v>
      </c>
      <c r="J58" s="93">
        <f>AVERAGE(C66:C68)</f>
        <v>1.625</v>
      </c>
      <c r="K58" s="1"/>
      <c r="L58" s="1"/>
      <c r="M58" s="1"/>
      <c r="N58" s="1"/>
      <c r="T58" s="66" t="str">
        <f>Interview!$B$59</f>
        <v>Design</v>
      </c>
      <c r="U58" s="69" t="str">
        <f>Interview!$B$74</f>
        <v>Security Requirements</v>
      </c>
      <c r="V58" s="93">
        <v>0</v>
      </c>
      <c r="W58" s="93">
        <f>C58</f>
        <v>1.25</v>
      </c>
      <c r="X58" s="93">
        <v>0</v>
      </c>
      <c r="Y58" s="93">
        <v>0</v>
      </c>
      <c r="Z58" s="93">
        <v>0</v>
      </c>
    </row>
    <row r="59" spans="1:26" ht="25" customHeight="1" x14ac:dyDescent="0.15">
      <c r="A59" s="66" t="str">
        <f>Interview!$B$59</f>
        <v>Design</v>
      </c>
      <c r="B59" s="69" t="str">
        <f>Interview!$B$88</f>
        <v>Secure Architecture</v>
      </c>
      <c r="C59" s="93">
        <f>Roadmap!Q64</f>
        <v>2.5</v>
      </c>
      <c r="D59" s="93">
        <f>Roadmap!P64</f>
        <v>0.5</v>
      </c>
      <c r="E59" s="93">
        <f>Roadmap!P65</f>
        <v>1</v>
      </c>
      <c r="F59" s="93">
        <f>Roadmap!P66</f>
        <v>1</v>
      </c>
      <c r="G59" s="6">
        <f t="shared" si="5"/>
        <v>0</v>
      </c>
      <c r="H59" s="3"/>
      <c r="I59" s="1"/>
      <c r="J59" s="1"/>
      <c r="K59" s="1"/>
      <c r="L59" s="1"/>
      <c r="M59" s="1"/>
      <c r="N59" s="1"/>
      <c r="T59" s="66" t="str">
        <f>Interview!$B$59</f>
        <v>Design</v>
      </c>
      <c r="U59" s="69" t="str">
        <f>Interview!$B$88</f>
        <v>Secure Architecture</v>
      </c>
      <c r="V59" s="93">
        <v>0</v>
      </c>
      <c r="W59" s="93">
        <f>C59</f>
        <v>2.5</v>
      </c>
      <c r="X59" s="93">
        <v>0</v>
      </c>
      <c r="Y59" s="93">
        <v>0</v>
      </c>
      <c r="Z59" s="93">
        <v>0</v>
      </c>
    </row>
    <row r="60" spans="1:26" ht="25" customHeight="1" x14ac:dyDescent="0.15">
      <c r="A60" s="277" t="str">
        <f>Interview!$B$102</f>
        <v>Implementation</v>
      </c>
      <c r="B60" s="278" t="str">
        <f>Interview!$B$103</f>
        <v>Secure Build</v>
      </c>
      <c r="C60" s="93">
        <f>Roadmap!Q74</f>
        <v>0</v>
      </c>
      <c r="D60" s="93">
        <f>Roadmap!P74</f>
        <v>0</v>
      </c>
      <c r="E60" s="93">
        <f>Roadmap!P75</f>
        <v>0</v>
      </c>
      <c r="F60" s="93">
        <f>Roadmap!P76</f>
        <v>0</v>
      </c>
      <c r="G60" s="6"/>
      <c r="H60" s="3"/>
      <c r="I60" s="1"/>
      <c r="J60" s="1"/>
      <c r="K60" s="1"/>
      <c r="L60" s="1"/>
      <c r="M60" s="1"/>
      <c r="N60" s="1"/>
      <c r="T60" s="277" t="str">
        <f>Interview!$B$102</f>
        <v>Implementation</v>
      </c>
      <c r="U60" s="278" t="str">
        <f>Interview!$B$103</f>
        <v>Secure Build</v>
      </c>
      <c r="V60" s="93">
        <v>0</v>
      </c>
      <c r="W60" s="93">
        <v>0</v>
      </c>
      <c r="X60" s="93">
        <f>C60</f>
        <v>0</v>
      </c>
      <c r="Y60" s="93">
        <v>0</v>
      </c>
      <c r="Z60" s="93">
        <v>0</v>
      </c>
    </row>
    <row r="61" spans="1:26" ht="25" customHeight="1" x14ac:dyDescent="0.15">
      <c r="A61" s="277" t="str">
        <f>Interview!$B$102</f>
        <v>Implementation</v>
      </c>
      <c r="B61" s="278" t="str">
        <f>Interview!$B$117</f>
        <v>Secure Deployment</v>
      </c>
      <c r="C61" s="93">
        <f>Roadmap!Q83</f>
        <v>0</v>
      </c>
      <c r="D61" s="93">
        <f>Roadmap!P83</f>
        <v>0</v>
      </c>
      <c r="E61" s="93">
        <f>Roadmap!P84</f>
        <v>0</v>
      </c>
      <c r="F61" s="93">
        <f>Roadmap!P85</f>
        <v>0</v>
      </c>
      <c r="G61" s="6"/>
      <c r="H61" s="3"/>
      <c r="I61" s="1"/>
      <c r="J61" s="1"/>
      <c r="K61" s="1"/>
      <c r="L61" s="1"/>
      <c r="M61" s="1"/>
      <c r="N61" s="1"/>
      <c r="T61" s="277" t="str">
        <f>Interview!$B$102</f>
        <v>Implementation</v>
      </c>
      <c r="U61" s="278" t="str">
        <f>Interview!$B$117</f>
        <v>Secure Deployment</v>
      </c>
      <c r="V61" s="93">
        <v>0</v>
      </c>
      <c r="W61" s="93">
        <v>0</v>
      </c>
      <c r="X61" s="93">
        <f>C61</f>
        <v>0</v>
      </c>
      <c r="Y61" s="93">
        <v>0</v>
      </c>
      <c r="Z61" s="93">
        <v>0</v>
      </c>
    </row>
    <row r="62" spans="1:26" ht="25" customHeight="1" x14ac:dyDescent="0.15">
      <c r="A62" s="277" t="str">
        <f>Interview!$B$102</f>
        <v>Implementation</v>
      </c>
      <c r="B62" s="278" t="str">
        <f>Interview!$B$131</f>
        <v>Defect Management</v>
      </c>
      <c r="C62" s="93">
        <f>Roadmap!Q92</f>
        <v>0</v>
      </c>
      <c r="D62" s="93">
        <f>Roadmap!P92</f>
        <v>0</v>
      </c>
      <c r="E62" s="93">
        <f>Roadmap!P93</f>
        <v>0</v>
      </c>
      <c r="F62" s="93">
        <f>Roadmap!P94</f>
        <v>0</v>
      </c>
      <c r="G62" s="6"/>
      <c r="H62" s="3"/>
      <c r="I62" s="1"/>
      <c r="J62" s="1"/>
      <c r="K62" s="1"/>
      <c r="L62" s="1"/>
      <c r="M62" s="1"/>
      <c r="N62" s="1"/>
      <c r="T62" s="277" t="str">
        <f>Interview!$B$102</f>
        <v>Implementation</v>
      </c>
      <c r="U62" s="278" t="str">
        <f>Interview!$B$131</f>
        <v>Defect Management</v>
      </c>
      <c r="V62" s="93">
        <v>0</v>
      </c>
      <c r="W62" s="93">
        <v>0</v>
      </c>
      <c r="X62" s="93">
        <f>C62</f>
        <v>0</v>
      </c>
      <c r="Y62" s="93">
        <v>0</v>
      </c>
      <c r="Z62" s="93">
        <v>0</v>
      </c>
    </row>
    <row r="63" spans="1:26" ht="25" customHeight="1" x14ac:dyDescent="0.15">
      <c r="A63" s="70" t="str">
        <f>Interview!$B$145</f>
        <v>Verification</v>
      </c>
      <c r="B63" s="73" t="str">
        <f>Interview!$B$146</f>
        <v>Architecture Assessment</v>
      </c>
      <c r="C63" s="93">
        <f>Roadmap!Q102</f>
        <v>0.125</v>
      </c>
      <c r="D63" s="93">
        <f>Roadmap!P102</f>
        <v>0</v>
      </c>
      <c r="E63" s="93">
        <f>Roadmap!P103</f>
        <v>0.125</v>
      </c>
      <c r="F63" s="93">
        <f>Roadmap!P104</f>
        <v>0</v>
      </c>
      <c r="G63" s="6">
        <f t="shared" si="5"/>
        <v>0</v>
      </c>
      <c r="H63" s="3"/>
      <c r="I63" s="1"/>
      <c r="J63" s="1"/>
      <c r="K63" s="1"/>
      <c r="L63" s="1"/>
      <c r="M63" s="1"/>
      <c r="N63" s="1"/>
      <c r="T63" s="70" t="str">
        <f>Interview!$B$145</f>
        <v>Verification</v>
      </c>
      <c r="U63" s="73" t="str">
        <f>Interview!$B$146</f>
        <v>Architecture Assessment</v>
      </c>
      <c r="V63" s="93">
        <v>0</v>
      </c>
      <c r="W63" s="93">
        <v>0</v>
      </c>
      <c r="X63" s="93">
        <v>0</v>
      </c>
      <c r="Y63" s="93">
        <f>C63</f>
        <v>0.125</v>
      </c>
      <c r="Z63" s="93">
        <v>0</v>
      </c>
    </row>
    <row r="64" spans="1:26" ht="25" customHeight="1" x14ac:dyDescent="0.15">
      <c r="A64" s="70" t="str">
        <f>Interview!$B$145</f>
        <v>Verification</v>
      </c>
      <c r="B64" s="73" t="str">
        <f>Interview!$B$160</f>
        <v>Requirements Testing</v>
      </c>
      <c r="C64" s="93">
        <f>Roadmap!Q111</f>
        <v>0</v>
      </c>
      <c r="D64" s="93">
        <f>Roadmap!P111</f>
        <v>0</v>
      </c>
      <c r="E64" s="93">
        <f>Roadmap!P112</f>
        <v>0</v>
      </c>
      <c r="F64" s="93">
        <f>Roadmap!P113</f>
        <v>0</v>
      </c>
      <c r="G64" s="6">
        <f t="shared" si="5"/>
        <v>0</v>
      </c>
      <c r="H64" s="3"/>
      <c r="I64" s="1"/>
      <c r="J64" s="1"/>
      <c r="K64" s="1"/>
      <c r="L64" s="1"/>
      <c r="M64" s="1"/>
      <c r="N64" s="1"/>
      <c r="T64" s="70" t="str">
        <f>Interview!$B$145</f>
        <v>Verification</v>
      </c>
      <c r="U64" s="73" t="str">
        <f>Interview!$B$160</f>
        <v>Requirements Testing</v>
      </c>
      <c r="V64" s="93">
        <v>0</v>
      </c>
      <c r="W64" s="93">
        <v>0</v>
      </c>
      <c r="X64" s="93">
        <v>0</v>
      </c>
      <c r="Y64" s="93">
        <f>C64</f>
        <v>0</v>
      </c>
      <c r="Z64" s="93">
        <v>0</v>
      </c>
    </row>
    <row r="65" spans="1:26" ht="25" customHeight="1" x14ac:dyDescent="0.15">
      <c r="A65" s="70" t="str">
        <f>Interview!$B$145</f>
        <v>Verification</v>
      </c>
      <c r="B65" s="73" t="str">
        <f>Interview!$B$174</f>
        <v>Security Testing</v>
      </c>
      <c r="C65" s="93">
        <f>Roadmap!Q120</f>
        <v>1</v>
      </c>
      <c r="D65" s="93">
        <f>Roadmap!P120</f>
        <v>0.625</v>
      </c>
      <c r="E65" s="93">
        <f>Roadmap!P121</f>
        <v>0.25</v>
      </c>
      <c r="F65" s="93">
        <f>Roadmap!P122</f>
        <v>0.125</v>
      </c>
      <c r="G65" s="6">
        <f t="shared" si="5"/>
        <v>1</v>
      </c>
      <c r="H65" s="3"/>
      <c r="I65" s="1"/>
      <c r="J65" s="1"/>
      <c r="K65" s="1"/>
      <c r="L65" s="1"/>
      <c r="M65" s="1"/>
      <c r="N65" s="1"/>
      <c r="T65" s="70" t="str">
        <f>Interview!$B$145</f>
        <v>Verification</v>
      </c>
      <c r="U65" s="73" t="str">
        <f>Interview!$B$174</f>
        <v>Security Testing</v>
      </c>
      <c r="V65" s="93">
        <v>0</v>
      </c>
      <c r="W65" s="93">
        <v>0</v>
      </c>
      <c r="X65" s="93">
        <v>0</v>
      </c>
      <c r="Y65" s="93">
        <f>C65</f>
        <v>1</v>
      </c>
      <c r="Z65" s="93">
        <v>0</v>
      </c>
    </row>
    <row r="66" spans="1:26" ht="25" customHeight="1" x14ac:dyDescent="0.15">
      <c r="A66" s="74" t="str">
        <f>Interview!$B$188</f>
        <v>Operations</v>
      </c>
      <c r="B66" s="77" t="str">
        <f>Interview!$B$189</f>
        <v>Incident Management</v>
      </c>
      <c r="C66" s="93">
        <f>Roadmap!Q130</f>
        <v>0.75</v>
      </c>
      <c r="D66" s="93">
        <f>Roadmap!P130</f>
        <v>0.625</v>
      </c>
      <c r="E66" s="93">
        <f>Roadmap!P131</f>
        <v>0.125</v>
      </c>
      <c r="F66" s="93">
        <f>Roadmap!P132</f>
        <v>0</v>
      </c>
      <c r="G66" s="6">
        <f t="shared" si="5"/>
        <v>0</v>
      </c>
      <c r="H66" s="3"/>
      <c r="I66" s="1"/>
      <c r="J66" s="1"/>
      <c r="K66" s="1"/>
      <c r="L66" s="1"/>
      <c r="M66" s="1"/>
      <c r="N66" s="1"/>
      <c r="T66" s="74" t="str">
        <f>Interview!$B$188</f>
        <v>Operations</v>
      </c>
      <c r="U66" s="77" t="str">
        <f>Interview!$B$189</f>
        <v>Incident Management</v>
      </c>
      <c r="V66" s="93">
        <v>0</v>
      </c>
      <c r="W66" s="93">
        <v>0</v>
      </c>
      <c r="X66" s="93">
        <v>0</v>
      </c>
      <c r="Y66" s="93">
        <v>0</v>
      </c>
      <c r="Z66" s="93">
        <f>C66</f>
        <v>0.75</v>
      </c>
    </row>
    <row r="67" spans="1:26" ht="25" customHeight="1" x14ac:dyDescent="0.15">
      <c r="A67" s="74" t="str">
        <f>Interview!$B$188</f>
        <v>Operations</v>
      </c>
      <c r="B67" s="77" t="str">
        <f>Interview!$B$203</f>
        <v>Environment Management</v>
      </c>
      <c r="C67" s="93">
        <f>Roadmap!Q139</f>
        <v>1.875</v>
      </c>
      <c r="D67" s="93">
        <f>Roadmap!P139</f>
        <v>0.625</v>
      </c>
      <c r="E67" s="93">
        <f>Roadmap!P140</f>
        <v>0.625</v>
      </c>
      <c r="F67" s="93">
        <f>Roadmap!P141</f>
        <v>0.625</v>
      </c>
      <c r="G67" s="6">
        <f t="shared" si="5"/>
        <v>0</v>
      </c>
      <c r="H67" s="3"/>
      <c r="I67" s="1"/>
      <c r="J67" s="1"/>
      <c r="K67" s="1"/>
      <c r="L67" s="1"/>
      <c r="M67" s="1"/>
      <c r="N67" s="1"/>
      <c r="T67" s="74" t="str">
        <f>Interview!$B$188</f>
        <v>Operations</v>
      </c>
      <c r="U67" s="77" t="str">
        <f>Interview!$B$203</f>
        <v>Environment Management</v>
      </c>
      <c r="V67" s="93">
        <v>0</v>
      </c>
      <c r="W67" s="93">
        <v>0</v>
      </c>
      <c r="X67" s="93">
        <v>0</v>
      </c>
      <c r="Y67" s="93">
        <v>0</v>
      </c>
      <c r="Z67" s="93">
        <f>C67</f>
        <v>1.875</v>
      </c>
    </row>
    <row r="68" spans="1:26" ht="25" customHeight="1" x14ac:dyDescent="0.15">
      <c r="A68" s="74" t="str">
        <f>Interview!$B$188</f>
        <v>Operations</v>
      </c>
      <c r="B68" s="77" t="str">
        <f>Interview!$B$217</f>
        <v>Operational Management</v>
      </c>
      <c r="C68" s="93">
        <f>Roadmap!Q148</f>
        <v>2.25</v>
      </c>
      <c r="D68" s="93">
        <f>Roadmap!P148</f>
        <v>1</v>
      </c>
      <c r="E68" s="93">
        <f>Roadmap!P149</f>
        <v>1</v>
      </c>
      <c r="F68" s="93">
        <f>Roadmap!P150</f>
        <v>0.25</v>
      </c>
      <c r="G68" s="6">
        <f t="shared" si="5"/>
        <v>0</v>
      </c>
      <c r="H68" s="3"/>
      <c r="I68" s="1"/>
      <c r="J68" s="1"/>
      <c r="K68" s="1"/>
      <c r="L68" s="1"/>
      <c r="M68" s="1"/>
      <c r="N68" s="1"/>
      <c r="T68" s="74" t="str">
        <f>Interview!$B$188</f>
        <v>Operations</v>
      </c>
      <c r="U68" s="77" t="str">
        <f>Interview!$B$217</f>
        <v>Operational Management</v>
      </c>
      <c r="V68" s="93">
        <v>0</v>
      </c>
      <c r="W68" s="93">
        <v>0</v>
      </c>
      <c r="X68" s="93">
        <v>0</v>
      </c>
      <c r="Y68" s="93">
        <v>0</v>
      </c>
      <c r="Z68" s="93">
        <f>C68</f>
        <v>2.25</v>
      </c>
    </row>
    <row r="69" spans="1:26" ht="12.75" customHeight="1" thickBot="1" x14ac:dyDescent="0.2">
      <c r="K69" s="1"/>
    </row>
    <row r="70" spans="1:26" ht="25" customHeight="1" thickBot="1" x14ac:dyDescent="0.2">
      <c r="A70" s="577" t="s">
        <v>116</v>
      </c>
      <c r="B70" s="578"/>
      <c r="C70" s="578"/>
      <c r="D70" s="578"/>
      <c r="E70" s="578"/>
      <c r="F70" s="578"/>
      <c r="G70" s="578"/>
      <c r="H70" s="578"/>
      <c r="I70" s="578"/>
      <c r="J70" s="579"/>
      <c r="K70" s="1"/>
      <c r="L70" s="577" t="s">
        <v>116</v>
      </c>
      <c r="M70" s="578"/>
      <c r="N70" s="578"/>
      <c r="O70" s="578"/>
      <c r="P70" s="578"/>
      <c r="Q70" s="578"/>
      <c r="R70" s="579"/>
      <c r="T70" s="580" t="s">
        <v>116</v>
      </c>
      <c r="U70" s="581"/>
      <c r="V70" s="581"/>
      <c r="W70" s="581"/>
      <c r="X70" s="581"/>
      <c r="Y70" s="581"/>
      <c r="Z70" s="582"/>
    </row>
    <row r="71" spans="1:26" ht="12" customHeight="1" x14ac:dyDescent="0.15">
      <c r="A71" s="2"/>
      <c r="B71" s="2"/>
      <c r="C71" s="2"/>
      <c r="D71" s="593" t="s">
        <v>86</v>
      </c>
      <c r="E71" s="594"/>
      <c r="F71" s="595"/>
      <c r="G71" s="1"/>
      <c r="H71" s="1"/>
      <c r="I71" s="1"/>
      <c r="J71" s="1"/>
      <c r="K71" s="1"/>
      <c r="L71" s="1"/>
      <c r="M71" s="1"/>
      <c r="N71" s="1"/>
    </row>
    <row r="72" spans="1:26" ht="25" customHeight="1" x14ac:dyDescent="0.15">
      <c r="A72" s="7" t="s">
        <v>0</v>
      </c>
      <c r="B72" s="7" t="s">
        <v>1</v>
      </c>
      <c r="C72" s="7" t="s">
        <v>55</v>
      </c>
      <c r="D72" s="119">
        <v>1</v>
      </c>
      <c r="E72" s="119">
        <v>2</v>
      </c>
      <c r="F72" s="119">
        <v>3</v>
      </c>
      <c r="G72" s="8" t="s">
        <v>5</v>
      </c>
      <c r="H72" s="1"/>
      <c r="I72" s="7" t="s">
        <v>0</v>
      </c>
      <c r="J72" s="7" t="s">
        <v>55</v>
      </c>
      <c r="K72" s="1"/>
      <c r="L72" s="1"/>
      <c r="M72" s="1"/>
      <c r="N72" s="1"/>
      <c r="V72" t="str">
        <f>T73</f>
        <v>Governance</v>
      </c>
      <c r="W72" t="str">
        <f>T76</f>
        <v>Design</v>
      </c>
      <c r="X72" t="str">
        <f>T79</f>
        <v>Implementation</v>
      </c>
      <c r="Y72" t="str">
        <f>T82</f>
        <v>Verification</v>
      </c>
      <c r="Z72" t="str">
        <f>T85</f>
        <v>Operations</v>
      </c>
    </row>
    <row r="73" spans="1:26" ht="25" customHeight="1" x14ac:dyDescent="0.15">
      <c r="A73" s="61" t="str">
        <f>Interview!$B$16</f>
        <v>Governance</v>
      </c>
      <c r="B73" s="65" t="str">
        <f>Interview!$D$17</f>
        <v>Strategy &amp; Metrics</v>
      </c>
      <c r="C73" s="93">
        <f>Roadmap!U18</f>
        <v>0.375</v>
      </c>
      <c r="D73" s="93">
        <f>Roadmap!T18</f>
        <v>0.125</v>
      </c>
      <c r="E73" s="93">
        <f>Roadmap!T19</f>
        <v>0.125</v>
      </c>
      <c r="F73" s="93">
        <f>Roadmap!T20</f>
        <v>0.125</v>
      </c>
      <c r="G73" s="6">
        <f t="shared" ref="G73:G87" si="6">(((((IF((C73="0+"),0.5,0)+IF((C73=1),1,0))+IF((C73="1+"),1.5,0))+IF((C73=2),2,0))+IF((C73="2+"),2.5,0))+IF((C73=3),3,0))+IF((C73="3+"),3.5,0)</f>
        <v>0</v>
      </c>
      <c r="H73" s="3"/>
      <c r="I73" s="61" t="str">
        <f>A73</f>
        <v>Governance</v>
      </c>
      <c r="J73" s="93">
        <f>AVERAGE(C73:C75)</f>
        <v>0.79166666666666663</v>
      </c>
      <c r="K73" s="1"/>
      <c r="L73" s="1"/>
      <c r="M73" s="1"/>
      <c r="N73" s="1"/>
      <c r="T73" s="61" t="str">
        <f>Interview!$B$16</f>
        <v>Governance</v>
      </c>
      <c r="U73" s="65" t="str">
        <f>Interview!$D$17</f>
        <v>Strategy &amp; Metrics</v>
      </c>
      <c r="V73" s="93">
        <f>C73</f>
        <v>0.375</v>
      </c>
      <c r="W73" s="93">
        <v>0</v>
      </c>
      <c r="X73" s="93">
        <v>0</v>
      </c>
      <c r="Y73" s="93">
        <v>0</v>
      </c>
      <c r="Z73" s="93">
        <v>0</v>
      </c>
    </row>
    <row r="74" spans="1:26" ht="25" customHeight="1" x14ac:dyDescent="0.15">
      <c r="A74" s="61" t="str">
        <f>Interview!$B$16</f>
        <v>Governance</v>
      </c>
      <c r="B74" s="65" t="str">
        <f>Interview!$B$31</f>
        <v>Policy &amp; Compliance</v>
      </c>
      <c r="C74" s="93">
        <f>Roadmap!U27</f>
        <v>1.25</v>
      </c>
      <c r="D74" s="93">
        <f>Roadmap!T27</f>
        <v>0.625</v>
      </c>
      <c r="E74" s="93">
        <f>Roadmap!T28</f>
        <v>0.125</v>
      </c>
      <c r="F74" s="93">
        <f>Roadmap!T29</f>
        <v>0.5</v>
      </c>
      <c r="G74" s="6">
        <f t="shared" si="6"/>
        <v>0</v>
      </c>
      <c r="H74" s="3"/>
      <c r="I74" s="66" t="str">
        <f>A76</f>
        <v>Design</v>
      </c>
      <c r="J74" s="93">
        <f>AVERAGE(C76:C78)</f>
        <v>1.3333333333333333</v>
      </c>
      <c r="K74" s="1"/>
      <c r="L74" s="1"/>
      <c r="M74" s="1"/>
      <c r="N74" s="1"/>
      <c r="T74" s="61" t="str">
        <f>Interview!$B$16</f>
        <v>Governance</v>
      </c>
      <c r="U74" s="65" t="str">
        <f>Interview!$B$31</f>
        <v>Policy &amp; Compliance</v>
      </c>
      <c r="V74" s="93">
        <f>C74</f>
        <v>1.25</v>
      </c>
      <c r="W74" s="93">
        <v>0</v>
      </c>
      <c r="X74" s="93">
        <v>0</v>
      </c>
      <c r="Y74" s="93">
        <v>0</v>
      </c>
      <c r="Z74" s="93">
        <v>0</v>
      </c>
    </row>
    <row r="75" spans="1:26" ht="25" customHeight="1" x14ac:dyDescent="0.15">
      <c r="A75" s="61" t="str">
        <f>Interview!$B$16</f>
        <v>Governance</v>
      </c>
      <c r="B75" s="65" t="str">
        <f>Interview!$B$45</f>
        <v>Education &amp; Guidance</v>
      </c>
      <c r="C75" s="93">
        <f>Roadmap!U36</f>
        <v>0.75</v>
      </c>
      <c r="D75" s="93">
        <f>Roadmap!T36</f>
        <v>0.125</v>
      </c>
      <c r="E75" s="93">
        <f>Roadmap!T37</f>
        <v>0.125</v>
      </c>
      <c r="F75" s="93">
        <f>Roadmap!T38</f>
        <v>0.5</v>
      </c>
      <c r="G75" s="6">
        <f t="shared" si="6"/>
        <v>0</v>
      </c>
      <c r="H75" s="3"/>
      <c r="I75" s="277" t="str">
        <f>A79</f>
        <v>Implementation</v>
      </c>
      <c r="J75" s="93">
        <f>AVERAGE(C79:C81)</f>
        <v>0</v>
      </c>
      <c r="K75" s="1"/>
      <c r="L75" s="1"/>
      <c r="M75" s="1"/>
      <c r="N75" s="1"/>
      <c r="T75" s="61" t="str">
        <f>Interview!$B$16</f>
        <v>Governance</v>
      </c>
      <c r="U75" s="65" t="str">
        <f>Interview!$B$45</f>
        <v>Education &amp; Guidance</v>
      </c>
      <c r="V75" s="93">
        <f>C75</f>
        <v>0.75</v>
      </c>
      <c r="W75" s="93">
        <v>0</v>
      </c>
      <c r="X75" s="93">
        <v>0</v>
      </c>
      <c r="Y75" s="93">
        <v>0</v>
      </c>
      <c r="Z75" s="93">
        <v>0</v>
      </c>
    </row>
    <row r="76" spans="1:26" ht="25" customHeight="1" x14ac:dyDescent="0.15">
      <c r="A76" s="66" t="str">
        <f>Interview!$B$59</f>
        <v>Design</v>
      </c>
      <c r="B76" s="69" t="str">
        <f>Interview!$B$60</f>
        <v>Threat Assessment</v>
      </c>
      <c r="C76" s="93">
        <f>Roadmap!U46</f>
        <v>0.25</v>
      </c>
      <c r="D76" s="93">
        <f>Roadmap!T46</f>
        <v>0.125</v>
      </c>
      <c r="E76" s="93">
        <f>Roadmap!T47</f>
        <v>0</v>
      </c>
      <c r="F76" s="93">
        <f>Roadmap!T48</f>
        <v>0.125</v>
      </c>
      <c r="G76" s="6">
        <f t="shared" si="6"/>
        <v>0</v>
      </c>
      <c r="H76" s="3"/>
      <c r="I76" s="70" t="str">
        <f>A82</f>
        <v>Verification</v>
      </c>
      <c r="J76" s="93">
        <f>AVERAGE(C82:C84)</f>
        <v>0.375</v>
      </c>
      <c r="K76" s="1"/>
      <c r="L76" s="1"/>
      <c r="M76" s="1"/>
      <c r="N76" s="1"/>
      <c r="T76" s="66" t="str">
        <f>Interview!$B$59</f>
        <v>Design</v>
      </c>
      <c r="U76" s="69" t="str">
        <f>Interview!$B$60</f>
        <v>Threat Assessment</v>
      </c>
      <c r="V76" s="93">
        <v>0</v>
      </c>
      <c r="W76" s="93">
        <f>C76</f>
        <v>0.25</v>
      </c>
      <c r="X76" s="93">
        <v>0</v>
      </c>
      <c r="Y76" s="93">
        <v>0</v>
      </c>
      <c r="Z76" s="93">
        <v>0</v>
      </c>
    </row>
    <row r="77" spans="1:26" ht="25" customHeight="1" x14ac:dyDescent="0.15">
      <c r="A77" s="66" t="str">
        <f>Interview!$B$59</f>
        <v>Design</v>
      </c>
      <c r="B77" s="69" t="str">
        <f>Interview!$B$74</f>
        <v>Security Requirements</v>
      </c>
      <c r="C77" s="93">
        <f>Roadmap!U55</f>
        <v>1.25</v>
      </c>
      <c r="D77" s="93">
        <f>Roadmap!T55</f>
        <v>0.5</v>
      </c>
      <c r="E77" s="93">
        <f>Roadmap!T56</f>
        <v>0.5</v>
      </c>
      <c r="F77" s="93">
        <f>Roadmap!T57</f>
        <v>0.25</v>
      </c>
      <c r="G77" s="6">
        <f t="shared" si="6"/>
        <v>0</v>
      </c>
      <c r="H77" s="3"/>
      <c r="I77" s="74" t="str">
        <f>A85</f>
        <v>Operations</v>
      </c>
      <c r="J77" s="93">
        <f>AVERAGE(C85:C87)</f>
        <v>1.625</v>
      </c>
      <c r="K77" s="1"/>
      <c r="L77" s="1"/>
      <c r="M77" s="1"/>
      <c r="N77" s="1"/>
      <c r="T77" s="66" t="str">
        <f>Interview!$B$59</f>
        <v>Design</v>
      </c>
      <c r="U77" s="69" t="str">
        <f>Interview!$B$74</f>
        <v>Security Requirements</v>
      </c>
      <c r="V77" s="93">
        <v>0</v>
      </c>
      <c r="W77" s="93">
        <f>C77</f>
        <v>1.25</v>
      </c>
      <c r="X77" s="93">
        <v>0</v>
      </c>
      <c r="Y77" s="93">
        <v>0</v>
      </c>
      <c r="Z77" s="93">
        <v>0</v>
      </c>
    </row>
    <row r="78" spans="1:26" ht="25" customHeight="1" x14ac:dyDescent="0.15">
      <c r="A78" s="66" t="str">
        <f>Interview!$B$59</f>
        <v>Design</v>
      </c>
      <c r="B78" s="69" t="str">
        <f>Interview!$B$88</f>
        <v>Secure Architecture</v>
      </c>
      <c r="C78" s="93">
        <f>Roadmap!U64</f>
        <v>2.5</v>
      </c>
      <c r="D78" s="93">
        <f>Roadmap!T64</f>
        <v>0.5</v>
      </c>
      <c r="E78" s="93">
        <f>Roadmap!T65</f>
        <v>1</v>
      </c>
      <c r="F78" s="93">
        <f>Roadmap!T66</f>
        <v>1</v>
      </c>
      <c r="G78" s="6">
        <f t="shared" si="6"/>
        <v>0</v>
      </c>
      <c r="H78" s="3"/>
      <c r="I78" s="1"/>
      <c r="J78" s="1"/>
      <c r="K78" s="1"/>
      <c r="L78" s="1"/>
      <c r="M78" s="1"/>
      <c r="N78" s="1"/>
      <c r="T78" s="66" t="str">
        <f>Interview!$B$59</f>
        <v>Design</v>
      </c>
      <c r="U78" s="69" t="str">
        <f>Interview!$B$88</f>
        <v>Secure Architecture</v>
      </c>
      <c r="V78" s="93">
        <v>0</v>
      </c>
      <c r="W78" s="93">
        <f>C78</f>
        <v>2.5</v>
      </c>
      <c r="X78" s="93">
        <v>0</v>
      </c>
      <c r="Y78" s="93">
        <v>0</v>
      </c>
      <c r="Z78" s="93">
        <v>0</v>
      </c>
    </row>
    <row r="79" spans="1:26" ht="25" customHeight="1" x14ac:dyDescent="0.15">
      <c r="A79" s="277" t="str">
        <f>Interview!$B$102</f>
        <v>Implementation</v>
      </c>
      <c r="B79" s="278" t="str">
        <f>Interview!$B$103</f>
        <v>Secure Build</v>
      </c>
      <c r="C79" s="93">
        <f>Roadmap!U74</f>
        <v>0</v>
      </c>
      <c r="D79" s="93">
        <f>Roadmap!T74</f>
        <v>0</v>
      </c>
      <c r="E79" s="93">
        <f>Roadmap!T75</f>
        <v>0</v>
      </c>
      <c r="F79" s="93">
        <f>Roadmap!T76</f>
        <v>0</v>
      </c>
      <c r="G79" s="6"/>
      <c r="H79" s="3"/>
      <c r="I79" s="1"/>
      <c r="J79" s="1"/>
      <c r="K79" s="1"/>
      <c r="L79" s="1"/>
      <c r="M79" s="1"/>
      <c r="N79" s="1"/>
      <c r="T79" s="277" t="str">
        <f>Interview!$B$102</f>
        <v>Implementation</v>
      </c>
      <c r="U79" s="278" t="str">
        <f>Interview!$B$103</f>
        <v>Secure Build</v>
      </c>
      <c r="V79" s="93">
        <v>0</v>
      </c>
      <c r="W79" s="93">
        <v>0</v>
      </c>
      <c r="X79" s="93">
        <f>C79</f>
        <v>0</v>
      </c>
      <c r="Y79" s="93">
        <v>0</v>
      </c>
      <c r="Z79" s="93">
        <v>0</v>
      </c>
    </row>
    <row r="80" spans="1:26" ht="25" customHeight="1" x14ac:dyDescent="0.15">
      <c r="A80" s="277" t="str">
        <f>Interview!$B$102</f>
        <v>Implementation</v>
      </c>
      <c r="B80" s="278" t="str">
        <f>Interview!$B$117</f>
        <v>Secure Deployment</v>
      </c>
      <c r="C80" s="93">
        <f>Roadmap!U83</f>
        <v>0</v>
      </c>
      <c r="D80" s="93">
        <f>Roadmap!T83</f>
        <v>0</v>
      </c>
      <c r="E80" s="93">
        <f>Roadmap!T84</f>
        <v>0</v>
      </c>
      <c r="F80" s="93">
        <f>Roadmap!T85</f>
        <v>0</v>
      </c>
      <c r="G80" s="6"/>
      <c r="H80" s="3"/>
      <c r="I80" s="1"/>
      <c r="J80" s="1"/>
      <c r="K80" s="1"/>
      <c r="L80" s="1"/>
      <c r="M80" s="1"/>
      <c r="N80" s="1"/>
      <c r="T80" s="277" t="str">
        <f>Interview!$B$102</f>
        <v>Implementation</v>
      </c>
      <c r="U80" s="278" t="str">
        <f>Interview!$B$117</f>
        <v>Secure Deployment</v>
      </c>
      <c r="V80" s="93">
        <v>0</v>
      </c>
      <c r="W80" s="93">
        <v>0</v>
      </c>
      <c r="X80" s="93">
        <f>C80</f>
        <v>0</v>
      </c>
      <c r="Y80" s="93">
        <v>0</v>
      </c>
      <c r="Z80" s="93">
        <v>0</v>
      </c>
    </row>
    <row r="81" spans="1:26" ht="25" customHeight="1" x14ac:dyDescent="0.15">
      <c r="A81" s="277" t="str">
        <f>Interview!$B$102</f>
        <v>Implementation</v>
      </c>
      <c r="B81" s="278" t="str">
        <f>Interview!$B$131</f>
        <v>Defect Management</v>
      </c>
      <c r="C81" s="93">
        <f>Roadmap!U92</f>
        <v>0</v>
      </c>
      <c r="D81" s="93">
        <f>Roadmap!T92</f>
        <v>0</v>
      </c>
      <c r="E81" s="93">
        <f>Roadmap!T93</f>
        <v>0</v>
      </c>
      <c r="F81" s="93">
        <f>Roadmap!T94</f>
        <v>0</v>
      </c>
      <c r="G81" s="6"/>
      <c r="H81" s="3"/>
      <c r="I81" s="1"/>
      <c r="J81" s="1"/>
      <c r="K81" s="1"/>
      <c r="L81" s="1"/>
      <c r="M81" s="1"/>
      <c r="N81" s="1"/>
      <c r="T81" s="277" t="str">
        <f>Interview!$B$102</f>
        <v>Implementation</v>
      </c>
      <c r="U81" s="278" t="str">
        <f>Interview!$B$131</f>
        <v>Defect Management</v>
      </c>
      <c r="V81" s="93">
        <v>0</v>
      </c>
      <c r="W81" s="93">
        <v>0</v>
      </c>
      <c r="X81" s="93">
        <f>C81</f>
        <v>0</v>
      </c>
      <c r="Y81" s="93">
        <v>0</v>
      </c>
      <c r="Z81" s="93">
        <v>0</v>
      </c>
    </row>
    <row r="82" spans="1:26" ht="25" customHeight="1" x14ac:dyDescent="0.15">
      <c r="A82" s="70" t="str">
        <f>Interview!$B$145</f>
        <v>Verification</v>
      </c>
      <c r="B82" s="73" t="str">
        <f>Interview!$B$146</f>
        <v>Architecture Assessment</v>
      </c>
      <c r="C82" s="93">
        <f>Roadmap!U102</f>
        <v>0.125</v>
      </c>
      <c r="D82" s="93">
        <f>Roadmap!T102</f>
        <v>0</v>
      </c>
      <c r="E82" s="93">
        <f>Roadmap!T103</f>
        <v>0.125</v>
      </c>
      <c r="F82" s="93">
        <f>Roadmap!T104</f>
        <v>0</v>
      </c>
      <c r="G82" s="6">
        <f t="shared" si="6"/>
        <v>0</v>
      </c>
      <c r="H82" s="3"/>
      <c r="I82" s="1"/>
      <c r="J82" s="1"/>
      <c r="K82" s="1"/>
      <c r="L82" s="1"/>
      <c r="M82" s="1"/>
      <c r="N82" s="1"/>
      <c r="T82" s="70" t="str">
        <f>Interview!$B$145</f>
        <v>Verification</v>
      </c>
      <c r="U82" s="73" t="str">
        <f>Interview!$B$146</f>
        <v>Architecture Assessment</v>
      </c>
      <c r="V82" s="93">
        <v>0</v>
      </c>
      <c r="W82" s="93">
        <v>0</v>
      </c>
      <c r="X82" s="93">
        <v>0</v>
      </c>
      <c r="Y82" s="93">
        <f>C82</f>
        <v>0.125</v>
      </c>
      <c r="Z82" s="93">
        <v>0</v>
      </c>
    </row>
    <row r="83" spans="1:26" ht="25" customHeight="1" x14ac:dyDescent="0.15">
      <c r="A83" s="70" t="str">
        <f>Interview!$B$145</f>
        <v>Verification</v>
      </c>
      <c r="B83" s="73" t="str">
        <f>Interview!$B$160</f>
        <v>Requirements Testing</v>
      </c>
      <c r="C83" s="93">
        <f>Roadmap!U111</f>
        <v>0</v>
      </c>
      <c r="D83" s="93">
        <f>Roadmap!T111</f>
        <v>0</v>
      </c>
      <c r="E83" s="93">
        <f>Roadmap!T112</f>
        <v>0</v>
      </c>
      <c r="F83" s="93">
        <f>Roadmap!T113</f>
        <v>0</v>
      </c>
      <c r="G83" s="6">
        <f t="shared" si="6"/>
        <v>0</v>
      </c>
      <c r="H83" s="3"/>
      <c r="I83" s="1"/>
      <c r="J83" s="1"/>
      <c r="K83" s="1"/>
      <c r="L83" s="1"/>
      <c r="M83" s="1"/>
      <c r="N83" s="1"/>
      <c r="T83" s="70" t="str">
        <f>Interview!$B$145</f>
        <v>Verification</v>
      </c>
      <c r="U83" s="73" t="str">
        <f>Interview!$B$160</f>
        <v>Requirements Testing</v>
      </c>
      <c r="V83" s="93">
        <v>0</v>
      </c>
      <c r="W83" s="93">
        <v>0</v>
      </c>
      <c r="X83" s="93">
        <v>0</v>
      </c>
      <c r="Y83" s="93">
        <f>C83</f>
        <v>0</v>
      </c>
      <c r="Z83" s="93">
        <v>0</v>
      </c>
    </row>
    <row r="84" spans="1:26" ht="25" customHeight="1" x14ac:dyDescent="0.15">
      <c r="A84" s="70" t="str">
        <f>Interview!$B$145</f>
        <v>Verification</v>
      </c>
      <c r="B84" s="73" t="str">
        <f>Interview!$B$174</f>
        <v>Security Testing</v>
      </c>
      <c r="C84" s="93">
        <f>Roadmap!U120</f>
        <v>1</v>
      </c>
      <c r="D84" s="93">
        <f>Roadmap!T120</f>
        <v>0.625</v>
      </c>
      <c r="E84" s="93">
        <f>Roadmap!T121</f>
        <v>0.25</v>
      </c>
      <c r="F84" s="93">
        <f>Roadmap!T122</f>
        <v>0.125</v>
      </c>
      <c r="G84" s="6">
        <f t="shared" si="6"/>
        <v>1</v>
      </c>
      <c r="H84" s="3"/>
      <c r="I84" s="1"/>
      <c r="J84" s="1"/>
      <c r="K84" s="1"/>
      <c r="L84" s="1"/>
      <c r="M84" s="1"/>
      <c r="N84" s="1"/>
      <c r="T84" s="70" t="str">
        <f>Interview!$B$145</f>
        <v>Verification</v>
      </c>
      <c r="U84" s="73" t="str">
        <f>Interview!$B$174</f>
        <v>Security Testing</v>
      </c>
      <c r="V84" s="93">
        <v>0</v>
      </c>
      <c r="W84" s="93">
        <v>0</v>
      </c>
      <c r="X84" s="93">
        <v>0</v>
      </c>
      <c r="Y84" s="93">
        <f>C84</f>
        <v>1</v>
      </c>
      <c r="Z84" s="93">
        <v>0</v>
      </c>
    </row>
    <row r="85" spans="1:26" ht="25" customHeight="1" x14ac:dyDescent="0.15">
      <c r="A85" s="74" t="str">
        <f>Interview!$B$188</f>
        <v>Operations</v>
      </c>
      <c r="B85" s="77" t="str">
        <f>Interview!$B$189</f>
        <v>Incident Management</v>
      </c>
      <c r="C85" s="93">
        <f>Roadmap!U130</f>
        <v>0.75</v>
      </c>
      <c r="D85" s="93">
        <f>Roadmap!T130</f>
        <v>0.625</v>
      </c>
      <c r="E85" s="93">
        <f>Roadmap!T131</f>
        <v>0.125</v>
      </c>
      <c r="F85" s="93">
        <f>Roadmap!T132</f>
        <v>0</v>
      </c>
      <c r="G85" s="6">
        <f t="shared" si="6"/>
        <v>0</v>
      </c>
      <c r="H85" s="3"/>
      <c r="I85" s="1"/>
      <c r="J85" s="1"/>
      <c r="K85" s="1"/>
      <c r="L85" s="1"/>
      <c r="M85" s="1"/>
      <c r="N85" s="1"/>
      <c r="T85" s="74" t="str">
        <f>Interview!$B$188</f>
        <v>Operations</v>
      </c>
      <c r="U85" s="77" t="str">
        <f>Interview!$B$189</f>
        <v>Incident Management</v>
      </c>
      <c r="V85" s="93">
        <v>0</v>
      </c>
      <c r="W85" s="93">
        <v>0</v>
      </c>
      <c r="X85" s="93">
        <v>0</v>
      </c>
      <c r="Y85" s="93">
        <v>0</v>
      </c>
      <c r="Z85" s="93">
        <f>C85</f>
        <v>0.75</v>
      </c>
    </row>
    <row r="86" spans="1:26" ht="25" customHeight="1" x14ac:dyDescent="0.15">
      <c r="A86" s="74" t="str">
        <f>Interview!$B$188</f>
        <v>Operations</v>
      </c>
      <c r="B86" s="77" t="str">
        <f>Interview!$B$203</f>
        <v>Environment Management</v>
      </c>
      <c r="C86" s="93">
        <f>Roadmap!U139</f>
        <v>1.875</v>
      </c>
      <c r="D86" s="93">
        <f>Roadmap!T139</f>
        <v>0.625</v>
      </c>
      <c r="E86" s="93">
        <f>Roadmap!T140</f>
        <v>0.625</v>
      </c>
      <c r="F86" s="93">
        <f>Roadmap!T141</f>
        <v>0.625</v>
      </c>
      <c r="G86" s="6">
        <f t="shared" si="6"/>
        <v>0</v>
      </c>
      <c r="H86" s="3"/>
      <c r="I86" s="1"/>
      <c r="J86" s="1"/>
      <c r="K86" s="1"/>
      <c r="L86" s="1"/>
      <c r="M86" s="1"/>
      <c r="N86" s="1"/>
      <c r="T86" s="74" t="str">
        <f>Interview!$B$188</f>
        <v>Operations</v>
      </c>
      <c r="U86" s="77" t="str">
        <f>Interview!$B$203</f>
        <v>Environment Management</v>
      </c>
      <c r="V86" s="93">
        <v>0</v>
      </c>
      <c r="W86" s="93">
        <v>0</v>
      </c>
      <c r="X86" s="93">
        <v>0</v>
      </c>
      <c r="Y86" s="93">
        <v>0</v>
      </c>
      <c r="Z86" s="93">
        <f>C86</f>
        <v>1.875</v>
      </c>
    </row>
    <row r="87" spans="1:26" ht="25" customHeight="1" x14ac:dyDescent="0.15">
      <c r="A87" s="74" t="str">
        <f>Interview!$B$188</f>
        <v>Operations</v>
      </c>
      <c r="B87" s="77" t="str">
        <f>Interview!$B$217</f>
        <v>Operational Management</v>
      </c>
      <c r="C87" s="93">
        <f>Roadmap!U148</f>
        <v>2.25</v>
      </c>
      <c r="D87" s="93">
        <f>Roadmap!T148</f>
        <v>1</v>
      </c>
      <c r="E87" s="93">
        <f>Roadmap!T149</f>
        <v>1</v>
      </c>
      <c r="F87" s="93">
        <f>Roadmap!T150</f>
        <v>0.25</v>
      </c>
      <c r="G87" s="6">
        <f t="shared" si="6"/>
        <v>0</v>
      </c>
      <c r="H87" s="3"/>
      <c r="I87" s="1"/>
      <c r="J87" s="1"/>
      <c r="K87" s="1"/>
      <c r="L87" s="1"/>
      <c r="M87" s="1"/>
      <c r="N87" s="1"/>
      <c r="T87" s="74" t="str">
        <f>Interview!$B$188</f>
        <v>Operations</v>
      </c>
      <c r="U87" s="77" t="str">
        <f>Interview!$B$217</f>
        <v>Operational Management</v>
      </c>
      <c r="V87" s="93">
        <v>0</v>
      </c>
      <c r="W87" s="93">
        <v>0</v>
      </c>
      <c r="X87" s="93">
        <v>0</v>
      </c>
      <c r="Y87" s="93">
        <v>0</v>
      </c>
      <c r="Z87" s="93">
        <f>C87</f>
        <v>2.25</v>
      </c>
    </row>
    <row r="88" spans="1:26" ht="12.75" customHeight="1" x14ac:dyDescent="0.15">
      <c r="A88" s="1"/>
      <c r="B88" s="1"/>
      <c r="C88" s="1"/>
      <c r="D88" s="1"/>
      <c r="E88" s="1"/>
      <c r="F88" s="1"/>
      <c r="G88" s="1"/>
      <c r="H88" s="1"/>
      <c r="I88" s="1"/>
      <c r="J88" s="1"/>
      <c r="K88" s="1"/>
      <c r="L88" s="1"/>
      <c r="M88" s="1"/>
      <c r="N88" s="1"/>
    </row>
    <row r="89" spans="1:26" ht="12.75" customHeight="1" x14ac:dyDescent="0.15">
      <c r="A89" s="1"/>
      <c r="B89" s="1"/>
      <c r="C89" s="1"/>
      <c r="D89" s="1"/>
      <c r="E89" s="1"/>
      <c r="F89" s="1"/>
      <c r="G89" s="1"/>
      <c r="H89" s="1"/>
      <c r="I89" s="1"/>
      <c r="J89" s="1"/>
      <c r="K89" s="1"/>
      <c r="L89" s="1"/>
      <c r="M89" s="1"/>
      <c r="N89" s="1"/>
    </row>
    <row r="90" spans="1:26" ht="12.75" customHeight="1" thickBot="1" x14ac:dyDescent="0.2">
      <c r="K90" s="1"/>
    </row>
    <row r="91" spans="1:26" ht="25" customHeight="1" thickBot="1" x14ac:dyDescent="0.2">
      <c r="A91" s="577" t="s">
        <v>94</v>
      </c>
      <c r="B91" s="578"/>
      <c r="C91" s="578"/>
      <c r="D91" s="578"/>
      <c r="E91" s="578"/>
      <c r="F91" s="578"/>
      <c r="G91" s="578"/>
      <c r="H91" s="578"/>
      <c r="I91" s="578"/>
      <c r="J91" s="579"/>
      <c r="K91" s="1"/>
      <c r="L91" s="577" t="s">
        <v>94</v>
      </c>
      <c r="M91" s="578"/>
      <c r="N91" s="578"/>
      <c r="O91" s="578"/>
      <c r="P91" s="578"/>
      <c r="Q91" s="578"/>
      <c r="R91" s="579"/>
      <c r="T91" s="580" t="s">
        <v>94</v>
      </c>
      <c r="U91" s="581"/>
      <c r="V91" s="581"/>
      <c r="W91" s="581"/>
      <c r="X91" s="581"/>
      <c r="Y91" s="581"/>
      <c r="Z91" s="582"/>
    </row>
    <row r="92" spans="1:26" ht="12" customHeight="1" x14ac:dyDescent="0.15">
      <c r="A92" s="2"/>
      <c r="B92" s="2"/>
      <c r="C92" s="2"/>
      <c r="D92" s="593" t="s">
        <v>86</v>
      </c>
      <c r="E92" s="594"/>
      <c r="F92" s="595"/>
      <c r="G92" s="1"/>
      <c r="H92" s="1"/>
      <c r="I92" s="1"/>
      <c r="J92" s="1"/>
      <c r="K92" s="1"/>
      <c r="L92" s="1"/>
      <c r="M92" s="1"/>
      <c r="N92" s="1"/>
    </row>
    <row r="93" spans="1:26" ht="25" customHeight="1" x14ac:dyDescent="0.15">
      <c r="A93" s="7" t="s">
        <v>0</v>
      </c>
      <c r="B93" s="7" t="s">
        <v>1</v>
      </c>
      <c r="C93" s="7" t="s">
        <v>55</v>
      </c>
      <c r="D93" s="119">
        <v>1</v>
      </c>
      <c r="E93" s="119">
        <v>2</v>
      </c>
      <c r="F93" s="119">
        <v>3</v>
      </c>
      <c r="G93" s="8" t="s">
        <v>5</v>
      </c>
      <c r="H93" s="1"/>
      <c r="I93" s="7" t="s">
        <v>0</v>
      </c>
      <c r="J93" s="7" t="s">
        <v>55</v>
      </c>
      <c r="K93" s="1"/>
      <c r="L93" s="1"/>
      <c r="M93" s="1"/>
      <c r="N93" s="1"/>
      <c r="V93" t="str">
        <f>T94</f>
        <v>Governance</v>
      </c>
      <c r="W93" t="str">
        <f>T97</f>
        <v>Design</v>
      </c>
      <c r="X93" t="str">
        <f>T100</f>
        <v>Implementation</v>
      </c>
      <c r="Y93" t="str">
        <f>T103</f>
        <v>Verification</v>
      </c>
      <c r="Z93" t="str">
        <f>T106</f>
        <v>Operations</v>
      </c>
    </row>
    <row r="94" spans="1:26" ht="25" customHeight="1" x14ac:dyDescent="0.15">
      <c r="A94" s="61" t="str">
        <f>Interview!$B$16</f>
        <v>Governance</v>
      </c>
      <c r="B94" s="65" t="str">
        <f>Interview!$D$17</f>
        <v>Strategy &amp; Metrics</v>
      </c>
      <c r="C94" s="93">
        <f>Roadmap!Y18</f>
        <v>0.375</v>
      </c>
      <c r="D94" s="93">
        <f>Roadmap!X18</f>
        <v>0.125</v>
      </c>
      <c r="E94" s="93">
        <f>Roadmap!X19</f>
        <v>0.125</v>
      </c>
      <c r="F94" s="93">
        <f>Roadmap!X20</f>
        <v>0.125</v>
      </c>
      <c r="G94" s="6">
        <f t="shared" ref="G94:G108" si="7">(((((IF((C94="0+"),0.5,0)+IF((C94=1),1,0))+IF((C94="1+"),1.5,0))+IF((C94=2),2,0))+IF((C94="2+"),2.5,0))+IF((C94=3),3,0))+IF((C94="3+"),3.5,0)</f>
        <v>0</v>
      </c>
      <c r="H94" s="3"/>
      <c r="I94" s="61" t="str">
        <f>A94</f>
        <v>Governance</v>
      </c>
      <c r="J94" s="93">
        <f>AVERAGE(C94:C96)</f>
        <v>0.79166666666666663</v>
      </c>
      <c r="K94" s="1"/>
      <c r="L94" s="1"/>
      <c r="M94" s="1"/>
      <c r="N94" s="1"/>
      <c r="T94" s="61" t="str">
        <f>Interview!$B$16</f>
        <v>Governance</v>
      </c>
      <c r="U94" s="65" t="str">
        <f>Interview!$D$17</f>
        <v>Strategy &amp; Metrics</v>
      </c>
      <c r="V94" s="93">
        <f>C94</f>
        <v>0.375</v>
      </c>
      <c r="W94" s="93">
        <v>0</v>
      </c>
      <c r="X94" s="93">
        <v>0</v>
      </c>
      <c r="Y94" s="93">
        <v>0</v>
      </c>
      <c r="Z94" s="93">
        <v>0</v>
      </c>
    </row>
    <row r="95" spans="1:26" ht="25" customHeight="1" x14ac:dyDescent="0.15">
      <c r="A95" s="61" t="str">
        <f>Interview!$B$16</f>
        <v>Governance</v>
      </c>
      <c r="B95" s="65" t="str">
        <f>Interview!$B$31</f>
        <v>Policy &amp; Compliance</v>
      </c>
      <c r="C95" s="93">
        <f>Roadmap!Y27</f>
        <v>1.25</v>
      </c>
      <c r="D95" s="93">
        <f>Roadmap!X27</f>
        <v>0.625</v>
      </c>
      <c r="E95" s="93">
        <f>Roadmap!X28</f>
        <v>0.125</v>
      </c>
      <c r="F95" s="93">
        <f>Roadmap!X29</f>
        <v>0.5</v>
      </c>
      <c r="G95" s="6">
        <f t="shared" si="7"/>
        <v>0</v>
      </c>
      <c r="H95" s="3"/>
      <c r="I95" s="66" t="str">
        <f>A97</f>
        <v>Design</v>
      </c>
      <c r="J95" s="93">
        <f>AVERAGE(C97:C99)</f>
        <v>1.3333333333333333</v>
      </c>
      <c r="K95" s="1"/>
      <c r="L95" s="1"/>
      <c r="M95" s="1"/>
      <c r="N95" s="1"/>
      <c r="T95" s="61" t="str">
        <f>Interview!$B$16</f>
        <v>Governance</v>
      </c>
      <c r="U95" s="65" t="str">
        <f>Interview!$B$31</f>
        <v>Policy &amp; Compliance</v>
      </c>
      <c r="V95" s="93">
        <f>C95</f>
        <v>1.25</v>
      </c>
      <c r="W95" s="93">
        <v>0</v>
      </c>
      <c r="X95" s="93">
        <v>0</v>
      </c>
      <c r="Y95" s="93">
        <v>0</v>
      </c>
      <c r="Z95" s="93">
        <v>0</v>
      </c>
    </row>
    <row r="96" spans="1:26" ht="25" customHeight="1" x14ac:dyDescent="0.15">
      <c r="A96" s="61" t="str">
        <f>Interview!$B$16</f>
        <v>Governance</v>
      </c>
      <c r="B96" s="65" t="str">
        <f>Interview!$B$45</f>
        <v>Education &amp; Guidance</v>
      </c>
      <c r="C96" s="93">
        <f>Roadmap!Y36</f>
        <v>0.75</v>
      </c>
      <c r="D96" s="93">
        <f>Roadmap!X36</f>
        <v>0.125</v>
      </c>
      <c r="E96" s="93">
        <f>Roadmap!X37</f>
        <v>0.125</v>
      </c>
      <c r="F96" s="93">
        <f>Roadmap!X38</f>
        <v>0.5</v>
      </c>
      <c r="G96" s="6">
        <f t="shared" si="7"/>
        <v>0</v>
      </c>
      <c r="H96" s="3"/>
      <c r="I96" s="277" t="str">
        <f>A100</f>
        <v>Implementation</v>
      </c>
      <c r="J96" s="93">
        <f>AVERAGE(C100:C102)</f>
        <v>0</v>
      </c>
      <c r="K96" s="1"/>
      <c r="L96" s="1"/>
      <c r="M96" s="1"/>
      <c r="N96" s="1"/>
      <c r="T96" s="61" t="str">
        <f>Interview!$B$16</f>
        <v>Governance</v>
      </c>
      <c r="U96" s="65" t="str">
        <f>Interview!$B$45</f>
        <v>Education &amp; Guidance</v>
      </c>
      <c r="V96" s="93">
        <f>C96</f>
        <v>0.75</v>
      </c>
      <c r="W96" s="93">
        <v>0</v>
      </c>
      <c r="X96" s="93">
        <v>0</v>
      </c>
      <c r="Y96" s="93">
        <v>0</v>
      </c>
      <c r="Z96" s="93">
        <v>0</v>
      </c>
    </row>
    <row r="97" spans="1:26" ht="25" customHeight="1" x14ac:dyDescent="0.15">
      <c r="A97" s="66" t="str">
        <f>Interview!$B$59</f>
        <v>Design</v>
      </c>
      <c r="B97" s="69" t="str">
        <f>Interview!$B$60</f>
        <v>Threat Assessment</v>
      </c>
      <c r="C97" s="93">
        <f>Roadmap!Y46</f>
        <v>0.25</v>
      </c>
      <c r="D97" s="93">
        <f>Roadmap!X46</f>
        <v>0.125</v>
      </c>
      <c r="E97" s="93">
        <f>Roadmap!X47</f>
        <v>0</v>
      </c>
      <c r="F97" s="93">
        <f>Roadmap!X48</f>
        <v>0.125</v>
      </c>
      <c r="G97" s="6">
        <f t="shared" si="7"/>
        <v>0</v>
      </c>
      <c r="H97" s="3"/>
      <c r="I97" s="70" t="str">
        <f>A103</f>
        <v>Verification</v>
      </c>
      <c r="J97" s="93">
        <f>AVERAGE(C103:C105)</f>
        <v>0.375</v>
      </c>
      <c r="K97" s="1"/>
      <c r="L97" s="1"/>
      <c r="M97" s="1"/>
      <c r="N97" s="1"/>
      <c r="T97" s="66" t="str">
        <f>Interview!$B$59</f>
        <v>Design</v>
      </c>
      <c r="U97" s="69" t="str">
        <f>Interview!$B$60</f>
        <v>Threat Assessment</v>
      </c>
      <c r="V97" s="93">
        <v>0</v>
      </c>
      <c r="W97" s="93">
        <f>C97</f>
        <v>0.25</v>
      </c>
      <c r="X97" s="93">
        <v>0</v>
      </c>
      <c r="Y97" s="93">
        <v>0</v>
      </c>
      <c r="Z97" s="93">
        <v>0</v>
      </c>
    </row>
    <row r="98" spans="1:26" ht="25" customHeight="1" x14ac:dyDescent="0.15">
      <c r="A98" s="66" t="str">
        <f>Interview!$B$59</f>
        <v>Design</v>
      </c>
      <c r="B98" s="69" t="str">
        <f>Interview!$B$74</f>
        <v>Security Requirements</v>
      </c>
      <c r="C98" s="93">
        <f>Roadmap!Y55</f>
        <v>1.25</v>
      </c>
      <c r="D98" s="93">
        <f>Roadmap!X55</f>
        <v>0.5</v>
      </c>
      <c r="E98" s="93">
        <f>Roadmap!X56</f>
        <v>0.5</v>
      </c>
      <c r="F98" s="93">
        <f>Roadmap!X57</f>
        <v>0.25</v>
      </c>
      <c r="G98" s="6">
        <f t="shared" si="7"/>
        <v>0</v>
      </c>
      <c r="H98" s="3"/>
      <c r="I98" s="74" t="str">
        <f>A106</f>
        <v>Operations</v>
      </c>
      <c r="J98" s="93">
        <f>AVERAGE(C106:C108)</f>
        <v>1.625</v>
      </c>
      <c r="K98" s="1"/>
      <c r="L98" s="1"/>
      <c r="M98" s="1"/>
      <c r="N98" s="1"/>
      <c r="T98" s="66" t="str">
        <f>Interview!$B$59</f>
        <v>Design</v>
      </c>
      <c r="U98" s="69" t="str">
        <f>Interview!$B$74</f>
        <v>Security Requirements</v>
      </c>
      <c r="V98" s="93">
        <v>0</v>
      </c>
      <c r="W98" s="93">
        <f>C98</f>
        <v>1.25</v>
      </c>
      <c r="X98" s="93">
        <v>0</v>
      </c>
      <c r="Y98" s="93">
        <v>0</v>
      </c>
      <c r="Z98" s="93">
        <v>0</v>
      </c>
    </row>
    <row r="99" spans="1:26" ht="25" customHeight="1" x14ac:dyDescent="0.15">
      <c r="A99" s="66" t="str">
        <f>Interview!$B$59</f>
        <v>Design</v>
      </c>
      <c r="B99" s="69" t="str">
        <f>Interview!$B$88</f>
        <v>Secure Architecture</v>
      </c>
      <c r="C99" s="93">
        <f>Roadmap!Y64</f>
        <v>2.5</v>
      </c>
      <c r="D99" s="93">
        <f>Roadmap!X64</f>
        <v>0.5</v>
      </c>
      <c r="E99" s="93">
        <f>Roadmap!X65</f>
        <v>1</v>
      </c>
      <c r="F99" s="93">
        <f>Roadmap!X66</f>
        <v>1</v>
      </c>
      <c r="G99" s="6">
        <f t="shared" si="7"/>
        <v>0</v>
      </c>
      <c r="H99" s="3"/>
      <c r="I99" s="1"/>
      <c r="J99" s="1"/>
      <c r="K99" s="1"/>
      <c r="L99" s="1"/>
      <c r="M99" s="1"/>
      <c r="N99" s="1"/>
      <c r="T99" s="66" t="str">
        <f>Interview!$B$59</f>
        <v>Design</v>
      </c>
      <c r="U99" s="69" t="str">
        <f>Interview!$B$88</f>
        <v>Secure Architecture</v>
      </c>
      <c r="V99" s="93">
        <v>0</v>
      </c>
      <c r="W99" s="93">
        <f>C99</f>
        <v>2.5</v>
      </c>
      <c r="X99" s="93">
        <v>0</v>
      </c>
      <c r="Y99" s="93">
        <v>0</v>
      </c>
      <c r="Z99" s="93">
        <v>0</v>
      </c>
    </row>
    <row r="100" spans="1:26" ht="25" customHeight="1" x14ac:dyDescent="0.15">
      <c r="A100" s="277" t="str">
        <f>Interview!$B$102</f>
        <v>Implementation</v>
      </c>
      <c r="B100" s="278" t="str">
        <f>Interview!$B$103</f>
        <v>Secure Build</v>
      </c>
      <c r="C100" s="93">
        <f>Roadmap!Y74</f>
        <v>0</v>
      </c>
      <c r="D100" s="93">
        <f>Roadmap!X74</f>
        <v>0</v>
      </c>
      <c r="E100" s="93">
        <f>Roadmap!X75</f>
        <v>0</v>
      </c>
      <c r="F100" s="93">
        <f>Roadmap!X76</f>
        <v>0</v>
      </c>
      <c r="G100" s="6"/>
      <c r="H100" s="3"/>
      <c r="I100" s="1"/>
      <c r="J100" s="1"/>
      <c r="K100" s="1"/>
      <c r="L100" s="1"/>
      <c r="M100" s="1"/>
      <c r="N100" s="1"/>
      <c r="T100" s="277" t="str">
        <f>Interview!$B$102</f>
        <v>Implementation</v>
      </c>
      <c r="U100" s="278" t="str">
        <f>Interview!$B$103</f>
        <v>Secure Build</v>
      </c>
      <c r="V100" s="93">
        <v>0</v>
      </c>
      <c r="W100" s="93">
        <v>0</v>
      </c>
      <c r="X100" s="93">
        <f>C100</f>
        <v>0</v>
      </c>
      <c r="Y100" s="93">
        <v>0</v>
      </c>
      <c r="Z100" s="93">
        <v>0</v>
      </c>
    </row>
    <row r="101" spans="1:26" ht="25" customHeight="1" x14ac:dyDescent="0.15">
      <c r="A101" s="277" t="str">
        <f>Interview!$B$102</f>
        <v>Implementation</v>
      </c>
      <c r="B101" s="278" t="str">
        <f>Interview!$B$117</f>
        <v>Secure Deployment</v>
      </c>
      <c r="C101" s="93">
        <f>Roadmap!Y83</f>
        <v>0</v>
      </c>
      <c r="D101" s="93">
        <f>Roadmap!X83</f>
        <v>0</v>
      </c>
      <c r="E101" s="93">
        <f>Roadmap!X84</f>
        <v>0</v>
      </c>
      <c r="F101" s="93">
        <f>Roadmap!X85</f>
        <v>0</v>
      </c>
      <c r="G101" s="6"/>
      <c r="H101" s="3"/>
      <c r="I101" s="1"/>
      <c r="J101" s="1"/>
      <c r="K101" s="1"/>
      <c r="L101" s="1"/>
      <c r="M101" s="1"/>
      <c r="N101" s="1"/>
      <c r="T101" s="277" t="str">
        <f>Interview!$B$102</f>
        <v>Implementation</v>
      </c>
      <c r="U101" s="278" t="str">
        <f>Interview!$B$117</f>
        <v>Secure Deployment</v>
      </c>
      <c r="V101" s="93">
        <v>0</v>
      </c>
      <c r="W101" s="93">
        <v>0</v>
      </c>
      <c r="X101" s="93">
        <f>C101</f>
        <v>0</v>
      </c>
      <c r="Y101" s="93">
        <v>0</v>
      </c>
      <c r="Z101" s="93">
        <v>0</v>
      </c>
    </row>
    <row r="102" spans="1:26" ht="25" customHeight="1" x14ac:dyDescent="0.15">
      <c r="A102" s="277" t="str">
        <f>Interview!$B$102</f>
        <v>Implementation</v>
      </c>
      <c r="B102" s="278" t="str">
        <f>Interview!$B$131</f>
        <v>Defect Management</v>
      </c>
      <c r="C102" s="93">
        <f>Roadmap!Y92</f>
        <v>0</v>
      </c>
      <c r="D102" s="93">
        <f>Roadmap!X92</f>
        <v>0</v>
      </c>
      <c r="E102" s="93">
        <f>Roadmap!X93</f>
        <v>0</v>
      </c>
      <c r="F102" s="93">
        <f>Roadmap!X94</f>
        <v>0</v>
      </c>
      <c r="G102" s="6"/>
      <c r="H102" s="3"/>
      <c r="I102" s="1"/>
      <c r="J102" s="1"/>
      <c r="K102" s="1"/>
      <c r="L102" s="1"/>
      <c r="M102" s="1"/>
      <c r="N102" s="1"/>
      <c r="T102" s="277" t="str">
        <f>Interview!$B$102</f>
        <v>Implementation</v>
      </c>
      <c r="U102" s="278" t="str">
        <f>Interview!$B$131</f>
        <v>Defect Management</v>
      </c>
      <c r="V102" s="93">
        <v>0</v>
      </c>
      <c r="W102" s="93">
        <v>0</v>
      </c>
      <c r="X102" s="93">
        <f>C102</f>
        <v>0</v>
      </c>
      <c r="Y102" s="93">
        <v>0</v>
      </c>
      <c r="Z102" s="93">
        <v>0</v>
      </c>
    </row>
    <row r="103" spans="1:26" ht="25" customHeight="1" x14ac:dyDescent="0.15">
      <c r="A103" s="70" t="str">
        <f>Interview!$B$145</f>
        <v>Verification</v>
      </c>
      <c r="B103" s="73" t="str">
        <f>Interview!$B$146</f>
        <v>Architecture Assessment</v>
      </c>
      <c r="C103" s="93">
        <f>Roadmap!Y102</f>
        <v>0.125</v>
      </c>
      <c r="D103" s="93">
        <f>Roadmap!X102</f>
        <v>0</v>
      </c>
      <c r="E103" s="93">
        <f>Roadmap!X103</f>
        <v>0.125</v>
      </c>
      <c r="F103" s="93">
        <f>Roadmap!X104</f>
        <v>0</v>
      </c>
      <c r="G103" s="6">
        <f t="shared" si="7"/>
        <v>0</v>
      </c>
      <c r="H103" s="3"/>
      <c r="I103" s="1"/>
      <c r="J103" s="1"/>
      <c r="K103" s="1"/>
      <c r="L103" s="1"/>
      <c r="M103" s="1"/>
      <c r="N103" s="1"/>
      <c r="T103" s="70" t="str">
        <f>Interview!$B$145</f>
        <v>Verification</v>
      </c>
      <c r="U103" s="73" t="str">
        <f>Interview!$B$146</f>
        <v>Architecture Assessment</v>
      </c>
      <c r="V103" s="93">
        <v>0</v>
      </c>
      <c r="W103" s="93">
        <v>0</v>
      </c>
      <c r="X103" s="93">
        <v>0</v>
      </c>
      <c r="Y103" s="93">
        <f>C103</f>
        <v>0.125</v>
      </c>
      <c r="Z103" s="93">
        <v>0</v>
      </c>
    </row>
    <row r="104" spans="1:26" ht="25" customHeight="1" x14ac:dyDescent="0.15">
      <c r="A104" s="70" t="str">
        <f>Interview!$B$145</f>
        <v>Verification</v>
      </c>
      <c r="B104" s="73" t="str">
        <f>Interview!$B$160</f>
        <v>Requirements Testing</v>
      </c>
      <c r="C104" s="93">
        <f>Roadmap!Y111</f>
        <v>0</v>
      </c>
      <c r="D104" s="93">
        <f>Roadmap!X111</f>
        <v>0</v>
      </c>
      <c r="E104" s="93">
        <f>Roadmap!X112</f>
        <v>0</v>
      </c>
      <c r="F104" s="93">
        <f>Roadmap!X113</f>
        <v>0</v>
      </c>
      <c r="G104" s="6">
        <f t="shared" si="7"/>
        <v>0</v>
      </c>
      <c r="H104" s="3"/>
      <c r="I104" s="1"/>
      <c r="J104" s="1"/>
      <c r="K104" s="1"/>
      <c r="L104" s="1"/>
      <c r="M104" s="1"/>
      <c r="N104" s="1"/>
      <c r="T104" s="70" t="str">
        <f>Interview!$B$145</f>
        <v>Verification</v>
      </c>
      <c r="U104" s="73" t="str">
        <f>Interview!$B$160</f>
        <v>Requirements Testing</v>
      </c>
      <c r="V104" s="93">
        <v>0</v>
      </c>
      <c r="W104" s="93">
        <v>0</v>
      </c>
      <c r="X104" s="93">
        <v>0</v>
      </c>
      <c r="Y104" s="93">
        <f>C104</f>
        <v>0</v>
      </c>
      <c r="Z104" s="93">
        <v>0</v>
      </c>
    </row>
    <row r="105" spans="1:26" ht="25" customHeight="1" x14ac:dyDescent="0.15">
      <c r="A105" s="70" t="str">
        <f>Interview!$B$145</f>
        <v>Verification</v>
      </c>
      <c r="B105" s="73" t="str">
        <f>Interview!$B$174</f>
        <v>Security Testing</v>
      </c>
      <c r="C105" s="93">
        <f>Roadmap!Y120</f>
        <v>1</v>
      </c>
      <c r="D105" s="93">
        <f>Roadmap!X120</f>
        <v>0.625</v>
      </c>
      <c r="E105" s="93">
        <f>Roadmap!X121</f>
        <v>0.25</v>
      </c>
      <c r="F105" s="93">
        <f>Roadmap!X122</f>
        <v>0.125</v>
      </c>
      <c r="G105" s="6">
        <f t="shared" si="7"/>
        <v>1</v>
      </c>
      <c r="H105" s="3"/>
      <c r="I105" s="1"/>
      <c r="J105" s="1"/>
      <c r="K105" s="1"/>
      <c r="L105" s="1"/>
      <c r="M105" s="1"/>
      <c r="N105" s="1"/>
      <c r="T105" s="70" t="str">
        <f>Interview!$B$145</f>
        <v>Verification</v>
      </c>
      <c r="U105" s="73" t="str">
        <f>Interview!$B$174</f>
        <v>Security Testing</v>
      </c>
      <c r="V105" s="93">
        <v>0</v>
      </c>
      <c r="W105" s="93">
        <v>0</v>
      </c>
      <c r="X105" s="93">
        <v>0</v>
      </c>
      <c r="Y105" s="93">
        <f>C105</f>
        <v>1</v>
      </c>
      <c r="Z105" s="93">
        <v>0</v>
      </c>
    </row>
    <row r="106" spans="1:26" ht="25" customHeight="1" x14ac:dyDescent="0.15">
      <c r="A106" s="74" t="str">
        <f>Interview!$B$188</f>
        <v>Operations</v>
      </c>
      <c r="B106" s="77" t="str">
        <f>Interview!$B$189</f>
        <v>Incident Management</v>
      </c>
      <c r="C106" s="93">
        <f>Roadmap!Y130</f>
        <v>0.75</v>
      </c>
      <c r="D106" s="93">
        <f>Roadmap!X130</f>
        <v>0.625</v>
      </c>
      <c r="E106" s="93">
        <f>Roadmap!X131</f>
        <v>0.125</v>
      </c>
      <c r="F106" s="93">
        <f>Roadmap!X132</f>
        <v>0</v>
      </c>
      <c r="G106" s="6">
        <f t="shared" si="7"/>
        <v>0</v>
      </c>
      <c r="H106" s="3"/>
      <c r="I106" s="1"/>
      <c r="J106" s="1"/>
      <c r="K106" s="1"/>
      <c r="L106" s="1"/>
      <c r="M106" s="1"/>
      <c r="N106" s="1"/>
      <c r="T106" s="74" t="str">
        <f>Interview!$B$188</f>
        <v>Operations</v>
      </c>
      <c r="U106" s="77" t="str">
        <f>Interview!$B$189</f>
        <v>Incident Management</v>
      </c>
      <c r="V106" s="93">
        <v>0</v>
      </c>
      <c r="W106" s="93">
        <v>0</v>
      </c>
      <c r="X106" s="93">
        <v>0</v>
      </c>
      <c r="Y106" s="93">
        <v>0</v>
      </c>
      <c r="Z106" s="93">
        <f>C106</f>
        <v>0.75</v>
      </c>
    </row>
    <row r="107" spans="1:26" ht="25" customHeight="1" x14ac:dyDescent="0.15">
      <c r="A107" s="74" t="str">
        <f>Interview!$B$188</f>
        <v>Operations</v>
      </c>
      <c r="B107" s="77" t="str">
        <f>Interview!$B$203</f>
        <v>Environment Management</v>
      </c>
      <c r="C107" s="93">
        <f>Roadmap!Y139</f>
        <v>1.875</v>
      </c>
      <c r="D107" s="93">
        <f>Roadmap!X139</f>
        <v>0.625</v>
      </c>
      <c r="E107" s="93">
        <f>Roadmap!X140</f>
        <v>0.625</v>
      </c>
      <c r="F107" s="93">
        <f>Roadmap!X141</f>
        <v>0.625</v>
      </c>
      <c r="G107" s="6">
        <f t="shared" si="7"/>
        <v>0</v>
      </c>
      <c r="H107" s="3"/>
      <c r="I107" s="1"/>
      <c r="J107" s="1"/>
      <c r="K107" s="1"/>
      <c r="L107" s="1"/>
      <c r="M107" s="1"/>
      <c r="N107" s="1"/>
      <c r="T107" s="74" t="str">
        <f>Interview!$B$188</f>
        <v>Operations</v>
      </c>
      <c r="U107" s="77" t="str">
        <f>Interview!$B$203</f>
        <v>Environment Management</v>
      </c>
      <c r="V107" s="93">
        <v>0</v>
      </c>
      <c r="W107" s="93">
        <v>0</v>
      </c>
      <c r="X107" s="93">
        <v>0</v>
      </c>
      <c r="Y107" s="93">
        <v>0</v>
      </c>
      <c r="Z107" s="93">
        <f>C107</f>
        <v>1.875</v>
      </c>
    </row>
    <row r="108" spans="1:26" ht="25" customHeight="1" x14ac:dyDescent="0.15">
      <c r="A108" s="74" t="str">
        <f>Interview!$B$188</f>
        <v>Operations</v>
      </c>
      <c r="B108" s="77" t="str">
        <f>Interview!$B$217</f>
        <v>Operational Management</v>
      </c>
      <c r="C108" s="93">
        <f>Roadmap!Y148</f>
        <v>2.25</v>
      </c>
      <c r="D108" s="93">
        <f>Roadmap!X148</f>
        <v>1</v>
      </c>
      <c r="E108" s="93">
        <f>Roadmap!X149</f>
        <v>1</v>
      </c>
      <c r="F108" s="93">
        <f>Roadmap!X150</f>
        <v>0.25</v>
      </c>
      <c r="G108" s="6">
        <f t="shared" si="7"/>
        <v>0</v>
      </c>
      <c r="H108" s="3"/>
      <c r="I108" s="1"/>
      <c r="J108" s="1"/>
      <c r="K108" s="1"/>
      <c r="L108" s="1"/>
      <c r="M108" s="1"/>
      <c r="N108" s="1"/>
      <c r="T108" s="74" t="str">
        <f>Interview!$B$188</f>
        <v>Operations</v>
      </c>
      <c r="U108" s="77" t="str">
        <f>Interview!$B$217</f>
        <v>Operational Management</v>
      </c>
      <c r="V108" s="93">
        <v>0</v>
      </c>
      <c r="W108" s="93">
        <v>0</v>
      </c>
      <c r="X108" s="93">
        <v>0</v>
      </c>
      <c r="Y108" s="93">
        <v>0</v>
      </c>
      <c r="Z108" s="93">
        <f>C108</f>
        <v>2.25</v>
      </c>
    </row>
    <row r="109" spans="1:26" ht="12.75" customHeight="1" x14ac:dyDescent="0.15">
      <c r="A109" s="1"/>
      <c r="B109" s="1"/>
      <c r="C109" s="1"/>
      <c r="D109" s="1"/>
      <c r="E109" s="1"/>
      <c r="F109" s="1"/>
      <c r="G109" s="1"/>
      <c r="H109" s="1"/>
      <c r="I109" s="1"/>
      <c r="J109" s="1"/>
      <c r="K109" s="1"/>
      <c r="L109" s="1"/>
      <c r="M109" s="1"/>
      <c r="N109" s="1"/>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x14ac:dyDescent="0.15"/>
  <cols>
    <col min="1" max="1" width="16.83203125" style="22" hidden="1" customWidth="1"/>
    <col min="2" max="2" width="13.5" style="103" customWidth="1"/>
    <col min="3" max="3" width="7.33203125" style="103" customWidth="1"/>
    <col min="4" max="4" width="68" style="132" customWidth="1"/>
    <col min="5" max="5" width="5.1640625" style="147" hidden="1" customWidth="1"/>
    <col min="6" max="6" width="39" style="26" customWidth="1"/>
    <col min="7" max="7" width="8.6640625" style="22" hidden="1" customWidth="1"/>
    <col min="8" max="8" width="8.6640625" style="116"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39" t="str">
        <f>CONCATENATE("SAMM Assessment Interview: ",D11," For ",D10)</f>
        <v>SAMM Assessment Interview:  For COMPANY</v>
      </c>
      <c r="C1" s="201"/>
      <c r="D1" s="210"/>
      <c r="E1" s="210"/>
      <c r="F1" s="210"/>
      <c r="G1" s="210"/>
      <c r="H1" s="210"/>
      <c r="I1" s="10"/>
      <c r="J1" s="1"/>
      <c r="K1" s="1"/>
      <c r="L1" s="1"/>
      <c r="M1" s="1"/>
      <c r="N1" s="1"/>
      <c r="O1" s="1"/>
      <c r="P1" s="1"/>
      <c r="Q1" s="1"/>
      <c r="R1" s="1"/>
      <c r="S1" s="1"/>
      <c r="T1" s="1"/>
      <c r="U1" s="1"/>
      <c r="V1" s="1"/>
      <c r="W1" s="1"/>
      <c r="X1" s="1"/>
      <c r="Y1" s="1"/>
    </row>
    <row r="2" spans="1:25" ht="15" thickBot="1" x14ac:dyDescent="0.2">
      <c r="A2"/>
      <c r="B2" s="240"/>
      <c r="C2" s="121"/>
      <c r="D2" s="1"/>
      <c r="E2" s="19"/>
      <c r="F2" s="23"/>
      <c r="G2" s="19"/>
      <c r="H2" s="105"/>
      <c r="I2" s="10"/>
      <c r="J2" s="1"/>
      <c r="K2" s="1"/>
      <c r="L2" s="1"/>
      <c r="M2" s="1"/>
      <c r="N2" s="1"/>
      <c r="O2" s="1"/>
      <c r="P2" s="1"/>
      <c r="Q2" s="1"/>
      <c r="R2" s="1"/>
      <c r="S2" s="1"/>
      <c r="T2" s="1"/>
      <c r="U2" s="1"/>
      <c r="V2" s="1"/>
      <c r="W2" s="1"/>
      <c r="X2" s="1"/>
      <c r="Y2" s="1"/>
    </row>
    <row r="3" spans="1:25" x14ac:dyDescent="0.15">
      <c r="A3"/>
      <c r="B3" s="241" t="s">
        <v>11</v>
      </c>
      <c r="C3" s="216"/>
      <c r="D3" s="211"/>
      <c r="E3" s="211"/>
      <c r="F3" s="211"/>
      <c r="G3" s="211"/>
      <c r="H3" s="211"/>
      <c r="I3" s="10"/>
      <c r="J3" s="1"/>
      <c r="K3" s="1"/>
      <c r="L3" s="1"/>
      <c r="M3" s="1"/>
      <c r="N3" s="1"/>
      <c r="O3" s="1"/>
      <c r="P3" s="1"/>
      <c r="Q3" s="1"/>
      <c r="R3" s="1"/>
      <c r="S3" s="1"/>
      <c r="T3" s="1"/>
      <c r="U3" s="1"/>
      <c r="V3" s="1"/>
      <c r="W3" s="1"/>
      <c r="X3" s="1"/>
      <c r="Y3" s="1"/>
    </row>
    <row r="4" spans="1:25" x14ac:dyDescent="0.15">
      <c r="A4"/>
      <c r="B4" s="242" t="s">
        <v>12</v>
      </c>
      <c r="C4" s="217"/>
      <c r="D4" s="191"/>
      <c r="E4" s="191"/>
      <c r="F4" s="191"/>
      <c r="G4" s="191"/>
      <c r="H4" s="191"/>
      <c r="I4" s="10"/>
      <c r="J4" s="1"/>
      <c r="K4" s="1"/>
      <c r="L4" s="1"/>
      <c r="M4" s="1"/>
      <c r="N4" s="1"/>
      <c r="O4" s="1"/>
      <c r="P4" s="1"/>
      <c r="Q4" s="1"/>
      <c r="R4" s="1"/>
      <c r="S4" s="1"/>
      <c r="T4" s="1"/>
      <c r="U4" s="1"/>
      <c r="V4" s="1"/>
      <c r="W4" s="1"/>
      <c r="X4" s="1"/>
      <c r="Y4" s="1"/>
    </row>
    <row r="5" spans="1:25" x14ac:dyDescent="0.15">
      <c r="A5"/>
      <c r="B5" s="243" t="s">
        <v>96</v>
      </c>
      <c r="C5" s="218"/>
      <c r="D5" s="192"/>
      <c r="E5" s="192"/>
      <c r="F5" s="192"/>
      <c r="G5" s="192"/>
      <c r="H5" s="192"/>
      <c r="I5" s="10"/>
      <c r="J5" s="1"/>
      <c r="K5" s="1"/>
      <c r="L5" s="1"/>
      <c r="M5" s="1"/>
      <c r="N5" s="1"/>
      <c r="O5" s="1"/>
      <c r="P5" s="1"/>
      <c r="Q5" s="1"/>
      <c r="R5" s="1"/>
      <c r="S5" s="1"/>
      <c r="T5" s="1"/>
      <c r="U5" s="1"/>
      <c r="V5" s="1"/>
      <c r="W5" s="1"/>
      <c r="X5" s="1"/>
      <c r="Y5" s="1"/>
    </row>
    <row r="6" spans="1:25" x14ac:dyDescent="0.15">
      <c r="A6"/>
      <c r="B6" s="243" t="s">
        <v>13</v>
      </c>
      <c r="C6" s="218"/>
      <c r="D6" s="192"/>
      <c r="E6" s="192"/>
      <c r="F6" s="192"/>
      <c r="G6" s="192"/>
      <c r="H6" s="192"/>
      <c r="I6" s="10"/>
      <c r="J6" s="1"/>
      <c r="K6" s="1"/>
      <c r="L6" s="1"/>
      <c r="M6" s="1"/>
      <c r="N6" s="1"/>
      <c r="O6" s="1"/>
      <c r="P6" s="1"/>
      <c r="Q6" s="1"/>
      <c r="R6" s="1"/>
      <c r="S6" s="1"/>
      <c r="T6" s="1"/>
      <c r="U6" s="1"/>
      <c r="V6" s="1"/>
      <c r="W6" s="1"/>
      <c r="X6" s="1"/>
      <c r="Y6" s="1"/>
    </row>
    <row r="7" spans="1:25" x14ac:dyDescent="0.15">
      <c r="A7"/>
      <c r="B7" s="243" t="s">
        <v>97</v>
      </c>
      <c r="C7" s="218"/>
      <c r="D7" s="192"/>
      <c r="E7" s="192"/>
      <c r="F7" s="192"/>
      <c r="G7" s="192"/>
      <c r="H7" s="192"/>
      <c r="I7" s="10"/>
      <c r="J7" s="1"/>
      <c r="K7" s="1"/>
      <c r="L7" s="1"/>
      <c r="M7" s="1"/>
      <c r="N7" s="1"/>
      <c r="O7" s="1"/>
      <c r="P7" s="1"/>
      <c r="Q7" s="1"/>
      <c r="R7" s="1"/>
      <c r="S7" s="1"/>
      <c r="T7" s="1"/>
      <c r="U7" s="1"/>
      <c r="V7" s="1"/>
      <c r="W7" s="1"/>
      <c r="X7" s="1"/>
      <c r="Y7" s="1"/>
    </row>
    <row r="8" spans="1:25" ht="15" thickBot="1" x14ac:dyDescent="0.2">
      <c r="A8"/>
      <c r="B8" s="244" t="s">
        <v>14</v>
      </c>
      <c r="C8" s="219"/>
      <c r="D8" s="193"/>
      <c r="E8" s="193"/>
      <c r="F8" s="193"/>
      <c r="G8" s="193"/>
      <c r="H8" s="193"/>
      <c r="I8" s="10"/>
      <c r="J8" s="1"/>
      <c r="K8" s="1"/>
      <c r="L8" s="1"/>
      <c r="M8" s="1"/>
      <c r="N8" s="1"/>
      <c r="O8" s="1"/>
      <c r="P8" s="1"/>
      <c r="Q8" s="1"/>
      <c r="R8" s="1"/>
      <c r="S8" s="1"/>
      <c r="T8" s="1"/>
      <c r="U8" s="1"/>
      <c r="V8" s="1"/>
      <c r="W8" s="1"/>
      <c r="X8" s="1"/>
      <c r="Y8" s="1"/>
    </row>
    <row r="9" spans="1:25" ht="15" thickBot="1" x14ac:dyDescent="0.2">
      <c r="A9"/>
      <c r="B9" s="240"/>
      <c r="C9" s="121"/>
      <c r="D9" s="1"/>
      <c r="E9" s="19"/>
      <c r="F9" s="23"/>
      <c r="G9" s="19"/>
      <c r="H9" s="105"/>
      <c r="I9" s="10"/>
      <c r="J9" s="1"/>
      <c r="K9" s="1"/>
      <c r="L9" s="1"/>
      <c r="M9" s="1"/>
      <c r="N9" s="1"/>
      <c r="O9" s="1"/>
      <c r="P9" s="1"/>
      <c r="Q9" s="1"/>
      <c r="R9" s="1"/>
      <c r="S9" s="1"/>
      <c r="T9" s="1"/>
      <c r="U9" s="1"/>
      <c r="V9" s="1"/>
      <c r="W9" s="1"/>
      <c r="X9" s="1"/>
      <c r="Y9" s="1"/>
    </row>
    <row r="10" spans="1:25" ht="15" thickBot="1" x14ac:dyDescent="0.2">
      <c r="A10"/>
      <c r="B10" s="245" t="s">
        <v>15</v>
      </c>
      <c r="C10" s="271"/>
      <c r="D10" s="202" t="str">
        <f>IF(ISBLANK(Interview!D10),"",Interview!D10)</f>
        <v>COMPANY</v>
      </c>
      <c r="E10" s="19"/>
      <c r="F10" s="23"/>
      <c r="G10" s="19"/>
      <c r="H10" s="105"/>
      <c r="I10" s="10"/>
      <c r="J10" s="1"/>
      <c r="K10" s="1"/>
      <c r="L10" s="1"/>
      <c r="M10" s="1"/>
      <c r="N10" s="1"/>
      <c r="O10" s="1"/>
      <c r="P10" s="1"/>
      <c r="Q10" s="1"/>
      <c r="R10" s="1"/>
      <c r="S10" s="1"/>
      <c r="T10" s="1"/>
      <c r="U10" s="1"/>
      <c r="V10" s="1"/>
      <c r="W10" s="1"/>
      <c r="X10" s="1"/>
      <c r="Y10" s="1"/>
    </row>
    <row r="11" spans="1:25" ht="15" thickBot="1" x14ac:dyDescent="0.2">
      <c r="A11"/>
      <c r="B11" s="246" t="s">
        <v>310</v>
      </c>
      <c r="C11" s="272"/>
      <c r="D11" s="202" t="str">
        <f>IF(ISBLANK(Interview!D11),"",Interview!D11)</f>
        <v/>
      </c>
      <c r="E11" s="19"/>
      <c r="F11" s="23"/>
      <c r="G11" s="19"/>
      <c r="H11" s="105"/>
      <c r="I11" s="10"/>
      <c r="J11" s="1"/>
      <c r="K11" s="1"/>
      <c r="L11" s="1"/>
      <c r="M11" s="1"/>
      <c r="N11" s="1"/>
      <c r="O11" s="1"/>
      <c r="P11" s="1"/>
      <c r="Q11" s="1"/>
      <c r="R11" s="1"/>
      <c r="S11" s="1"/>
      <c r="T11" s="1"/>
      <c r="U11" s="1"/>
      <c r="V11" s="1"/>
      <c r="W11" s="1"/>
      <c r="X11" s="1"/>
      <c r="Y11" s="1"/>
    </row>
    <row r="12" spans="1:25" ht="15" thickBot="1" x14ac:dyDescent="0.2">
      <c r="A12"/>
      <c r="B12" s="246" t="s">
        <v>16</v>
      </c>
      <c r="C12" s="272"/>
      <c r="D12" s="203" t="str">
        <f>IF(ISBLANK(Interview!D12),"",Interview!D12)</f>
        <v/>
      </c>
      <c r="E12" s="143"/>
      <c r="F12" s="23"/>
      <c r="G12" s="19"/>
      <c r="H12" s="105"/>
      <c r="I12" s="10"/>
      <c r="J12" s="1"/>
      <c r="K12" s="1"/>
      <c r="L12" s="1"/>
      <c r="M12" s="1"/>
      <c r="N12" s="1"/>
      <c r="O12" s="1"/>
      <c r="P12" s="1"/>
      <c r="Q12" s="1"/>
      <c r="R12" s="1"/>
      <c r="S12" s="1"/>
      <c r="T12" s="1"/>
      <c r="U12" s="1"/>
      <c r="V12" s="1"/>
      <c r="W12" s="1"/>
      <c r="X12" s="1"/>
      <c r="Y12" s="1"/>
    </row>
    <row r="13" spans="1:25" ht="15" thickBot="1" x14ac:dyDescent="0.2">
      <c r="A13"/>
      <c r="B13" s="246" t="s">
        <v>311</v>
      </c>
      <c r="C13" s="273"/>
      <c r="D13" s="202" t="str">
        <f>IF(ISBLANK(Interview!D13),"",Interview!D13)</f>
        <v/>
      </c>
      <c r="E13" s="19"/>
      <c r="F13" s="23"/>
      <c r="G13" s="19"/>
      <c r="H13" s="105"/>
      <c r="I13" s="10"/>
      <c r="J13" s="1"/>
      <c r="K13" s="1"/>
      <c r="L13" s="1"/>
      <c r="M13" s="1"/>
      <c r="N13" s="1"/>
      <c r="O13" s="1"/>
      <c r="P13" s="1"/>
      <c r="Q13" s="1"/>
      <c r="R13" s="1"/>
      <c r="S13" s="1"/>
      <c r="T13" s="1"/>
      <c r="U13" s="1"/>
      <c r="V13" s="1"/>
      <c r="W13" s="1"/>
      <c r="X13" s="1"/>
      <c r="Y13" s="1"/>
    </row>
    <row r="14" spans="1:25" ht="24" thickBot="1" x14ac:dyDescent="0.3">
      <c r="A14" s="168" t="str">
        <f>IF(A15=A16,"OK","Problem")</f>
        <v>OK</v>
      </c>
      <c r="B14" s="247" t="s">
        <v>8</v>
      </c>
      <c r="C14" s="270"/>
      <c r="D14" s="274" t="str">
        <f>IF(ISBLANK(Interview!D14),"",Interview!D14)</f>
        <v>3a6a54e4eb49d8ff90528dbc49e637eb</v>
      </c>
      <c r="E14" s="19"/>
      <c r="F14" s="23"/>
      <c r="G14" s="19"/>
      <c r="H14" s="105"/>
      <c r="I14" s="10"/>
      <c r="J14" s="1"/>
      <c r="K14" s="1"/>
      <c r="L14" s="1"/>
      <c r="M14" s="1"/>
      <c r="N14" s="1"/>
      <c r="O14" s="1"/>
      <c r="P14" s="1"/>
      <c r="Q14" s="1"/>
      <c r="R14" s="1"/>
      <c r="S14" s="1"/>
      <c r="T14" s="1"/>
      <c r="U14" s="1"/>
      <c r="V14" s="1"/>
      <c r="W14" s="1"/>
      <c r="X14" s="1"/>
      <c r="Y14" s="1"/>
    </row>
    <row r="15" spans="1:25" x14ac:dyDescent="0.15">
      <c r="A15">
        <f>COUNTA('imp-questions'!A2:A300)</f>
        <v>90</v>
      </c>
      <c r="B15" s="121"/>
      <c r="C15" s="121"/>
      <c r="D15" s="1"/>
      <c r="E15" s="19"/>
      <c r="F15" s="23"/>
      <c r="G15" s="19"/>
      <c r="H15" s="105"/>
      <c r="I15" s="10"/>
      <c r="J15" s="1"/>
      <c r="K15" s="1"/>
      <c r="L15" s="1"/>
      <c r="M15" s="1"/>
      <c r="N15" s="1"/>
      <c r="O15" s="1"/>
      <c r="P15" s="1"/>
      <c r="Q15" s="1"/>
      <c r="R15" s="1"/>
      <c r="S15" s="1"/>
      <c r="T15" s="1"/>
      <c r="U15" s="1"/>
      <c r="V15" s="1"/>
      <c r="W15" s="1"/>
      <c r="X15" s="1"/>
      <c r="Y15" s="1"/>
    </row>
    <row r="16" spans="1:25" x14ac:dyDescent="0.15">
      <c r="A16">
        <f>COUNTA(A18:A175)</f>
        <v>90</v>
      </c>
      <c r="B16" s="263" t="s">
        <v>17</v>
      </c>
      <c r="C16" s="263"/>
      <c r="D16" s="264"/>
      <c r="E16" s="264"/>
      <c r="F16" s="596" t="s">
        <v>55</v>
      </c>
      <c r="G16" s="597"/>
      <c r="H16" s="597"/>
      <c r="I16" s="598"/>
      <c r="J16" s="596" t="s">
        <v>314</v>
      </c>
      <c r="K16" s="597"/>
      <c r="L16" s="597"/>
      <c r="M16" s="598"/>
      <c r="N16" s="596" t="s">
        <v>315</v>
      </c>
      <c r="O16" s="597"/>
      <c r="P16" s="597"/>
      <c r="Q16" s="598"/>
      <c r="R16" s="596" t="s">
        <v>316</v>
      </c>
      <c r="S16" s="597"/>
      <c r="T16" s="597"/>
      <c r="U16" s="598"/>
      <c r="V16" s="596" t="s">
        <v>317</v>
      </c>
      <c r="W16" s="597"/>
      <c r="X16" s="597"/>
      <c r="Y16" s="598"/>
    </row>
    <row r="17" spans="1:25" x14ac:dyDescent="0.15">
      <c r="B17" s="232" t="s">
        <v>312</v>
      </c>
      <c r="C17" s="220" t="s">
        <v>313</v>
      </c>
      <c r="D17" s="177" t="s">
        <v>18</v>
      </c>
      <c r="E17" s="136"/>
      <c r="F17" s="255" t="s">
        <v>31</v>
      </c>
      <c r="G17" s="62"/>
      <c r="H17" s="106"/>
      <c r="I17" s="212" t="s">
        <v>29</v>
      </c>
      <c r="J17" s="62" t="s">
        <v>31</v>
      </c>
      <c r="K17" s="62"/>
      <c r="L17" s="106"/>
      <c r="M17" s="212" t="s">
        <v>29</v>
      </c>
      <c r="N17" s="62" t="s">
        <v>31</v>
      </c>
      <c r="O17" s="62"/>
      <c r="P17" s="106"/>
      <c r="Q17" s="212" t="s">
        <v>29</v>
      </c>
      <c r="R17" s="62" t="s">
        <v>31</v>
      </c>
      <c r="S17" s="62"/>
      <c r="T17" s="106"/>
      <c r="U17" s="212" t="s">
        <v>29</v>
      </c>
      <c r="V17" s="62" t="s">
        <v>31</v>
      </c>
      <c r="W17" s="62"/>
      <c r="X17" s="106"/>
      <c r="Y17" s="212" t="s">
        <v>29</v>
      </c>
    </row>
    <row r="18" spans="1:25" x14ac:dyDescent="0.15">
      <c r="A18" s="142" t="str">
        <f>Interview!A18</f>
        <v>G-SM-A-1-1</v>
      </c>
      <c r="B18" s="612" t="str">
        <f>VLOOKUP(A18,'imp-questions'!A:H,4,FALSE)</f>
        <v>Create and Promote</v>
      </c>
      <c r="C18" s="221">
        <f>VLOOKUP(A18,'imp-questions'!A:H,5,FALSE)</f>
        <v>1</v>
      </c>
      <c r="D18" s="176" t="str">
        <f>VLOOKUP(A18,'imp-questions'!A:H,6,FALSE)</f>
        <v>Do you understand the enterprise-wide risk appetite for your applications ?</v>
      </c>
      <c r="E18" s="144" t="str">
        <f>CHAR(65+VLOOKUP(A18,'imp-questions'!A:H,8,FALSE))</f>
        <v>Y</v>
      </c>
      <c r="F18" s="256" t="str">
        <f>Interview!F18</f>
        <v>Yes, it covers general risks</v>
      </c>
      <c r="G18" s="152">
        <f>IFERROR(VLOOKUP(F18,AnsYTBL,2,FALSE),0)</f>
        <v>0.25</v>
      </c>
      <c r="H18" s="94">
        <f>IFERROR(AVERAGE(G18,G22),0)</f>
        <v>0.125</v>
      </c>
      <c r="I18" s="617">
        <f>SUM(H18,H19,H20)</f>
        <v>0.375</v>
      </c>
      <c r="J18" s="262" t="str">
        <f>F18</f>
        <v>Yes, it covers general risks</v>
      </c>
      <c r="K18" s="152">
        <f>IFERROR(VLOOKUP(J18,AnsYTBL,2,FALSE),0)</f>
        <v>0.25</v>
      </c>
      <c r="L18" s="94">
        <f>IFERROR(AVERAGE(K18,K22),0)</f>
        <v>0.125</v>
      </c>
      <c r="M18" s="617">
        <f>SUM(L18,L19,L20)</f>
        <v>0.375</v>
      </c>
      <c r="N18" s="262" t="str">
        <f>J18</f>
        <v>Yes, it covers general risks</v>
      </c>
      <c r="O18" s="152">
        <f>IFERROR(VLOOKUP(N18,AnsYTBL,2,FALSE),0)</f>
        <v>0.25</v>
      </c>
      <c r="P18" s="94">
        <f>IFERROR(AVERAGE(O18,O22),0)</f>
        <v>0.125</v>
      </c>
      <c r="Q18" s="617">
        <f>SUM(P18,P19,P20)</f>
        <v>0.375</v>
      </c>
      <c r="R18" s="262" t="str">
        <f>N18</f>
        <v>Yes, it covers general risks</v>
      </c>
      <c r="S18" s="152">
        <f>IFERROR(VLOOKUP(R18,AnsYTBL,2,FALSE),0)</f>
        <v>0.25</v>
      </c>
      <c r="T18" s="94">
        <f>IFERROR(AVERAGE(S18,S22),0)</f>
        <v>0.125</v>
      </c>
      <c r="U18" s="617">
        <f>SUM(T18,T19,T20)</f>
        <v>0.375</v>
      </c>
      <c r="V18" s="262" t="str">
        <f>R18</f>
        <v>Yes, it covers general risks</v>
      </c>
      <c r="W18" s="152">
        <f>IFERROR(VLOOKUP(V18,AnsYTBL,2,FALSE),0)</f>
        <v>0.25</v>
      </c>
      <c r="X18" s="94">
        <f>IFERROR(AVERAGE(W18,W22),0)</f>
        <v>0.125</v>
      </c>
      <c r="Y18" s="617">
        <f>SUM(X18,X19,X20)</f>
        <v>0.375</v>
      </c>
    </row>
    <row r="19" spans="1:25" ht="28" x14ac:dyDescent="0.15">
      <c r="A19" s="142" t="str">
        <f>Interview!A20</f>
        <v>G-SM-A-2-1</v>
      </c>
      <c r="B19" s="613"/>
      <c r="C19" s="221">
        <f>VLOOKUP(A19,'imp-questions'!A:H,5,FALSE)</f>
        <v>2</v>
      </c>
      <c r="D19" s="176" t="str">
        <f>VLOOKUP(A19,'imp-questions'!A:H,6,FALSE)</f>
        <v>Do you have a strategic plan for application security and use it to make decisions?</v>
      </c>
      <c r="E19" s="146" t="str">
        <f>CHAR(65+VLOOKUP(A19,'imp-questions'!A:H,8,FALSE))</f>
        <v>V</v>
      </c>
      <c r="F19" s="256" t="str">
        <f>Interview!F20</f>
        <v>No</v>
      </c>
      <c r="G19" s="152">
        <f>IFERROR(VLOOKUP(F19,AnsVTBL,2,FALSE),0)</f>
        <v>0</v>
      </c>
      <c r="H19" s="95">
        <f>IFERROR(AVERAGE(G19,G23),0)</f>
        <v>0.125</v>
      </c>
      <c r="I19" s="618"/>
      <c r="J19" s="262" t="str">
        <f>F19</f>
        <v>No</v>
      </c>
      <c r="K19" s="152">
        <f>IFERROR(VLOOKUP(J19,AnsVTBL,2,FALSE),0)</f>
        <v>0</v>
      </c>
      <c r="L19" s="95">
        <f>IFERROR(AVERAGE(K19,K23),0)</f>
        <v>0.125</v>
      </c>
      <c r="M19" s="618"/>
      <c r="N19" s="262" t="str">
        <f>J19</f>
        <v>No</v>
      </c>
      <c r="O19" s="152">
        <f>IFERROR(VLOOKUP(N19,AnsVTBL,2,FALSE),0)</f>
        <v>0</v>
      </c>
      <c r="P19" s="95">
        <f>IFERROR(AVERAGE(O19,O23),0)</f>
        <v>0.125</v>
      </c>
      <c r="Q19" s="618"/>
      <c r="R19" s="262" t="str">
        <f>N19</f>
        <v>No</v>
      </c>
      <c r="S19" s="152">
        <f>IFERROR(VLOOKUP(R19,AnsVTBL,2,FALSE),0)</f>
        <v>0</v>
      </c>
      <c r="T19" s="95">
        <f>IFERROR(AVERAGE(S19,S23),0)</f>
        <v>0.125</v>
      </c>
      <c r="U19" s="618"/>
      <c r="V19" s="262" t="str">
        <f>R19</f>
        <v>No</v>
      </c>
      <c r="W19" s="152">
        <f>IFERROR(VLOOKUP(V19,AnsVTBL,2,FALSE),0)</f>
        <v>0</v>
      </c>
      <c r="X19" s="95">
        <f>IFERROR(AVERAGE(W19,W23),0)</f>
        <v>0.125</v>
      </c>
      <c r="Y19" s="618"/>
    </row>
    <row r="20" spans="1:25" x14ac:dyDescent="0.15">
      <c r="A20" s="142" t="str">
        <f>Interview!A22</f>
        <v>G-SM-A-3-1</v>
      </c>
      <c r="B20" s="614"/>
      <c r="C20" s="221">
        <f>VLOOKUP(A20,'imp-questions'!A:H,5,FALSE)</f>
        <v>3</v>
      </c>
      <c r="D20" s="252" t="str">
        <f>VLOOKUP(A20,'imp-questions'!A:H,6,FALSE)</f>
        <v>Do you regularly review and update the Strategic Plan for Application Security?</v>
      </c>
      <c r="E20" s="146" t="str">
        <f>CHAR(65+VLOOKUP(A20,'imp-questions'!A:H,8,FALSE))</f>
        <v>N</v>
      </c>
      <c r="F20" s="173" t="s">
        <v>301</v>
      </c>
      <c r="G20" s="152">
        <f>IFERROR(VLOOKUP(F20,AnsNTBL,2,FALSE),0)</f>
        <v>0.25</v>
      </c>
      <c r="H20" s="95">
        <f>IFERROR(AVERAGE(G20,G24),0)</f>
        <v>0.125</v>
      </c>
      <c r="I20" s="618"/>
      <c r="J20" s="262" t="str">
        <f>F20</f>
        <v>Yes, but review is ad-hoc</v>
      </c>
      <c r="K20" s="152">
        <f>IFERROR(VLOOKUP(J20,AnsNTBL,2,FALSE),0)</f>
        <v>0.25</v>
      </c>
      <c r="L20" s="95">
        <f>IFERROR(AVERAGE(K20,K24),0)</f>
        <v>0.125</v>
      </c>
      <c r="M20" s="618"/>
      <c r="N20" s="262" t="str">
        <f>J20</f>
        <v>Yes, but review is ad-hoc</v>
      </c>
      <c r="O20" s="152">
        <f>IFERROR(VLOOKUP(N20,AnsNTBL,2,FALSE),0)</f>
        <v>0.25</v>
      </c>
      <c r="P20" s="95">
        <f>IFERROR(AVERAGE(O20,O24),0)</f>
        <v>0.125</v>
      </c>
      <c r="Q20" s="618"/>
      <c r="R20" s="262" t="str">
        <f>N20</f>
        <v>Yes, but review is ad-hoc</v>
      </c>
      <c r="S20" s="152">
        <f>IFERROR(VLOOKUP(R20,AnsNTBL,2,FALSE),0)</f>
        <v>0.25</v>
      </c>
      <c r="T20" s="95">
        <f>IFERROR(AVERAGE(S20,S24),0)</f>
        <v>0.125</v>
      </c>
      <c r="U20" s="618"/>
      <c r="V20" s="262" t="str">
        <f>R20</f>
        <v>Yes, but review is ad-hoc</v>
      </c>
      <c r="W20" s="152">
        <f>IFERROR(VLOOKUP(V20,AnsNTBL,2,FALSE),0)</f>
        <v>0.25</v>
      </c>
      <c r="X20" s="95">
        <f>IFERROR(AVERAGE(W20,W24),0)</f>
        <v>0.125</v>
      </c>
      <c r="Y20" s="618"/>
    </row>
    <row r="21" spans="1:25" ht="13" x14ac:dyDescent="0.15">
      <c r="A21" s="142"/>
      <c r="B21" s="233"/>
      <c r="C21" s="222"/>
      <c r="D21" s="204"/>
      <c r="E21" s="204"/>
      <c r="F21" s="204"/>
      <c r="G21" s="204"/>
      <c r="H21" s="204"/>
      <c r="I21" s="618"/>
      <c r="J21" s="204"/>
      <c r="K21" s="204"/>
      <c r="L21" s="204"/>
      <c r="M21" s="618"/>
      <c r="N21" s="204"/>
      <c r="O21" s="204"/>
      <c r="P21" s="204"/>
      <c r="Q21" s="618"/>
      <c r="R21" s="204"/>
      <c r="S21" s="204"/>
      <c r="T21" s="204"/>
      <c r="U21" s="618"/>
      <c r="V21" s="204"/>
      <c r="W21" s="204"/>
      <c r="X21" s="204"/>
      <c r="Y21" s="618"/>
    </row>
    <row r="22" spans="1:25" ht="28" x14ac:dyDescent="0.15">
      <c r="A22" s="142" t="str">
        <f>Interview!A25</f>
        <v>G-SM-B-1-1</v>
      </c>
      <c r="B22" s="612" t="str">
        <f>VLOOKUP(A22,'imp-questions'!A:H,4,FALSE)</f>
        <v>Measure and Improve</v>
      </c>
      <c r="C22" s="221">
        <f>VLOOKUP(A22,'imp-questions'!A:H,5,FALSE)</f>
        <v>1</v>
      </c>
      <c r="D22" s="176" t="str">
        <f>VLOOKUP(A22,'imp-questions'!A:H,6,FALSE)</f>
        <v>Do you use a set of metrics to measure the effectiveness and efficiency of the application security program across applications?</v>
      </c>
      <c r="E22" s="144" t="str">
        <f>CHAR(65+VLOOKUP(A22,'imp-questions'!A:H,8,FALSE))</f>
        <v>K</v>
      </c>
      <c r="F22" s="254" t="str">
        <f>Interview!F25</f>
        <v>No</v>
      </c>
      <c r="G22" s="152">
        <f>IFERROR(VLOOKUP(F22,AnsKTBL,2,FALSE),0)</f>
        <v>0</v>
      </c>
      <c r="H22" s="94"/>
      <c r="I22" s="618"/>
      <c r="J22" s="262" t="str">
        <f>F22</f>
        <v>No</v>
      </c>
      <c r="K22" s="152">
        <f>IFERROR(VLOOKUP(J22,AnsKTBL,2,FALSE),0)</f>
        <v>0</v>
      </c>
      <c r="L22" s="94"/>
      <c r="M22" s="618"/>
      <c r="N22" s="262" t="str">
        <f>J22</f>
        <v>No</v>
      </c>
      <c r="O22" s="152">
        <f>IFERROR(VLOOKUP(N22,AnsKTBL,2,FALSE),0)</f>
        <v>0</v>
      </c>
      <c r="P22" s="94"/>
      <c r="Q22" s="618"/>
      <c r="R22" s="262" t="str">
        <f>N22</f>
        <v>No</v>
      </c>
      <c r="S22" s="152">
        <f>IFERROR(VLOOKUP(R22,AnsKTBL,2,FALSE),0)</f>
        <v>0</v>
      </c>
      <c r="T22" s="94"/>
      <c r="U22" s="618"/>
      <c r="V22" s="262" t="str">
        <f>R22</f>
        <v>No</v>
      </c>
      <c r="W22" s="152">
        <f>IFERROR(VLOOKUP(V22,AnsKTBL,2,FALSE),0)</f>
        <v>0</v>
      </c>
      <c r="X22" s="94"/>
      <c r="Y22" s="618"/>
    </row>
    <row r="23" spans="1:25" ht="28" x14ac:dyDescent="0.15">
      <c r="A23" s="142" t="str">
        <f>Interview!A27</f>
        <v>G-SM-B-2-1</v>
      </c>
      <c r="B23" s="613"/>
      <c r="C23" s="221">
        <f>VLOOKUP(A23,'imp-questions'!A:H,5,FALSE)</f>
        <v>2</v>
      </c>
      <c r="D23" s="176" t="str">
        <f>VLOOKUP(A23,'imp-questions'!A:H,6,FALSE)</f>
        <v>Did you define Key Perfomance Indicators (KPI) from available application security metrics?</v>
      </c>
      <c r="E23" s="144" t="str">
        <f>CHAR(65+VLOOKUP(A23,'imp-questions'!A:H,8,FALSE))</f>
        <v>B</v>
      </c>
      <c r="F23" s="256" t="str">
        <f>Interview!F27</f>
        <v>Yes, for some of the metrics</v>
      </c>
      <c r="G23" s="152">
        <f>IFERROR(VLOOKUP(F23,AnsBTBL,2,FALSE),0)</f>
        <v>0.25</v>
      </c>
      <c r="H23" s="95"/>
      <c r="I23" s="618"/>
      <c r="J23" s="262" t="str">
        <f>F23</f>
        <v>Yes, for some of the metrics</v>
      </c>
      <c r="K23" s="152">
        <f>IFERROR(VLOOKUP(J23,AnsBTBL,2,FALSE),0)</f>
        <v>0.25</v>
      </c>
      <c r="L23" s="95"/>
      <c r="M23" s="618"/>
      <c r="N23" s="262" t="str">
        <f>J23</f>
        <v>Yes, for some of the metrics</v>
      </c>
      <c r="O23" s="152">
        <f>IFERROR(VLOOKUP(N23,AnsBTBL,2,FALSE),0)</f>
        <v>0.25</v>
      </c>
      <c r="P23" s="95"/>
      <c r="Q23" s="618"/>
      <c r="R23" s="262" t="str">
        <f>N23</f>
        <v>Yes, for some of the metrics</v>
      </c>
      <c r="S23" s="152">
        <f>IFERROR(VLOOKUP(R23,AnsBTBL,2,FALSE),0)</f>
        <v>0.25</v>
      </c>
      <c r="T23" s="95"/>
      <c r="U23" s="618"/>
      <c r="V23" s="262" t="str">
        <f>R23</f>
        <v>Yes, for some of the metrics</v>
      </c>
      <c r="W23" s="152">
        <f>IFERROR(VLOOKUP(V23,AnsBTBL,2,FALSE),0)</f>
        <v>0.25</v>
      </c>
      <c r="X23" s="95"/>
      <c r="Y23" s="618"/>
    </row>
    <row r="24" spans="1:25" ht="28" x14ac:dyDescent="0.15">
      <c r="A24" s="142" t="str">
        <f>Interview!A29</f>
        <v>G-SM-B-3-1</v>
      </c>
      <c r="B24" s="614"/>
      <c r="C24" s="221">
        <f>VLOOKUP(A24,'imp-questions'!A:H,5,FALSE)</f>
        <v>3</v>
      </c>
      <c r="D24" s="252" t="str">
        <f>VLOOKUP(A24,'imp-questions'!A:H,6,FALSE)</f>
        <v>Do you update the Application Security strategy and roadmap based on application security metrics and KPIs?</v>
      </c>
      <c r="E24" s="144" t="str">
        <f>CHAR(65+VLOOKUP(A24,'imp-questions'!A:H,8,FALSE))</f>
        <v>N</v>
      </c>
      <c r="F24" s="256" t="str">
        <f>Interview!F29</f>
        <v>No</v>
      </c>
      <c r="G24" s="152">
        <f>IFERROR(VLOOKUP(F24,AnsNTBL,2,FALSE),0)</f>
        <v>0</v>
      </c>
      <c r="H24" s="95"/>
      <c r="I24" s="619"/>
      <c r="J24" s="262" t="str">
        <f>F24</f>
        <v>No</v>
      </c>
      <c r="K24" s="152">
        <f>IFERROR(VLOOKUP(J24,AnsNTBL,2,FALSE),0)</f>
        <v>0</v>
      </c>
      <c r="L24" s="95"/>
      <c r="M24" s="619"/>
      <c r="N24" s="262" t="str">
        <f>J24</f>
        <v>No</v>
      </c>
      <c r="O24" s="152">
        <f>IFERROR(VLOOKUP(N24,AnsNTBL,2,FALSE),0)</f>
        <v>0</v>
      </c>
      <c r="P24" s="95"/>
      <c r="Q24" s="619"/>
      <c r="R24" s="262" t="str">
        <f>N24</f>
        <v>No</v>
      </c>
      <c r="S24" s="152">
        <f>IFERROR(VLOOKUP(R24,AnsNTBL,2,FALSE),0)</f>
        <v>0</v>
      </c>
      <c r="T24" s="95"/>
      <c r="U24" s="619"/>
      <c r="V24" s="262" t="str">
        <f>R24</f>
        <v>No</v>
      </c>
      <c r="W24" s="152">
        <f>IFERROR(VLOOKUP(V24,AnsNTBL,2,FALSE),0)</f>
        <v>0</v>
      </c>
      <c r="X24" s="95"/>
      <c r="Y24" s="619"/>
    </row>
    <row r="25" spans="1:25" ht="13" x14ac:dyDescent="0.15">
      <c r="A25" s="142"/>
      <c r="B25" s="233"/>
      <c r="C25" s="222"/>
      <c r="D25" s="204"/>
      <c r="E25" s="204"/>
      <c r="F25" s="204"/>
      <c r="G25" s="204"/>
      <c r="H25" s="204"/>
      <c r="I25" s="204"/>
      <c r="J25" s="204"/>
      <c r="K25" s="204"/>
      <c r="L25" s="204"/>
      <c r="M25" s="204"/>
      <c r="N25" s="204"/>
      <c r="O25" s="204"/>
      <c r="P25" s="204"/>
      <c r="Q25" s="204"/>
      <c r="R25" s="204"/>
      <c r="S25" s="204"/>
      <c r="T25" s="204"/>
      <c r="U25" s="204"/>
      <c r="V25" s="204"/>
      <c r="W25" s="204"/>
      <c r="X25" s="204"/>
      <c r="Y25" s="204"/>
    </row>
    <row r="26" spans="1:25" x14ac:dyDescent="0.15">
      <c r="A26" s="142"/>
      <c r="B26" s="232" t="s">
        <v>312</v>
      </c>
      <c r="C26" s="220" t="s">
        <v>313</v>
      </c>
      <c r="D26" s="189" t="s">
        <v>19</v>
      </c>
      <c r="E26" s="190"/>
      <c r="F26" s="64" t="s">
        <v>31</v>
      </c>
      <c r="G26" s="64"/>
      <c r="H26" s="109"/>
      <c r="I26" s="212" t="s">
        <v>29</v>
      </c>
      <c r="J26" s="64" t="s">
        <v>31</v>
      </c>
      <c r="K26" s="64"/>
      <c r="L26" s="109"/>
      <c r="M26" s="212" t="s">
        <v>29</v>
      </c>
      <c r="N26" s="64" t="s">
        <v>31</v>
      </c>
      <c r="O26" s="64"/>
      <c r="P26" s="109"/>
      <c r="Q26" s="212" t="s">
        <v>29</v>
      </c>
      <c r="R26" s="64" t="s">
        <v>31</v>
      </c>
      <c r="S26" s="64"/>
      <c r="T26" s="109"/>
      <c r="U26" s="212" t="s">
        <v>29</v>
      </c>
      <c r="V26" s="64" t="s">
        <v>31</v>
      </c>
      <c r="W26" s="64"/>
      <c r="X26" s="109"/>
      <c r="Y26" s="212" t="s">
        <v>29</v>
      </c>
    </row>
    <row r="27" spans="1:25" ht="28" x14ac:dyDescent="0.15">
      <c r="A27" s="142" t="str">
        <f>Interview!A32</f>
        <v>G-PC-A-1-1</v>
      </c>
      <c r="B27" s="612" t="str">
        <f>VLOOKUP(A27,'imp-questions'!A:H,4,FALSE)</f>
        <v>Policy &amp; Standards</v>
      </c>
      <c r="C27" s="221">
        <f>VLOOKUP(A27,'imp-questions'!A:H,5,FALSE)</f>
        <v>1</v>
      </c>
      <c r="D27" s="176" t="str">
        <f>VLOOKUP(A27,'imp-questions'!A:H,6,FALSE)</f>
        <v>Do you have and apply a common set of policies and standards throughout your organization?</v>
      </c>
      <c r="E27" s="144" t="str">
        <f>CHAR(65+VLOOKUP(A27,'imp-questions'!A:H,8,FALSE))</f>
        <v>F</v>
      </c>
      <c r="F27" s="5" t="str">
        <f>Interview!F32</f>
        <v>Yes, for most or all of the applications</v>
      </c>
      <c r="G27" s="152">
        <f>IFERROR(VLOOKUP(F27,AnsFTBL,2,FALSE),0)</f>
        <v>1</v>
      </c>
      <c r="H27" s="260">
        <f>IFERROR(AVERAGE(G27,G31),0)</f>
        <v>0.625</v>
      </c>
      <c r="I27" s="620">
        <f>SUM(H27,H28,H29)</f>
        <v>1.25</v>
      </c>
      <c r="J27" s="262" t="str">
        <f>F27</f>
        <v>Yes, for most or all of the applications</v>
      </c>
      <c r="K27" s="152">
        <f>IFERROR(VLOOKUP(J27,AnsFTBL,2,FALSE),0)</f>
        <v>1</v>
      </c>
      <c r="L27" s="260">
        <f>IFERROR(AVERAGE(K27,K31),0)</f>
        <v>0.625</v>
      </c>
      <c r="M27" s="620">
        <f>SUM(L27,L28,L29)</f>
        <v>1.25</v>
      </c>
      <c r="N27" s="262" t="str">
        <f>J27</f>
        <v>Yes, for most or all of the applications</v>
      </c>
      <c r="O27" s="152">
        <f>IFERROR(VLOOKUP(N27,AnsFTBL,2,FALSE),0)</f>
        <v>1</v>
      </c>
      <c r="P27" s="260">
        <f>IFERROR(AVERAGE(O27,O31),0)</f>
        <v>0.625</v>
      </c>
      <c r="Q27" s="620">
        <f>SUM(P27,P28,P29)</f>
        <v>1.25</v>
      </c>
      <c r="R27" s="262" t="str">
        <f>N27</f>
        <v>Yes, for most or all of the applications</v>
      </c>
      <c r="S27" s="152">
        <f>IFERROR(VLOOKUP(R27,AnsFTBL,2,FALSE),0)</f>
        <v>1</v>
      </c>
      <c r="T27" s="260">
        <f>IFERROR(AVERAGE(S27,S31),0)</f>
        <v>0.625</v>
      </c>
      <c r="U27" s="620">
        <f>SUM(T27,T28,T29)</f>
        <v>1.25</v>
      </c>
      <c r="V27" s="262" t="str">
        <f>R27</f>
        <v>Yes, for most or all of the applications</v>
      </c>
      <c r="W27" s="152">
        <f>IFERROR(VLOOKUP(V27,AnsFTBL,2,FALSE),0)</f>
        <v>1</v>
      </c>
      <c r="X27" s="260">
        <f>IFERROR(AVERAGE(W27,W31),0)</f>
        <v>0.625</v>
      </c>
      <c r="Y27" s="620">
        <f>SUM(X27,X28,X29)</f>
        <v>1.25</v>
      </c>
    </row>
    <row r="28" spans="1:25" ht="28" x14ac:dyDescent="0.15">
      <c r="A28" s="142" t="str">
        <f>Interview!A34</f>
        <v>G-PC-A-2-1</v>
      </c>
      <c r="B28" s="613"/>
      <c r="C28" s="221">
        <f>VLOOKUP(A28,'imp-questions'!A:H,5,FALSE)</f>
        <v>2</v>
      </c>
      <c r="D28" s="176" t="str">
        <f>VLOOKUP(A28,'imp-questions'!A:H,6,FALSE)</f>
        <v>Do you publish the organization's policies as test scripts or run-books for easy interpretation by development teams?</v>
      </c>
      <c r="E28" s="144" t="str">
        <f>CHAR(65+VLOOKUP(A28,'imp-questions'!A:H,8,FALSE))</f>
        <v>A</v>
      </c>
      <c r="F28" s="5" t="str">
        <f>Interview!F34</f>
        <v>No</v>
      </c>
      <c r="G28" s="152">
        <f>IFERROR(VLOOKUP(F28,AnsATBL,2,FALSE),0)</f>
        <v>0</v>
      </c>
      <c r="H28" s="122">
        <f>IFERROR(AVERAGE(G28,G32),0)</f>
        <v>0.125</v>
      </c>
      <c r="I28" s="621"/>
      <c r="J28" s="262" t="str">
        <f>F28</f>
        <v>No</v>
      </c>
      <c r="K28" s="152">
        <f>IFERROR(VLOOKUP(J28,AnsATBL,2,FALSE),0)</f>
        <v>0</v>
      </c>
      <c r="L28" s="122">
        <f>IFERROR(AVERAGE(K28,K32),0)</f>
        <v>0.125</v>
      </c>
      <c r="M28" s="621"/>
      <c r="N28" s="262" t="str">
        <f>J28</f>
        <v>No</v>
      </c>
      <c r="O28" s="152">
        <f>IFERROR(VLOOKUP(N28,AnsATBL,2,FALSE),0)</f>
        <v>0</v>
      </c>
      <c r="P28" s="122">
        <f>IFERROR(AVERAGE(O28,O32),0)</f>
        <v>0.125</v>
      </c>
      <c r="Q28" s="621"/>
      <c r="R28" s="262" t="str">
        <f>N28</f>
        <v>No</v>
      </c>
      <c r="S28" s="152">
        <f>IFERROR(VLOOKUP(R28,AnsATBL,2,FALSE),0)</f>
        <v>0</v>
      </c>
      <c r="T28" s="122">
        <f>IFERROR(AVERAGE(S28,S32),0)</f>
        <v>0.125</v>
      </c>
      <c r="U28" s="621"/>
      <c r="V28" s="262" t="str">
        <f>R28</f>
        <v>No</v>
      </c>
      <c r="W28" s="152">
        <f>IFERROR(VLOOKUP(V28,AnsATBL,2,FALSE),0)</f>
        <v>0</v>
      </c>
      <c r="X28" s="122">
        <f>IFERROR(AVERAGE(W28,W32),0)</f>
        <v>0.125</v>
      </c>
      <c r="Y28" s="621"/>
    </row>
    <row r="29" spans="1:25" ht="28" x14ac:dyDescent="0.15">
      <c r="A29" s="142" t="str">
        <f>Interview!A36</f>
        <v>G-PC-A-3-1</v>
      </c>
      <c r="B29" s="615"/>
      <c r="C29" s="221">
        <f>VLOOKUP(A29,'imp-questions'!A:H,5,FALSE)</f>
        <v>3</v>
      </c>
      <c r="D29" s="176" t="str">
        <f>VLOOKUP(A29,'imp-questions'!A:H,6,FALSE)</f>
        <v>Do you regularly report on policy and standard compliance, and use that information to guide compliance improvement efforts?</v>
      </c>
      <c r="E29" s="144" t="str">
        <f>CHAR(65+VLOOKUP(A29,'imp-questions'!A:H,8,FALSE))</f>
        <v>E</v>
      </c>
      <c r="F29" s="5" t="str">
        <f>Interview!F36</f>
        <v>Yes, we report at regular times</v>
      </c>
      <c r="G29" s="152">
        <f>IFERROR(VLOOKUP(F29,AnsETBL,2,FALSE),0)</f>
        <v>0.5</v>
      </c>
      <c r="H29" s="122">
        <f>IFERROR(AVERAGE(G29,G33),0)</f>
        <v>0.5</v>
      </c>
      <c r="I29" s="621"/>
      <c r="J29" s="262" t="str">
        <f>F29</f>
        <v>Yes, we report at regular times</v>
      </c>
      <c r="K29" s="152">
        <f>IFERROR(VLOOKUP(J29,AnsETBL,2,FALSE),0)</f>
        <v>0.5</v>
      </c>
      <c r="L29" s="122">
        <f>IFERROR(AVERAGE(K29,K33),0)</f>
        <v>0.5</v>
      </c>
      <c r="M29" s="621"/>
      <c r="N29" s="262" t="str">
        <f>J29</f>
        <v>Yes, we report at regular times</v>
      </c>
      <c r="O29" s="152">
        <f>IFERROR(VLOOKUP(N29,AnsETBL,2,FALSE),0)</f>
        <v>0.5</v>
      </c>
      <c r="P29" s="122">
        <f>IFERROR(AVERAGE(O29,O33),0)</f>
        <v>0.5</v>
      </c>
      <c r="Q29" s="621"/>
      <c r="R29" s="262" t="str">
        <f>N29</f>
        <v>Yes, we report at regular times</v>
      </c>
      <c r="S29" s="152">
        <f>IFERROR(VLOOKUP(R29,AnsETBL,2,FALSE),0)</f>
        <v>0.5</v>
      </c>
      <c r="T29" s="122">
        <f>IFERROR(AVERAGE(S29,S33),0)</f>
        <v>0.5</v>
      </c>
      <c r="U29" s="621"/>
      <c r="V29" s="262" t="str">
        <f>R29</f>
        <v>Yes, we report at regular times</v>
      </c>
      <c r="W29" s="152">
        <f>IFERROR(VLOOKUP(V29,AnsETBL,2,FALSE),0)</f>
        <v>0.5</v>
      </c>
      <c r="X29" s="122">
        <f>IFERROR(AVERAGE(W29,W33),0)</f>
        <v>0.5</v>
      </c>
      <c r="Y29" s="621"/>
    </row>
    <row r="30" spans="1:25" ht="13" x14ac:dyDescent="0.15">
      <c r="A30" s="142"/>
      <c r="B30" s="234"/>
      <c r="C30" s="123"/>
      <c r="D30" s="209"/>
      <c r="E30" s="209"/>
      <c r="F30" s="209"/>
      <c r="G30" s="209"/>
      <c r="H30" s="209"/>
      <c r="I30" s="621"/>
      <c r="J30" s="209"/>
      <c r="K30" s="209"/>
      <c r="L30" s="209"/>
      <c r="M30" s="621"/>
      <c r="N30" s="209"/>
      <c r="O30" s="209"/>
      <c r="P30" s="209"/>
      <c r="Q30" s="621"/>
      <c r="R30" s="209"/>
      <c r="S30" s="209"/>
      <c r="T30" s="209"/>
      <c r="U30" s="621"/>
      <c r="V30" s="209"/>
      <c r="W30" s="209"/>
      <c r="X30" s="209"/>
      <c r="Y30" s="621"/>
    </row>
    <row r="31" spans="1:25" x14ac:dyDescent="0.15">
      <c r="A31" s="142" t="str">
        <f>Interview!A39</f>
        <v>G-PC-B-1-1</v>
      </c>
      <c r="B31" s="616" t="str">
        <f>VLOOKUP(A31,'imp-questions'!A:H,4,FALSE)</f>
        <v>Compliance Management</v>
      </c>
      <c r="C31" s="221">
        <f>VLOOKUP(A31,'imp-questions'!A:H,5,FALSE)</f>
        <v>1</v>
      </c>
      <c r="D31" s="176" t="str">
        <f>VLOOKUP(A31,'imp-questions'!A:H,6,FALSE)</f>
        <v>Do you have a complete picture of your external compliance obligations?</v>
      </c>
      <c r="E31" s="144" t="str">
        <f>CHAR(65+VLOOKUP(A31,'imp-questions'!A:H,8,FALSE))</f>
        <v>F</v>
      </c>
      <c r="F31" s="172" t="str">
        <f>Interview!F39</f>
        <v>Yes, for some applications</v>
      </c>
      <c r="G31" s="152">
        <f>IFERROR(VLOOKUP(F31,AnsFTBL,2,FALSE),0)</f>
        <v>0.25</v>
      </c>
      <c r="H31" s="261"/>
      <c r="I31" s="621"/>
      <c r="J31" s="262" t="str">
        <f>F31</f>
        <v>Yes, for some applications</v>
      </c>
      <c r="K31" s="152">
        <f>IFERROR(VLOOKUP(J31,AnsFTBL,2,FALSE),0)</f>
        <v>0.25</v>
      </c>
      <c r="L31" s="261"/>
      <c r="M31" s="621"/>
      <c r="N31" s="262" t="str">
        <f>J31</f>
        <v>Yes, for some applications</v>
      </c>
      <c r="O31" s="152">
        <f>IFERROR(VLOOKUP(N31,AnsFTBL,2,FALSE),0)</f>
        <v>0.25</v>
      </c>
      <c r="P31" s="261"/>
      <c r="Q31" s="621"/>
      <c r="R31" s="262" t="str">
        <f>N31</f>
        <v>Yes, for some applications</v>
      </c>
      <c r="S31" s="152">
        <f>IFERROR(VLOOKUP(R31,AnsFTBL,2,FALSE),0)</f>
        <v>0.25</v>
      </c>
      <c r="T31" s="261"/>
      <c r="U31" s="621"/>
      <c r="V31" s="262" t="str">
        <f>R31</f>
        <v>Yes, for some applications</v>
      </c>
      <c r="W31" s="152">
        <f>IFERROR(VLOOKUP(V31,AnsFTBL,2,FALSE),0)</f>
        <v>0.25</v>
      </c>
      <c r="X31" s="261"/>
      <c r="Y31" s="621"/>
    </row>
    <row r="32" spans="1:25" ht="28" x14ac:dyDescent="0.15">
      <c r="A32" s="142" t="str">
        <f>Interview!A41</f>
        <v>G-PC-B-2-1</v>
      </c>
      <c r="B32" s="613"/>
      <c r="C32" s="221">
        <f>VLOOKUP(A32,'imp-questions'!A:H,5,FALSE)</f>
        <v>2</v>
      </c>
      <c r="D32" s="176" t="str">
        <f>VLOOKUP(A32,'imp-questions'!A:H,6,FALSE)</f>
        <v>Do you have a standard set of security requirements and verification procedures addressing the organization's external compliance obligations?</v>
      </c>
      <c r="E32" s="144" t="str">
        <f>CHAR(65+VLOOKUP(A32,'imp-questions'!A:H,8,FALSE))</f>
        <v>D</v>
      </c>
      <c r="F32" s="172" t="str">
        <f>Interview!F41</f>
        <v>Yes, for some obligations</v>
      </c>
      <c r="G32" s="152">
        <f>IFERROR(VLOOKUP(F32,AnsDTBL,2,FALSE),0)</f>
        <v>0.25</v>
      </c>
      <c r="H32" s="261"/>
      <c r="I32" s="621"/>
      <c r="J32" s="262" t="str">
        <f>F32</f>
        <v>Yes, for some obligations</v>
      </c>
      <c r="K32" s="152">
        <f>IFERROR(VLOOKUP(J32,AnsDTBL,2,FALSE),0)</f>
        <v>0.25</v>
      </c>
      <c r="L32" s="261"/>
      <c r="M32" s="621"/>
      <c r="N32" s="262" t="str">
        <f>J32</f>
        <v>Yes, for some obligations</v>
      </c>
      <c r="O32" s="152">
        <f>IFERROR(VLOOKUP(N32,AnsDTBL,2,FALSE),0)</f>
        <v>0.25</v>
      </c>
      <c r="P32" s="261"/>
      <c r="Q32" s="621"/>
      <c r="R32" s="262" t="str">
        <f>N32</f>
        <v>Yes, for some obligations</v>
      </c>
      <c r="S32" s="152">
        <f>IFERROR(VLOOKUP(R32,AnsDTBL,2,FALSE),0)</f>
        <v>0.25</v>
      </c>
      <c r="T32" s="261"/>
      <c r="U32" s="621"/>
      <c r="V32" s="262" t="str">
        <f>R32</f>
        <v>Yes, for some obligations</v>
      </c>
      <c r="W32" s="152">
        <f>IFERROR(VLOOKUP(V32,AnsDTBL,2,FALSE),0)</f>
        <v>0.25</v>
      </c>
      <c r="X32" s="261"/>
      <c r="Y32" s="621"/>
    </row>
    <row r="33" spans="1:25" ht="28" x14ac:dyDescent="0.15">
      <c r="A33" s="142" t="str">
        <f>Interview!A43</f>
        <v>G-PC-B-3-1</v>
      </c>
      <c r="B33" s="613"/>
      <c r="C33" s="221">
        <f>VLOOKUP(A33,'imp-questions'!A:H,5,FALSE)</f>
        <v>3</v>
      </c>
      <c r="D33" s="176" t="str">
        <f>VLOOKUP(A33,'imp-questions'!A:H,6,FALSE)</f>
        <v>Do you regularly report on adherence to external compliance obligations and use that information to guide efforts to close compliance gaps?</v>
      </c>
      <c r="E33" s="144" t="str">
        <f>CHAR(65+VLOOKUP(A33,'imp-questions'!A:H,8,FALSE))</f>
        <v>E</v>
      </c>
      <c r="F33" s="172" t="str">
        <f>Interview!F43</f>
        <v>Yes, we report at regular times</v>
      </c>
      <c r="G33" s="152">
        <f>IFERROR(VLOOKUP(F33,AnsETBL,2,FALSE),0)</f>
        <v>0.5</v>
      </c>
      <c r="H33" s="261"/>
      <c r="I33" s="622"/>
      <c r="J33" s="262" t="str">
        <f>F33</f>
        <v>Yes, we report at regular times</v>
      </c>
      <c r="K33" s="152">
        <f>IFERROR(VLOOKUP(J33,AnsETBL,2,FALSE),0)</f>
        <v>0.5</v>
      </c>
      <c r="L33" s="261"/>
      <c r="M33" s="622"/>
      <c r="N33" s="262" t="str">
        <f>J33</f>
        <v>Yes, we report at regular times</v>
      </c>
      <c r="O33" s="152">
        <f>IFERROR(VLOOKUP(N33,AnsETBL,2,FALSE),0)</f>
        <v>0.5</v>
      </c>
      <c r="P33" s="261"/>
      <c r="Q33" s="622"/>
      <c r="R33" s="262" t="str">
        <f>N33</f>
        <v>Yes, we report at regular times</v>
      </c>
      <c r="S33" s="152">
        <f>IFERROR(VLOOKUP(R33,AnsETBL,2,FALSE),0)</f>
        <v>0.5</v>
      </c>
      <c r="T33" s="261"/>
      <c r="U33" s="622"/>
      <c r="V33" s="262" t="str">
        <f>R33</f>
        <v>Yes, we report at regular times</v>
      </c>
      <c r="W33" s="152">
        <f>IFERROR(VLOOKUP(V33,AnsETBL,2,FALSE),0)</f>
        <v>0.5</v>
      </c>
      <c r="X33" s="261"/>
      <c r="Y33" s="622"/>
    </row>
    <row r="34" spans="1:25" ht="13" x14ac:dyDescent="0.15">
      <c r="A34" s="142"/>
      <c r="B34" s="234"/>
      <c r="C34" s="123"/>
      <c r="D34" s="209"/>
      <c r="E34" s="209"/>
      <c r="F34" s="209"/>
      <c r="G34" s="209"/>
      <c r="H34" s="209"/>
      <c r="I34" s="204"/>
      <c r="J34" s="209"/>
      <c r="K34" s="209"/>
      <c r="L34" s="209"/>
      <c r="M34" s="204"/>
      <c r="N34" s="209"/>
      <c r="O34" s="209"/>
      <c r="P34" s="209"/>
      <c r="Q34" s="204"/>
      <c r="R34" s="209"/>
      <c r="S34" s="209"/>
      <c r="T34" s="209"/>
      <c r="U34" s="204"/>
      <c r="V34" s="209"/>
      <c r="W34" s="209"/>
      <c r="X34" s="209"/>
      <c r="Y34" s="204"/>
    </row>
    <row r="35" spans="1:25" x14ac:dyDescent="0.15">
      <c r="A35" s="142"/>
      <c r="B35" s="232" t="s">
        <v>312</v>
      </c>
      <c r="C35" s="220" t="s">
        <v>313</v>
      </c>
      <c r="D35" s="189" t="s">
        <v>20</v>
      </c>
      <c r="E35" s="190"/>
      <c r="F35" s="64" t="s">
        <v>31</v>
      </c>
      <c r="G35" s="64"/>
      <c r="H35" s="109"/>
      <c r="I35" s="212" t="s">
        <v>29</v>
      </c>
      <c r="J35" s="64" t="s">
        <v>31</v>
      </c>
      <c r="K35" s="64"/>
      <c r="L35" s="109"/>
      <c r="M35" s="212" t="s">
        <v>29</v>
      </c>
      <c r="N35" s="64" t="s">
        <v>31</v>
      </c>
      <c r="O35" s="64"/>
      <c r="P35" s="109"/>
      <c r="Q35" s="212" t="s">
        <v>29</v>
      </c>
      <c r="R35" s="64" t="s">
        <v>31</v>
      </c>
      <c r="S35" s="64"/>
      <c r="T35" s="109"/>
      <c r="U35" s="212" t="s">
        <v>29</v>
      </c>
      <c r="V35" s="64" t="s">
        <v>31</v>
      </c>
      <c r="W35" s="64"/>
      <c r="X35" s="109"/>
      <c r="Y35" s="212" t="s">
        <v>29</v>
      </c>
    </row>
    <row r="36" spans="1:25" ht="28" x14ac:dyDescent="0.15">
      <c r="A36" s="142" t="str">
        <f>Interview!A46</f>
        <v>G-EG-A-1-1</v>
      </c>
      <c r="B36" s="612" t="str">
        <f>VLOOKUP(A36,'imp-questions'!A:H,4,FALSE)</f>
        <v>Training and Awareness</v>
      </c>
      <c r="C36" s="221">
        <f>VLOOKUP(A36,'imp-questions'!A:H,5,FALSE)</f>
        <v>1</v>
      </c>
      <c r="D36" s="176" t="str">
        <f>VLOOKUP(A36,'imp-questions'!A:H,6,FALSE)</f>
        <v>Do you require employees involved with application development to take SDLC training?</v>
      </c>
      <c r="E36" s="144" t="str">
        <f>CHAR(65+VLOOKUP(A36,'imp-questions'!A:H,8,FALSE))</f>
        <v>C</v>
      </c>
      <c r="F36" s="254" t="str">
        <f>Interview!F46</f>
        <v>Yes, some of them</v>
      </c>
      <c r="G36" s="152">
        <f>IFERROR(VLOOKUP(F36,AnsCTBL,2,FALSE),0)</f>
        <v>0.25</v>
      </c>
      <c r="H36" s="257">
        <f>IFERROR(AVERAGE(G36,G40),0)</f>
        <v>0.125</v>
      </c>
      <c r="I36" s="623">
        <f>SUM(H36,H37,H38)</f>
        <v>0.75</v>
      </c>
      <c r="J36" s="262" t="str">
        <f>F36</f>
        <v>Yes, some of them</v>
      </c>
      <c r="K36" s="152">
        <f>IFERROR(VLOOKUP(J36,AnsCTBL,2,FALSE),0)</f>
        <v>0.25</v>
      </c>
      <c r="L36" s="257">
        <f>IFERROR(AVERAGE(K36,K40),0)</f>
        <v>0.125</v>
      </c>
      <c r="M36" s="623">
        <f>SUM(L36,L37,L38)</f>
        <v>0.75</v>
      </c>
      <c r="N36" s="262" t="str">
        <f>J36</f>
        <v>Yes, some of them</v>
      </c>
      <c r="O36" s="152">
        <f>IFERROR(VLOOKUP(N36,AnsCTBL,2,FALSE),0)</f>
        <v>0.25</v>
      </c>
      <c r="P36" s="257">
        <f>IFERROR(AVERAGE(O36,O40),0)</f>
        <v>0.125</v>
      </c>
      <c r="Q36" s="623">
        <f>SUM(P36,P37,P38)</f>
        <v>0.75</v>
      </c>
      <c r="R36" s="262" t="str">
        <f>N36</f>
        <v>Yes, some of them</v>
      </c>
      <c r="S36" s="152">
        <f>IFERROR(VLOOKUP(R36,AnsCTBL,2,FALSE),0)</f>
        <v>0.25</v>
      </c>
      <c r="T36" s="257">
        <f>IFERROR(AVERAGE(S36,S40),0)</f>
        <v>0.125</v>
      </c>
      <c r="U36" s="623">
        <f>SUM(T36,T37,T38)</f>
        <v>0.75</v>
      </c>
      <c r="V36" s="262" t="str">
        <f>R36</f>
        <v>Yes, some of them</v>
      </c>
      <c r="W36" s="152">
        <f>IFERROR(VLOOKUP(V36,AnsCTBL,2,FALSE),0)</f>
        <v>0.25</v>
      </c>
      <c r="X36" s="257">
        <f>IFERROR(AVERAGE(W36,W40),0)</f>
        <v>0.125</v>
      </c>
      <c r="Y36" s="623">
        <f>SUM(X36,X37,X38)</f>
        <v>0.75</v>
      </c>
    </row>
    <row r="37" spans="1:25" ht="28" x14ac:dyDescent="0.15">
      <c r="A37" s="142" t="str">
        <f>Interview!A48</f>
        <v>G-EG-A-2-1</v>
      </c>
      <c r="B37" s="613"/>
      <c r="C37" s="221">
        <f>VLOOKUP(A37,'imp-questions'!A:H,5,FALSE)</f>
        <v>2</v>
      </c>
      <c r="D37" s="176" t="str">
        <f>VLOOKUP(A37,'imp-questions'!A:H,6,FALSE)</f>
        <v>Is training customized for individual roles such as developers, testers, or security champions?</v>
      </c>
      <c r="E37" s="146" t="str">
        <f>CHAR(65+VLOOKUP(A37,'imp-questions'!A:H,8,FALSE))</f>
        <v>I</v>
      </c>
      <c r="F37" s="256" t="str">
        <f>Interview!F48</f>
        <v>Yes, for some of the training</v>
      </c>
      <c r="G37" s="152">
        <f>IFERROR(VLOOKUP(F37,AnsITBL,2,FALSE),0)</f>
        <v>0.25</v>
      </c>
      <c r="H37" s="259">
        <f>IFERROR(AVERAGE(G37,G41),0)</f>
        <v>0.125</v>
      </c>
      <c r="I37" s="624"/>
      <c r="J37" s="262" t="str">
        <f>F37</f>
        <v>Yes, for some of the training</v>
      </c>
      <c r="K37" s="152">
        <f>IFERROR(VLOOKUP(J37,AnsITBL,2,FALSE),0)</f>
        <v>0.25</v>
      </c>
      <c r="L37" s="259">
        <f>IFERROR(AVERAGE(K37,K41),0)</f>
        <v>0.125</v>
      </c>
      <c r="M37" s="624"/>
      <c r="N37" s="262" t="str">
        <f>J37</f>
        <v>Yes, for some of the training</v>
      </c>
      <c r="O37" s="152">
        <f>IFERROR(VLOOKUP(N37,AnsITBL,2,FALSE),0)</f>
        <v>0.25</v>
      </c>
      <c r="P37" s="259">
        <f>IFERROR(AVERAGE(O37,O41),0)</f>
        <v>0.125</v>
      </c>
      <c r="Q37" s="624"/>
      <c r="R37" s="262" t="str">
        <f>N37</f>
        <v>Yes, for some of the training</v>
      </c>
      <c r="S37" s="152">
        <f>IFERROR(VLOOKUP(R37,AnsITBL,2,FALSE),0)</f>
        <v>0.25</v>
      </c>
      <c r="T37" s="259">
        <f>IFERROR(AVERAGE(S37,S41),0)</f>
        <v>0.125</v>
      </c>
      <c r="U37" s="624"/>
      <c r="V37" s="262" t="str">
        <f>R37</f>
        <v>Yes, for some of the training</v>
      </c>
      <c r="W37" s="152">
        <f>IFERROR(VLOOKUP(V37,AnsITBL,2,FALSE),0)</f>
        <v>0.25</v>
      </c>
      <c r="X37" s="259">
        <f>IFERROR(AVERAGE(W37,W41),0)</f>
        <v>0.125</v>
      </c>
      <c r="Y37" s="624"/>
    </row>
    <row r="38" spans="1:25" ht="28" x14ac:dyDescent="0.15">
      <c r="A38" s="142" t="str">
        <f>Interview!A50</f>
        <v>G-EG-A-3-1</v>
      </c>
      <c r="B38" s="614"/>
      <c r="C38" s="221">
        <f>VLOOKUP(A38,'imp-questions'!A:H,5,FALSE)</f>
        <v>3</v>
      </c>
      <c r="D38" s="252" t="str">
        <f>VLOOKUP(A38,'imp-questions'!A:H,6,FALSE)</f>
        <v>Have you implemented a Learning Management System or equivalent to track employee training and certification processes?</v>
      </c>
      <c r="E38" s="146" t="str">
        <f>CHAR(65+VLOOKUP(A38,'imp-questions'!A:H,8,FALSE))</f>
        <v>I</v>
      </c>
      <c r="F38" s="256" t="str">
        <f>Interview!F50</f>
        <v>No</v>
      </c>
      <c r="G38" s="152">
        <f>IFERROR(VLOOKUP(F38,AnsITBL,2,FALSE),0)</f>
        <v>0</v>
      </c>
      <c r="H38" s="259">
        <f>IFERROR(AVERAGE(G38,G42),0)</f>
        <v>0.5</v>
      </c>
      <c r="I38" s="624"/>
      <c r="J38" s="262" t="str">
        <f>F38</f>
        <v>No</v>
      </c>
      <c r="K38" s="152">
        <f>IFERROR(VLOOKUP(J38,AnsITBL,2,FALSE),0)</f>
        <v>0</v>
      </c>
      <c r="L38" s="259">
        <f>IFERROR(AVERAGE(K38,K42),0)</f>
        <v>0.5</v>
      </c>
      <c r="M38" s="624"/>
      <c r="N38" s="262" t="str">
        <f>J38</f>
        <v>No</v>
      </c>
      <c r="O38" s="152">
        <f>IFERROR(VLOOKUP(N38,AnsITBL,2,FALSE),0)</f>
        <v>0</v>
      </c>
      <c r="P38" s="259">
        <f>IFERROR(AVERAGE(O38,O42),0)</f>
        <v>0.5</v>
      </c>
      <c r="Q38" s="624"/>
      <c r="R38" s="262" t="str">
        <f>N38</f>
        <v>No</v>
      </c>
      <c r="S38" s="152">
        <f>IFERROR(VLOOKUP(R38,AnsITBL,2,FALSE),0)</f>
        <v>0</v>
      </c>
      <c r="T38" s="259">
        <f>IFERROR(AVERAGE(S38,S42),0)</f>
        <v>0.5</v>
      </c>
      <c r="U38" s="624"/>
      <c r="V38" s="262" t="str">
        <f>R38</f>
        <v>No</v>
      </c>
      <c r="W38" s="152">
        <f>IFERROR(VLOOKUP(V38,AnsITBL,2,FALSE),0)</f>
        <v>0</v>
      </c>
      <c r="X38" s="259">
        <f>IFERROR(AVERAGE(W38,W42),0)</f>
        <v>0.5</v>
      </c>
      <c r="Y38" s="624"/>
    </row>
    <row r="39" spans="1:25" ht="13" x14ac:dyDescent="0.15">
      <c r="A39" s="142"/>
      <c r="B39" s="233"/>
      <c r="C39" s="222"/>
      <c r="D39" s="204"/>
      <c r="E39" s="204"/>
      <c r="F39" s="204"/>
      <c r="G39" s="204"/>
      <c r="H39" s="204"/>
      <c r="I39" s="624"/>
      <c r="J39" s="204"/>
      <c r="K39" s="204"/>
      <c r="L39" s="204"/>
      <c r="M39" s="624"/>
      <c r="N39" s="204"/>
      <c r="O39" s="204"/>
      <c r="P39" s="204"/>
      <c r="Q39" s="624"/>
      <c r="R39" s="204"/>
      <c r="S39" s="204"/>
      <c r="T39" s="204"/>
      <c r="U39" s="624"/>
      <c r="V39" s="204"/>
      <c r="W39" s="204"/>
      <c r="X39" s="204"/>
      <c r="Y39" s="624"/>
    </row>
    <row r="40" spans="1:25" x14ac:dyDescent="0.15">
      <c r="A40" s="142" t="str">
        <f>Interview!A53</f>
        <v>G-EG-B-1-1</v>
      </c>
      <c r="B40" s="612" t="str">
        <f>VLOOKUP(A40,'imp-questions'!A:H,4,FALSE)</f>
        <v>Organization and Culture</v>
      </c>
      <c r="C40" s="221">
        <f>VLOOKUP(A40,'imp-questions'!A:H,5,FALSE)</f>
        <v>1</v>
      </c>
      <c r="D40" s="176" t="str">
        <f>VLOOKUP(A40,'imp-questions'!A:H,6,FALSE)</f>
        <v>Have you identified a Security Champion for each development team?</v>
      </c>
      <c r="E40" s="144" t="str">
        <f>CHAR(65+VLOOKUP(A40,'imp-questions'!A:H,8,FALSE))</f>
        <v>W</v>
      </c>
      <c r="F40" s="254" t="str">
        <f>Interview!F53</f>
        <v>No</v>
      </c>
      <c r="G40" s="152">
        <f>IFERROR(VLOOKUP(F40,AnsWTBL,2,FALSE),0)</f>
        <v>0</v>
      </c>
      <c r="H40" s="122"/>
      <c r="I40" s="624"/>
      <c r="J40" s="262" t="str">
        <f>F40</f>
        <v>No</v>
      </c>
      <c r="K40" s="152">
        <f>IFERROR(VLOOKUP(J40,AnsWTBL,2,FALSE),0)</f>
        <v>0</v>
      </c>
      <c r="L40" s="122"/>
      <c r="M40" s="624"/>
      <c r="N40" s="262" t="str">
        <f>J40</f>
        <v>No</v>
      </c>
      <c r="O40" s="152">
        <f>IFERROR(VLOOKUP(N40,AnsWTBL,2,FALSE),0)</f>
        <v>0</v>
      </c>
      <c r="P40" s="122"/>
      <c r="Q40" s="624"/>
      <c r="R40" s="262" t="str">
        <f>N40</f>
        <v>No</v>
      </c>
      <c r="S40" s="152">
        <f>IFERROR(VLOOKUP(R40,AnsWTBL,2,FALSE),0)</f>
        <v>0</v>
      </c>
      <c r="T40" s="122"/>
      <c r="U40" s="624"/>
      <c r="V40" s="262" t="str">
        <f>R40</f>
        <v>No</v>
      </c>
      <c r="W40" s="152">
        <f>IFERROR(VLOOKUP(V40,AnsWTBL,2,FALSE),0)</f>
        <v>0</v>
      </c>
      <c r="X40" s="122"/>
      <c r="Y40" s="624"/>
    </row>
    <row r="41" spans="1:25" x14ac:dyDescent="0.15">
      <c r="A41" s="142" t="str">
        <f>Interview!A55</f>
        <v>G-EG-B-2-1</v>
      </c>
      <c r="B41" s="613"/>
      <c r="C41" s="221">
        <f>VLOOKUP(A41,'imp-questions'!A:H,5,FALSE)</f>
        <v>2</v>
      </c>
      <c r="D41" s="176" t="str">
        <f>VLOOKUP(A41,'imp-questions'!A:H,6,FALSE)</f>
        <v>Does the organization have a Secure Software Center of Excellence (SSCE)?</v>
      </c>
      <c r="E41" s="144" t="str">
        <f>CHAR(65+VLOOKUP(A41,'imp-questions'!A:H,8,FALSE))</f>
        <v>L</v>
      </c>
      <c r="F41" s="256" t="str">
        <f>Interview!F55</f>
        <v>No</v>
      </c>
      <c r="G41" s="152">
        <f>IFERROR(VLOOKUP(F41,AnsLTBL,2,FALSE),0)</f>
        <v>0</v>
      </c>
      <c r="H41" s="122"/>
      <c r="I41" s="624"/>
      <c r="J41" s="262" t="str">
        <f>F41</f>
        <v>No</v>
      </c>
      <c r="K41" s="152">
        <f>IFERROR(VLOOKUP(J41,AnsLTBL,2,FALSE),0)</f>
        <v>0</v>
      </c>
      <c r="L41" s="122"/>
      <c r="M41" s="624"/>
      <c r="N41" s="262" t="str">
        <f>J41</f>
        <v>No</v>
      </c>
      <c r="O41" s="152">
        <f>IFERROR(VLOOKUP(N41,AnsLTBL,2,FALSE),0)</f>
        <v>0</v>
      </c>
      <c r="P41" s="122"/>
      <c r="Q41" s="624"/>
      <c r="R41" s="262" t="str">
        <f>N41</f>
        <v>No</v>
      </c>
      <c r="S41" s="152">
        <f>IFERROR(VLOOKUP(R41,AnsLTBL,2,FALSE),0)</f>
        <v>0</v>
      </c>
      <c r="T41" s="122"/>
      <c r="U41" s="624"/>
      <c r="V41" s="262" t="str">
        <f>R41</f>
        <v>No</v>
      </c>
      <c r="W41" s="152">
        <f>IFERROR(VLOOKUP(V41,AnsLTBL,2,FALSE),0)</f>
        <v>0</v>
      </c>
      <c r="X41" s="122"/>
      <c r="Y41" s="624"/>
    </row>
    <row r="42" spans="1:25" ht="42" x14ac:dyDescent="0.15">
      <c r="A42" s="142" t="str">
        <f>Interview!A57</f>
        <v>G-EG-B-3-1</v>
      </c>
      <c r="B42" s="614"/>
      <c r="C42" s="221">
        <f>VLOOKUP(A42,'imp-questions'!A:H,5,FALSE)</f>
        <v>3</v>
      </c>
      <c r="D42" s="252" t="str">
        <f>VLOOKUP(A42,'imp-questions'!A:H,6,FALSE)</f>
        <v>Is there a centralized portal where developers and application security professionals from different teams and business units are able to communicate and share information?</v>
      </c>
      <c r="E42" s="144" t="str">
        <f>CHAR(65+VLOOKUP(A42,'imp-questions'!A:H,8,FALSE))</f>
        <v>L</v>
      </c>
      <c r="F42" s="256" t="str">
        <f>Interview!F57</f>
        <v>Yes, for the entire organization</v>
      </c>
      <c r="G42" s="152">
        <f>IFERROR(VLOOKUP(F42,AnsLTBL,2,FALSE),0)</f>
        <v>1</v>
      </c>
      <c r="H42" s="122"/>
      <c r="I42" s="625"/>
      <c r="J42" s="262" t="str">
        <f>F42</f>
        <v>Yes, for the entire organization</v>
      </c>
      <c r="K42" s="152">
        <f>IFERROR(VLOOKUP(J42,AnsLTBL,2,FALSE),0)</f>
        <v>1</v>
      </c>
      <c r="L42" s="122"/>
      <c r="M42" s="625"/>
      <c r="N42" s="262" t="str">
        <f>J42</f>
        <v>Yes, for the entire organization</v>
      </c>
      <c r="O42" s="152">
        <f>IFERROR(VLOOKUP(N42,AnsLTBL,2,FALSE),0)</f>
        <v>1</v>
      </c>
      <c r="P42" s="122"/>
      <c r="Q42" s="625"/>
      <c r="R42" s="262" t="str">
        <f>N42</f>
        <v>Yes, for the entire organization</v>
      </c>
      <c r="S42" s="152">
        <f>IFERROR(VLOOKUP(R42,AnsLTBL,2,FALSE),0)</f>
        <v>1</v>
      </c>
      <c r="T42" s="122"/>
      <c r="U42" s="625"/>
      <c r="V42" s="262" t="str">
        <f>R42</f>
        <v>Yes, for the entire organization</v>
      </c>
      <c r="W42" s="152">
        <f>IFERROR(VLOOKUP(V42,AnsLTBL,2,FALSE),0)</f>
        <v>1</v>
      </c>
      <c r="X42" s="122"/>
      <c r="Y42" s="625"/>
    </row>
    <row r="43" spans="1:25" ht="13" x14ac:dyDescent="0.15">
      <c r="A43" s="142"/>
      <c r="B43" s="233"/>
      <c r="C43" s="222"/>
      <c r="D43" s="204"/>
      <c r="E43" s="204"/>
      <c r="F43" s="204"/>
      <c r="G43" s="204"/>
      <c r="H43" s="204"/>
      <c r="I43" s="204"/>
      <c r="J43" s="204"/>
      <c r="K43" s="204"/>
      <c r="L43" s="204"/>
      <c r="M43" s="204"/>
      <c r="N43" s="204"/>
      <c r="O43" s="204"/>
      <c r="P43" s="204"/>
      <c r="Q43" s="204"/>
      <c r="R43" s="204"/>
      <c r="S43" s="204"/>
      <c r="T43" s="204"/>
      <c r="U43" s="204"/>
      <c r="V43" s="204"/>
      <c r="W43" s="204"/>
      <c r="X43" s="204"/>
      <c r="Y43" s="204"/>
    </row>
    <row r="44" spans="1:25" x14ac:dyDescent="0.15">
      <c r="A44" s="142"/>
      <c r="B44" s="223" t="s">
        <v>177</v>
      </c>
      <c r="C44" s="223"/>
      <c r="D44" s="208"/>
      <c r="E44" s="208"/>
      <c r="F44" s="607" t="s">
        <v>55</v>
      </c>
      <c r="G44" s="607"/>
      <c r="H44" s="607"/>
      <c r="I44" s="607"/>
      <c r="J44" s="606" t="s">
        <v>314</v>
      </c>
      <c r="K44" s="607"/>
      <c r="L44" s="607"/>
      <c r="M44" s="608"/>
      <c r="N44" s="606" t="s">
        <v>315</v>
      </c>
      <c r="O44" s="607"/>
      <c r="P44" s="607"/>
      <c r="Q44" s="608"/>
      <c r="R44" s="606" t="s">
        <v>316</v>
      </c>
      <c r="S44" s="607"/>
      <c r="T44" s="607"/>
      <c r="U44" s="608"/>
      <c r="V44" s="606" t="s">
        <v>317</v>
      </c>
      <c r="W44" s="607"/>
      <c r="X44" s="607"/>
      <c r="Y44" s="608"/>
    </row>
    <row r="45" spans="1:25" x14ac:dyDescent="0.15">
      <c r="A45" s="142"/>
      <c r="B45" s="235" t="s">
        <v>312</v>
      </c>
      <c r="C45" s="224" t="s">
        <v>313</v>
      </c>
      <c r="D45" s="199" t="s">
        <v>21</v>
      </c>
      <c r="E45" s="200"/>
      <c r="F45" s="67" t="s">
        <v>31</v>
      </c>
      <c r="G45" s="67"/>
      <c r="H45" s="110"/>
      <c r="I45" s="213" t="s">
        <v>29</v>
      </c>
      <c r="J45" s="67" t="s">
        <v>31</v>
      </c>
      <c r="K45" s="67"/>
      <c r="L45" s="110"/>
      <c r="M45" s="213" t="s">
        <v>29</v>
      </c>
      <c r="N45" s="67" t="s">
        <v>31</v>
      </c>
      <c r="O45" s="67"/>
      <c r="P45" s="110"/>
      <c r="Q45" s="213" t="s">
        <v>29</v>
      </c>
      <c r="R45" s="67" t="s">
        <v>31</v>
      </c>
      <c r="S45" s="67"/>
      <c r="T45" s="110"/>
      <c r="U45" s="213" t="s">
        <v>29</v>
      </c>
      <c r="V45" s="67" t="s">
        <v>31</v>
      </c>
      <c r="W45" s="67"/>
      <c r="X45" s="110"/>
      <c r="Y45" s="213" t="s">
        <v>29</v>
      </c>
    </row>
    <row r="46" spans="1:25" ht="28" x14ac:dyDescent="0.15">
      <c r="A46" s="142" t="str">
        <f>Interview!A61</f>
        <v>D-TA-A-1-1</v>
      </c>
      <c r="B46" s="599" t="str">
        <f>VLOOKUP(A46,'imp-questions'!A:H,4,FALSE)</f>
        <v>Application Risk Profile</v>
      </c>
      <c r="C46" s="225">
        <f>VLOOKUP(A46,'imp-questions'!A:H,5,FALSE)</f>
        <v>1</v>
      </c>
      <c r="D46" s="176" t="str">
        <f>VLOOKUP(A46,'imp-questions'!A:H,6,FALSE)</f>
        <v>Do you classify applications according to business risk based on a simple and predefined set of questions?</v>
      </c>
      <c r="E46" s="144" t="str">
        <f>CHAR(65+VLOOKUP(A46,'imp-questions'!A:H,8,FALSE))</f>
        <v>C</v>
      </c>
      <c r="F46" s="5" t="str">
        <f>Interview!F61</f>
        <v>No</v>
      </c>
      <c r="G46" s="152">
        <f>IFERROR(VLOOKUP(F46,AnsCTBL,2,FALSE),0)</f>
        <v>0</v>
      </c>
      <c r="H46" s="257">
        <f>IFERROR(AVERAGE(G46,G50),0)</f>
        <v>0.125</v>
      </c>
      <c r="I46" s="626">
        <f>SUM(H46:H48)</f>
        <v>0.25</v>
      </c>
      <c r="J46" s="262" t="str">
        <f>F46</f>
        <v>No</v>
      </c>
      <c r="K46" s="152">
        <f>IFERROR(VLOOKUP(J46,AnsCTBL,2,FALSE),0)</f>
        <v>0</v>
      </c>
      <c r="L46" s="257">
        <f>IFERROR(AVERAGE(K46,K50),0)</f>
        <v>0.125</v>
      </c>
      <c r="M46" s="626">
        <f>SUM(L46:L48)</f>
        <v>0.25</v>
      </c>
      <c r="N46" s="262" t="str">
        <f>J46</f>
        <v>No</v>
      </c>
      <c r="O46" s="152">
        <f>IFERROR(VLOOKUP(N46,AnsCTBL,2,FALSE),0)</f>
        <v>0</v>
      </c>
      <c r="P46" s="257">
        <f>IFERROR(AVERAGE(O46,O50),0)</f>
        <v>0.125</v>
      </c>
      <c r="Q46" s="626">
        <f>SUM(P46:P48)</f>
        <v>0.25</v>
      </c>
      <c r="R46" s="262" t="str">
        <f>N46</f>
        <v>No</v>
      </c>
      <c r="S46" s="152">
        <f>IFERROR(VLOOKUP(R46,AnsCTBL,2,FALSE),0)</f>
        <v>0</v>
      </c>
      <c r="T46" s="257">
        <f>IFERROR(AVERAGE(S46,S50),0)</f>
        <v>0.125</v>
      </c>
      <c r="U46" s="626">
        <f>SUM(T46:T48)</f>
        <v>0.25</v>
      </c>
      <c r="V46" s="262" t="str">
        <f>R46</f>
        <v>No</v>
      </c>
      <c r="W46" s="152">
        <f>IFERROR(VLOOKUP(V46,AnsCTBL,2,FALSE),0)</f>
        <v>0</v>
      </c>
      <c r="X46" s="257">
        <f>IFERROR(AVERAGE(W46,W50),0)</f>
        <v>0.125</v>
      </c>
      <c r="Y46" s="626">
        <f>SUM(X46:X48)</f>
        <v>0.25</v>
      </c>
    </row>
    <row r="47" spans="1:25" ht="28" x14ac:dyDescent="0.15">
      <c r="A47" s="142" t="str">
        <f>Interview!A63</f>
        <v>D-TA-A-2-1</v>
      </c>
      <c r="B47" s="600"/>
      <c r="C47" s="225">
        <f>VLOOKUP(A47,'imp-questions'!A:H,5,FALSE)</f>
        <v>2</v>
      </c>
      <c r="D47" s="176" t="str">
        <f>VLOOKUP(A47,'imp-questions'!A:H,6,FALSE)</f>
        <v>Do you use centralized and quantified application risk profiles to evaluate business risk?</v>
      </c>
      <c r="E47" s="144" t="str">
        <f>CHAR(65+VLOOKUP(A47,'imp-questions'!A:H,8,FALSE))</f>
        <v>F</v>
      </c>
      <c r="F47" s="169" t="str">
        <f>Interview!F63</f>
        <v>No</v>
      </c>
      <c r="G47" s="152">
        <f>IFERROR(VLOOKUP(F47,AnsFTBL,2,FALSE),0)</f>
        <v>0</v>
      </c>
      <c r="H47" s="257">
        <f>IFERROR(AVERAGE(G47,G51),0)</f>
        <v>0</v>
      </c>
      <c r="I47" s="627"/>
      <c r="J47" s="262" t="str">
        <f>F47</f>
        <v>No</v>
      </c>
      <c r="K47" s="152">
        <f>IFERROR(VLOOKUP(J47,AnsFTBL,2,FALSE),0)</f>
        <v>0</v>
      </c>
      <c r="L47" s="257">
        <f>IFERROR(AVERAGE(K47,K51),0)</f>
        <v>0</v>
      </c>
      <c r="M47" s="627"/>
      <c r="N47" s="262" t="str">
        <f>J47</f>
        <v>No</v>
      </c>
      <c r="O47" s="152">
        <f>IFERROR(VLOOKUP(N47,AnsFTBL,2,FALSE),0)</f>
        <v>0</v>
      </c>
      <c r="P47" s="257">
        <f>IFERROR(AVERAGE(O47,O51),0)</f>
        <v>0</v>
      </c>
      <c r="Q47" s="627"/>
      <c r="R47" s="262" t="str">
        <f>N47</f>
        <v>No</v>
      </c>
      <c r="S47" s="152">
        <f>IFERROR(VLOOKUP(R47,AnsFTBL,2,FALSE),0)</f>
        <v>0</v>
      </c>
      <c r="T47" s="257">
        <f>IFERROR(AVERAGE(S47,S51),0)</f>
        <v>0</v>
      </c>
      <c r="U47" s="627"/>
      <c r="V47" s="262" t="str">
        <f>R47</f>
        <v>No</v>
      </c>
      <c r="W47" s="152">
        <f>IFERROR(VLOOKUP(V47,AnsFTBL,2,FALSE),0)</f>
        <v>0</v>
      </c>
      <c r="X47" s="257">
        <f>IFERROR(AVERAGE(W47,W51),0)</f>
        <v>0</v>
      </c>
      <c r="Y47" s="627"/>
    </row>
    <row r="48" spans="1:25" x14ac:dyDescent="0.15">
      <c r="A48" s="142" t="str">
        <f>Interview!A65</f>
        <v>D-TA-A-3-1</v>
      </c>
      <c r="B48" s="601"/>
      <c r="C48" s="225">
        <f>VLOOKUP(A48,'imp-questions'!A:H,5,FALSE)</f>
        <v>3</v>
      </c>
      <c r="D48" s="252" t="str">
        <f>VLOOKUP(A48,'imp-questions'!A:H,6,FALSE)</f>
        <v>Do you regularly review and update the risk profiles for your applications?</v>
      </c>
      <c r="E48" s="144" t="str">
        <f>CHAR(65+VLOOKUP(A48,'imp-questions'!A:H,8,FALSE))</f>
        <v>G</v>
      </c>
      <c r="F48" s="169" t="str">
        <f>Interview!F65</f>
        <v>No</v>
      </c>
      <c r="G48" s="152">
        <f>IFERROR(VLOOKUP(F48,AnsGTBL,2,FALSE),0)</f>
        <v>0</v>
      </c>
      <c r="H48" s="257">
        <f>IFERROR(AVERAGE(G48,G52),0)</f>
        <v>0.125</v>
      </c>
      <c r="I48" s="627"/>
      <c r="J48" s="262" t="str">
        <f>F48</f>
        <v>No</v>
      </c>
      <c r="K48" s="152">
        <f>IFERROR(VLOOKUP(J48,AnsGTBL,2,FALSE),0)</f>
        <v>0</v>
      </c>
      <c r="L48" s="257">
        <f>IFERROR(AVERAGE(K48,K52),0)</f>
        <v>0.125</v>
      </c>
      <c r="M48" s="627"/>
      <c r="N48" s="262" t="str">
        <f>J48</f>
        <v>No</v>
      </c>
      <c r="O48" s="152">
        <f>IFERROR(VLOOKUP(N48,AnsGTBL,2,FALSE),0)</f>
        <v>0</v>
      </c>
      <c r="P48" s="257">
        <f>IFERROR(AVERAGE(O48,O52),0)</f>
        <v>0.125</v>
      </c>
      <c r="Q48" s="627"/>
      <c r="R48" s="262" t="str">
        <f>N48</f>
        <v>No</v>
      </c>
      <c r="S48" s="152">
        <f>IFERROR(VLOOKUP(R48,AnsGTBL,2,FALSE),0)</f>
        <v>0</v>
      </c>
      <c r="T48" s="257">
        <f>IFERROR(AVERAGE(S48,S52),0)</f>
        <v>0.125</v>
      </c>
      <c r="U48" s="627"/>
      <c r="V48" s="262" t="str">
        <f>R48</f>
        <v>No</v>
      </c>
      <c r="W48" s="152">
        <f>IFERROR(VLOOKUP(V48,AnsGTBL,2,FALSE),0)</f>
        <v>0</v>
      </c>
      <c r="X48" s="257">
        <f>IFERROR(AVERAGE(W48,W52),0)</f>
        <v>0.125</v>
      </c>
      <c r="Y48" s="627"/>
    </row>
    <row r="49" spans="1:25" ht="13" x14ac:dyDescent="0.15">
      <c r="A49" s="142"/>
      <c r="B49" s="233"/>
      <c r="C49" s="222"/>
      <c r="D49" s="204"/>
      <c r="E49" s="204"/>
      <c r="F49" s="204"/>
      <c r="G49" s="204"/>
      <c r="H49" s="204"/>
      <c r="I49" s="627"/>
      <c r="J49" s="204"/>
      <c r="K49" s="204"/>
      <c r="L49" s="204"/>
      <c r="M49" s="627"/>
      <c r="N49" s="204"/>
      <c r="O49" s="204"/>
      <c r="P49" s="204"/>
      <c r="Q49" s="627"/>
      <c r="R49" s="204"/>
      <c r="S49" s="204"/>
      <c r="T49" s="204"/>
      <c r="U49" s="627"/>
      <c r="V49" s="204"/>
      <c r="W49" s="204"/>
      <c r="X49" s="204"/>
      <c r="Y49" s="627"/>
    </row>
    <row r="50" spans="1:25" x14ac:dyDescent="0.15">
      <c r="A50" s="142" t="str">
        <f>Interview!A68</f>
        <v>D-TA-B-1-1</v>
      </c>
      <c r="B50" s="599" t="str">
        <f>VLOOKUP(A50,'imp-questions'!A:H,4,FALSE)</f>
        <v>Threat Modeling</v>
      </c>
      <c r="C50" s="225">
        <f>VLOOKUP(A50,'imp-questions'!A:H,5,FALSE)</f>
        <v>1</v>
      </c>
      <c r="D50" s="176" t="str">
        <f>VLOOKUP(A50,'imp-questions'!A:H,6,FALSE)</f>
        <v>Do you identify and manage architectural design flaws with threat modeling?</v>
      </c>
      <c r="E50" s="144" t="str">
        <f>CHAR(65+VLOOKUP(A50,'imp-questions'!A:H,8,FALSE))</f>
        <v>C</v>
      </c>
      <c r="F50" s="169" t="str">
        <f>Interview!F68</f>
        <v>Yes, some of them</v>
      </c>
      <c r="G50" s="152">
        <f>IFERROR(VLOOKUP(F50,AnsCTBL,2,FALSE),0)</f>
        <v>0.25</v>
      </c>
      <c r="H50" s="122"/>
      <c r="I50" s="627"/>
      <c r="J50" s="262" t="str">
        <f>F50</f>
        <v>Yes, some of them</v>
      </c>
      <c r="K50" s="152">
        <f>IFERROR(VLOOKUP(J50,AnsCTBL,2,FALSE),0)</f>
        <v>0.25</v>
      </c>
      <c r="L50" s="122"/>
      <c r="M50" s="627"/>
      <c r="N50" s="262" t="str">
        <f>J50</f>
        <v>Yes, some of them</v>
      </c>
      <c r="O50" s="152">
        <f>IFERROR(VLOOKUP(N50,AnsCTBL,2,FALSE),0)</f>
        <v>0.25</v>
      </c>
      <c r="P50" s="122"/>
      <c r="Q50" s="627"/>
      <c r="R50" s="262" t="str">
        <f>N50</f>
        <v>Yes, some of them</v>
      </c>
      <c r="S50" s="152">
        <f>IFERROR(VLOOKUP(R50,AnsCTBL,2,FALSE),0)</f>
        <v>0.25</v>
      </c>
      <c r="T50" s="122"/>
      <c r="U50" s="627"/>
      <c r="V50" s="262" t="str">
        <f>R50</f>
        <v>Yes, some of them</v>
      </c>
      <c r="W50" s="152">
        <f>IFERROR(VLOOKUP(V50,AnsCTBL,2,FALSE),0)</f>
        <v>0.25</v>
      </c>
      <c r="X50" s="122"/>
      <c r="Y50" s="627"/>
    </row>
    <row r="51" spans="1:25" x14ac:dyDescent="0.15">
      <c r="A51" s="142" t="str">
        <f>Interview!A70</f>
        <v>D-TA-B-2-1</v>
      </c>
      <c r="B51" s="600"/>
      <c r="C51" s="225">
        <f>VLOOKUP(A51,'imp-questions'!A:H,5,FALSE)</f>
        <v>2</v>
      </c>
      <c r="D51" s="176" t="str">
        <f>VLOOKUP(A51,'imp-questions'!A:H,6,FALSE)</f>
        <v>Do you use a standard methodology, aligned on your application risk levels?</v>
      </c>
      <c r="E51" s="144" t="str">
        <f>CHAR(65+VLOOKUP(A51,'imp-questions'!A:H,8,FALSE))</f>
        <v>F</v>
      </c>
      <c r="F51" s="172" t="str">
        <f>Interview!F70</f>
        <v>No</v>
      </c>
      <c r="G51" s="152">
        <f>IFERROR(VLOOKUP(F51,AnsFTBL,2,FALSE),0)</f>
        <v>0</v>
      </c>
      <c r="H51" s="122"/>
      <c r="I51" s="627"/>
      <c r="J51" s="262" t="str">
        <f>F51</f>
        <v>No</v>
      </c>
      <c r="K51" s="152">
        <f>IFERROR(VLOOKUP(J51,AnsFTBL,2,FALSE),0)</f>
        <v>0</v>
      </c>
      <c r="L51" s="122"/>
      <c r="M51" s="627"/>
      <c r="N51" s="262" t="str">
        <f>J51</f>
        <v>No</v>
      </c>
      <c r="O51" s="152">
        <f>IFERROR(VLOOKUP(N51,AnsFTBL,2,FALSE),0)</f>
        <v>0</v>
      </c>
      <c r="P51" s="122"/>
      <c r="Q51" s="627"/>
      <c r="R51" s="262" t="str">
        <f>N51</f>
        <v>No</v>
      </c>
      <c r="S51" s="152">
        <f>IFERROR(VLOOKUP(R51,AnsFTBL,2,FALSE),0)</f>
        <v>0</v>
      </c>
      <c r="T51" s="122"/>
      <c r="U51" s="627"/>
      <c r="V51" s="262" t="str">
        <f>R51</f>
        <v>No</v>
      </c>
      <c r="W51" s="152">
        <f>IFERROR(VLOOKUP(V51,AnsFTBL,2,FALSE),0)</f>
        <v>0</v>
      </c>
      <c r="X51" s="122"/>
      <c r="Y51" s="627"/>
    </row>
    <row r="52" spans="1:25" ht="28" x14ac:dyDescent="0.15">
      <c r="A52" s="142" t="str">
        <f>Interview!A72</f>
        <v>D-TA-B-3-1</v>
      </c>
      <c r="B52" s="601"/>
      <c r="C52" s="225">
        <f>VLOOKUP(A52,'imp-questions'!A:H,5,FALSE)</f>
        <v>3</v>
      </c>
      <c r="D52" s="252" t="str">
        <f>VLOOKUP(A52,'imp-questions'!A:H,6,FALSE)</f>
        <v>Do you regularly review and update the threat modeling methodology for your applications?</v>
      </c>
      <c r="E52" s="144" t="str">
        <f>CHAR(65+VLOOKUP(A52,'imp-questions'!A:H,8,FALSE))</f>
        <v>N</v>
      </c>
      <c r="F52" s="172" t="str">
        <f>Interview!F72</f>
        <v>Yes, but review is ad-hoc</v>
      </c>
      <c r="G52" s="152">
        <f>IFERROR(VLOOKUP(F52,AnsNTBL,2,FALSE),0)</f>
        <v>0.25</v>
      </c>
      <c r="H52" s="122"/>
      <c r="I52" s="628"/>
      <c r="J52" s="262" t="str">
        <f>F52</f>
        <v>Yes, but review is ad-hoc</v>
      </c>
      <c r="K52" s="152">
        <f>IFERROR(VLOOKUP(J52,AnsNTBL,2,FALSE),0)</f>
        <v>0.25</v>
      </c>
      <c r="L52" s="122"/>
      <c r="M52" s="628"/>
      <c r="N52" s="262" t="str">
        <f>J52</f>
        <v>Yes, but review is ad-hoc</v>
      </c>
      <c r="O52" s="152">
        <f>IFERROR(VLOOKUP(N52,AnsNTBL,2,FALSE),0)</f>
        <v>0.25</v>
      </c>
      <c r="P52" s="122"/>
      <c r="Q52" s="628"/>
      <c r="R52" s="262" t="str">
        <f>N52</f>
        <v>Yes, but review is ad-hoc</v>
      </c>
      <c r="S52" s="152">
        <f>IFERROR(VLOOKUP(R52,AnsNTBL,2,FALSE),0)</f>
        <v>0.25</v>
      </c>
      <c r="T52" s="122"/>
      <c r="U52" s="628"/>
      <c r="V52" s="262" t="str">
        <f>R52</f>
        <v>Yes, but review is ad-hoc</v>
      </c>
      <c r="W52" s="152">
        <f>IFERROR(VLOOKUP(V52,AnsNTBL,2,FALSE),0)</f>
        <v>0.25</v>
      </c>
      <c r="X52" s="122"/>
      <c r="Y52" s="628"/>
    </row>
    <row r="53" spans="1:25" ht="13" x14ac:dyDescent="0.15">
      <c r="A53" s="142"/>
      <c r="B53" s="233"/>
      <c r="C53" s="222"/>
      <c r="D53" s="204"/>
      <c r="E53" s="204"/>
      <c r="F53" s="204"/>
      <c r="G53" s="204"/>
      <c r="H53" s="204"/>
      <c r="I53" s="204"/>
      <c r="J53" s="204"/>
      <c r="K53" s="204"/>
      <c r="L53" s="204"/>
      <c r="M53" s="204"/>
      <c r="N53" s="204"/>
      <c r="O53" s="204"/>
      <c r="P53" s="204"/>
      <c r="Q53" s="204"/>
      <c r="R53" s="204"/>
      <c r="S53" s="204"/>
      <c r="T53" s="204"/>
      <c r="U53" s="204"/>
      <c r="V53" s="204"/>
      <c r="W53" s="204"/>
      <c r="X53" s="204"/>
      <c r="Y53" s="204"/>
    </row>
    <row r="54" spans="1:25" x14ac:dyDescent="0.15">
      <c r="A54" s="142"/>
      <c r="B54" s="235" t="s">
        <v>312</v>
      </c>
      <c r="C54" s="224" t="s">
        <v>313</v>
      </c>
      <c r="D54" s="197" t="s">
        <v>22</v>
      </c>
      <c r="E54" s="198"/>
      <c r="F54" s="68" t="s">
        <v>31</v>
      </c>
      <c r="G54" s="68"/>
      <c r="H54" s="111"/>
      <c r="I54" s="213" t="s">
        <v>29</v>
      </c>
      <c r="J54" s="68" t="s">
        <v>31</v>
      </c>
      <c r="K54" s="68"/>
      <c r="L54" s="111"/>
      <c r="M54" s="213" t="s">
        <v>29</v>
      </c>
      <c r="N54" s="68" t="s">
        <v>31</v>
      </c>
      <c r="O54" s="68"/>
      <c r="P54" s="111"/>
      <c r="Q54" s="213" t="s">
        <v>29</v>
      </c>
      <c r="R54" s="68" t="s">
        <v>31</v>
      </c>
      <c r="S54" s="68"/>
      <c r="T54" s="111"/>
      <c r="U54" s="213" t="s">
        <v>29</v>
      </c>
      <c r="V54" s="68" t="s">
        <v>31</v>
      </c>
      <c r="W54" s="68"/>
      <c r="X54" s="111"/>
      <c r="Y54" s="213" t="s">
        <v>29</v>
      </c>
    </row>
    <row r="55" spans="1:25" x14ac:dyDescent="0.15">
      <c r="A55" s="142" t="str">
        <f>Interview!A75</f>
        <v>D-SR-A-1-1</v>
      </c>
      <c r="B55" s="599" t="str">
        <f>VLOOKUP(A55,'imp-questions'!A:H,4,FALSE)</f>
        <v>Software Requirements</v>
      </c>
      <c r="C55" s="225">
        <f>VLOOKUP(A55,'imp-questions'!A:H,5,FALSE)</f>
        <v>1</v>
      </c>
      <c r="D55" s="176" t="str">
        <f>VLOOKUP(A55,'imp-questions'!A:H,6,FALSE)</f>
        <v>Do project teams specify security requirements during development?</v>
      </c>
      <c r="E55" s="144" t="str">
        <f>CHAR(65+VLOOKUP(A55,'imp-questions'!A:H,8,FALSE))</f>
        <v>F</v>
      </c>
      <c r="F55" s="169" t="str">
        <f>Interview!F75</f>
        <v>Yes, for most or all of the applications</v>
      </c>
      <c r="G55" s="152">
        <f>IFERROR(VLOOKUP(F55,AnsFTBL,2,FALSE),0)</f>
        <v>1</v>
      </c>
      <c r="H55" s="257">
        <f>IFERROR(AVERAGE(G55,G59),0)</f>
        <v>0.5</v>
      </c>
      <c r="I55" s="626">
        <f>SUM(H55:H57)</f>
        <v>1.25</v>
      </c>
      <c r="J55" s="262" t="str">
        <f>F55</f>
        <v>Yes, for most or all of the applications</v>
      </c>
      <c r="K55" s="152">
        <f>IFERROR(VLOOKUP(J55,AnsFTBL,2,FALSE),0)</f>
        <v>1</v>
      </c>
      <c r="L55" s="257">
        <f>IFERROR(AVERAGE(K55,K59),0)</f>
        <v>0.5</v>
      </c>
      <c r="M55" s="626">
        <f>SUM(L55:L57)</f>
        <v>1.25</v>
      </c>
      <c r="N55" s="262" t="str">
        <f>J55</f>
        <v>Yes, for most or all of the applications</v>
      </c>
      <c r="O55" s="152">
        <f>IFERROR(VLOOKUP(N55,AnsFTBL,2,FALSE),0)</f>
        <v>1</v>
      </c>
      <c r="P55" s="257">
        <f>IFERROR(AVERAGE(O55,O59),0)</f>
        <v>0.5</v>
      </c>
      <c r="Q55" s="626">
        <f>SUM(P55:P57)</f>
        <v>1.25</v>
      </c>
      <c r="R55" s="262" t="str">
        <f>N55</f>
        <v>Yes, for most or all of the applications</v>
      </c>
      <c r="S55" s="152">
        <f>IFERROR(VLOOKUP(R55,AnsFTBL,2,FALSE),0)</f>
        <v>1</v>
      </c>
      <c r="T55" s="257">
        <f>IFERROR(AVERAGE(S55,S59),0)</f>
        <v>0.5</v>
      </c>
      <c r="U55" s="626">
        <f>SUM(T55:T57)</f>
        <v>1.25</v>
      </c>
      <c r="V55" s="262" t="str">
        <f>R55</f>
        <v>Yes, for most or all of the applications</v>
      </c>
      <c r="W55" s="152">
        <f>IFERROR(VLOOKUP(V55,AnsFTBL,2,FALSE),0)</f>
        <v>1</v>
      </c>
      <c r="X55" s="257">
        <f>IFERROR(AVERAGE(W55,W59),0)</f>
        <v>0.5</v>
      </c>
      <c r="Y55" s="626">
        <f>SUM(X55:X57)</f>
        <v>1.25</v>
      </c>
    </row>
    <row r="56" spans="1:25" ht="28" x14ac:dyDescent="0.15">
      <c r="A56" s="142" t="str">
        <f>Interview!A77</f>
        <v>D-SR-A-2-1</v>
      </c>
      <c r="B56" s="600"/>
      <c r="C56" s="225">
        <f>VLOOKUP(A56,'imp-questions'!A:H,5,FALSE)</f>
        <v>2</v>
      </c>
      <c r="D56" s="176" t="str">
        <f>VLOOKUP(A56,'imp-questions'!A:H,6,FALSE)</f>
        <v>Do you define, structure, and include prioritization in the artifacts of the security requirements gathering process?</v>
      </c>
      <c r="E56" s="144" t="str">
        <f>CHAR(65+VLOOKUP(A56,'imp-questions'!A:H,8,FALSE))</f>
        <v>H</v>
      </c>
      <c r="F56" s="173" t="str">
        <f>Interview!F77</f>
        <v>No</v>
      </c>
      <c r="G56" s="152">
        <f>IFERROR(VLOOKUP(F56,AnsHTBL,2,FALSE),0)</f>
        <v>0</v>
      </c>
      <c r="H56" s="257">
        <f>IFERROR(AVERAGE(G56,G60),0)</f>
        <v>0.5</v>
      </c>
      <c r="I56" s="627"/>
      <c r="J56" s="262" t="str">
        <f>F56</f>
        <v>No</v>
      </c>
      <c r="K56" s="152">
        <f>IFERROR(VLOOKUP(J56,AnsHTBL,2,FALSE),0)</f>
        <v>0</v>
      </c>
      <c r="L56" s="257">
        <f>IFERROR(AVERAGE(K56,K60),0)</f>
        <v>0.5</v>
      </c>
      <c r="M56" s="627"/>
      <c r="N56" s="262" t="str">
        <f>J56</f>
        <v>No</v>
      </c>
      <c r="O56" s="152">
        <f>IFERROR(VLOOKUP(N56,AnsHTBL,2,FALSE),0)</f>
        <v>0</v>
      </c>
      <c r="P56" s="257">
        <f>IFERROR(AVERAGE(O56,O60),0)</f>
        <v>0.5</v>
      </c>
      <c r="Q56" s="627"/>
      <c r="R56" s="262" t="str">
        <f>N56</f>
        <v>No</v>
      </c>
      <c r="S56" s="152">
        <f>IFERROR(VLOOKUP(R56,AnsHTBL,2,FALSE),0)</f>
        <v>0</v>
      </c>
      <c r="T56" s="257">
        <f>IFERROR(AVERAGE(S56,S60),0)</f>
        <v>0.5</v>
      </c>
      <c r="U56" s="627"/>
      <c r="V56" s="262" t="str">
        <f>R56</f>
        <v>No</v>
      </c>
      <c r="W56" s="152">
        <f>IFERROR(VLOOKUP(V56,AnsHTBL,2,FALSE),0)</f>
        <v>0</v>
      </c>
      <c r="X56" s="257">
        <f>IFERROR(AVERAGE(W56,W60),0)</f>
        <v>0.5</v>
      </c>
      <c r="Y56" s="627"/>
    </row>
    <row r="57" spans="1:25" ht="28" x14ac:dyDescent="0.15">
      <c r="A57" s="142" t="str">
        <f>Interview!A79</f>
        <v>D-SR-A-3-1</v>
      </c>
      <c r="B57" s="602"/>
      <c r="C57" s="225">
        <f>VLOOKUP(A57,'imp-questions'!A:H,5,FALSE)</f>
        <v>3</v>
      </c>
      <c r="D57" s="176" t="str">
        <f>VLOOKUP(A57,'imp-questions'!A:H,6,FALSE)</f>
        <v>Do you use a standard requirements framework to streamline the elicitation of security requirements?</v>
      </c>
      <c r="E57" s="144" t="str">
        <f>CHAR(65+VLOOKUP(A57,'imp-questions'!A:H,8,FALSE))</f>
        <v>F</v>
      </c>
      <c r="F57" s="169" t="str">
        <f>Interview!F79</f>
        <v>Yes, for some applications</v>
      </c>
      <c r="G57" s="152">
        <f>IFERROR(VLOOKUP(F57,AnsFTBL,2,FALSE),0)</f>
        <v>0.25</v>
      </c>
      <c r="H57" s="257">
        <f>IFERROR(AVERAGE(G57,G61),0)</f>
        <v>0.25</v>
      </c>
      <c r="I57" s="627"/>
      <c r="J57" s="262" t="str">
        <f>F57</f>
        <v>Yes, for some applications</v>
      </c>
      <c r="K57" s="152">
        <f>IFERROR(VLOOKUP(J57,AnsFTBL,2,FALSE),0)</f>
        <v>0.25</v>
      </c>
      <c r="L57" s="257">
        <f>IFERROR(AVERAGE(K57,K61),0)</f>
        <v>0.25</v>
      </c>
      <c r="M57" s="627"/>
      <c r="N57" s="262" t="str">
        <f>J57</f>
        <v>Yes, for some applications</v>
      </c>
      <c r="O57" s="152">
        <f>IFERROR(VLOOKUP(N57,AnsFTBL,2,FALSE),0)</f>
        <v>0.25</v>
      </c>
      <c r="P57" s="257">
        <f>IFERROR(AVERAGE(O57,O61),0)</f>
        <v>0.25</v>
      </c>
      <c r="Q57" s="627"/>
      <c r="R57" s="262" t="str">
        <f>N57</f>
        <v>Yes, for some applications</v>
      </c>
      <c r="S57" s="152">
        <f>IFERROR(VLOOKUP(R57,AnsFTBL,2,FALSE),0)</f>
        <v>0.25</v>
      </c>
      <c r="T57" s="257">
        <f>IFERROR(AVERAGE(S57,S61),0)</f>
        <v>0.25</v>
      </c>
      <c r="U57" s="627"/>
      <c r="V57" s="262" t="str">
        <f>R57</f>
        <v>Yes, for some applications</v>
      </c>
      <c r="W57" s="152">
        <f>IFERROR(VLOOKUP(V57,AnsFTBL,2,FALSE),0)</f>
        <v>0.25</v>
      </c>
      <c r="X57" s="257">
        <f>IFERROR(AVERAGE(W57,W61),0)</f>
        <v>0.25</v>
      </c>
      <c r="Y57" s="627"/>
    </row>
    <row r="58" spans="1:25" ht="13" x14ac:dyDescent="0.15">
      <c r="A58" s="142"/>
      <c r="B58" s="236"/>
      <c r="C58" s="222"/>
      <c r="D58" s="204"/>
      <c r="E58" s="204"/>
      <c r="F58" s="204"/>
      <c r="G58" s="204"/>
      <c r="H58" s="204"/>
      <c r="I58" s="627"/>
      <c r="J58" s="204"/>
      <c r="K58" s="204"/>
      <c r="L58" s="204"/>
      <c r="M58" s="627"/>
      <c r="N58" s="204"/>
      <c r="O58" s="204"/>
      <c r="P58" s="204"/>
      <c r="Q58" s="627"/>
      <c r="R58" s="204"/>
      <c r="S58" s="204"/>
      <c r="T58" s="204"/>
      <c r="U58" s="627"/>
      <c r="V58" s="204"/>
      <c r="W58" s="204"/>
      <c r="X58" s="204"/>
      <c r="Y58" s="627"/>
    </row>
    <row r="59" spans="1:25" ht="28" x14ac:dyDescent="0.15">
      <c r="A59" s="142" t="str">
        <f>Interview!A82</f>
        <v>D-SR-B-1-1</v>
      </c>
      <c r="B59" s="599" t="str">
        <f>VLOOKUP(A59,'imp-questions'!A:H,4,FALSE)</f>
        <v>Supplier Security</v>
      </c>
      <c r="C59" s="225">
        <f>VLOOKUP(A59,'imp-questions'!A:H,5,FALSE)</f>
        <v>1</v>
      </c>
      <c r="D59" s="176" t="str">
        <f>VLOOKUP(A59,'imp-questions'!A:H,6,FALSE)</f>
        <v>Do stakeholders review vendor collaborations for security requirements and methodology?</v>
      </c>
      <c r="E59" s="144" t="str">
        <f>CHAR(65+VLOOKUP(A59,'imp-questions'!A:H,8,FALSE))</f>
        <v>H</v>
      </c>
      <c r="F59" s="169" t="str">
        <f>Interview!F82</f>
        <v>No</v>
      </c>
      <c r="G59" s="152">
        <f>IFERROR(VLOOKUP(F59,AnsHTBL,2,FALSE),0)</f>
        <v>0</v>
      </c>
      <c r="H59" s="122"/>
      <c r="I59" s="627"/>
      <c r="J59" s="262" t="str">
        <f>F59</f>
        <v>No</v>
      </c>
      <c r="K59" s="152">
        <f>IFERROR(VLOOKUP(J59,AnsHTBL,2,FALSE),0)</f>
        <v>0</v>
      </c>
      <c r="L59" s="122"/>
      <c r="M59" s="627"/>
      <c r="N59" s="262" t="str">
        <f>J59</f>
        <v>No</v>
      </c>
      <c r="O59" s="152">
        <f>IFERROR(VLOOKUP(N59,AnsHTBL,2,FALSE),0)</f>
        <v>0</v>
      </c>
      <c r="P59" s="122"/>
      <c r="Q59" s="627"/>
      <c r="R59" s="262" t="str">
        <f>N59</f>
        <v>No</v>
      </c>
      <c r="S59" s="152">
        <f>IFERROR(VLOOKUP(R59,AnsHTBL,2,FALSE),0)</f>
        <v>0</v>
      </c>
      <c r="T59" s="122"/>
      <c r="U59" s="627"/>
      <c r="V59" s="262" t="str">
        <f>R59</f>
        <v>No</v>
      </c>
      <c r="W59" s="152">
        <f>IFERROR(VLOOKUP(V59,AnsHTBL,2,FALSE),0)</f>
        <v>0</v>
      </c>
      <c r="X59" s="122"/>
      <c r="Y59" s="627"/>
    </row>
    <row r="60" spans="1:25" ht="28" x14ac:dyDescent="0.15">
      <c r="A60" s="142" t="str">
        <f>Interview!A84</f>
        <v>D-SR-B-2-1</v>
      </c>
      <c r="B60" s="600"/>
      <c r="C60" s="225">
        <f>VLOOKUP(A60,'imp-questions'!A:H,5,FALSE)</f>
        <v>2</v>
      </c>
      <c r="D60" s="176" t="str">
        <f>VLOOKUP(A60,'imp-questions'!A:H,6,FALSE)</f>
        <v>Do vendors meet the security responsibilities and quality measures of service level agreements defined by the organization?</v>
      </c>
      <c r="E60" s="144" t="str">
        <f>CHAR(65+VLOOKUP(A60,'imp-questions'!A:H,8,FALSE))</f>
        <v>H</v>
      </c>
      <c r="F60" s="173" t="str">
        <f>Interview!F84</f>
        <v>Yes, most or all of the time</v>
      </c>
      <c r="G60" s="152">
        <f>IFERROR(VLOOKUP(F60,AnsHTBL,2,FALSE),0)</f>
        <v>1</v>
      </c>
      <c r="H60" s="122"/>
      <c r="I60" s="627"/>
      <c r="J60" s="262" t="str">
        <f>F60</f>
        <v>Yes, most or all of the time</v>
      </c>
      <c r="K60" s="152">
        <f>IFERROR(VLOOKUP(J60,AnsHTBL,2,FALSE),0)</f>
        <v>1</v>
      </c>
      <c r="L60" s="122"/>
      <c r="M60" s="627"/>
      <c r="N60" s="262" t="str">
        <f>J60</f>
        <v>Yes, most or all of the time</v>
      </c>
      <c r="O60" s="152">
        <f>IFERROR(VLOOKUP(N60,AnsHTBL,2,FALSE),0)</f>
        <v>1</v>
      </c>
      <c r="P60" s="122"/>
      <c r="Q60" s="627"/>
      <c r="R60" s="262" t="str">
        <f>N60</f>
        <v>Yes, most or all of the time</v>
      </c>
      <c r="S60" s="152">
        <f>IFERROR(VLOOKUP(R60,AnsHTBL,2,FALSE),0)</f>
        <v>1</v>
      </c>
      <c r="T60" s="122"/>
      <c r="U60" s="627"/>
      <c r="V60" s="262" t="str">
        <f>R60</f>
        <v>Yes, most or all of the time</v>
      </c>
      <c r="W60" s="152">
        <f>IFERROR(VLOOKUP(V60,AnsHTBL,2,FALSE),0)</f>
        <v>1</v>
      </c>
      <c r="X60" s="122"/>
      <c r="Y60" s="627"/>
    </row>
    <row r="61" spans="1:25" ht="28" x14ac:dyDescent="0.15">
      <c r="A61" s="142" t="str">
        <f>Interview!A86</f>
        <v>D-SR-B-3-1</v>
      </c>
      <c r="B61" s="601"/>
      <c r="C61" s="225">
        <f>VLOOKUP(A61,'imp-questions'!A:H,5,FALSE)</f>
        <v>3</v>
      </c>
      <c r="D61" s="252" t="str">
        <f>VLOOKUP(A61,'imp-questions'!A:H,6,FALSE)</f>
        <v>Are vendors aligned with standard security controls and software development tools and processes that the organization utilizes?</v>
      </c>
      <c r="E61" s="144" t="str">
        <f>CHAR(65+VLOOKUP(A61,'imp-questions'!A:H,8,FALSE))</f>
        <v>H</v>
      </c>
      <c r="F61" s="173" t="str">
        <f>Interview!F86</f>
        <v>Yes, some of the time</v>
      </c>
      <c r="G61" s="152">
        <f>IFERROR(VLOOKUP(F61,AnsHTBL,2,FALSE),0)</f>
        <v>0.25</v>
      </c>
      <c r="H61" s="122"/>
      <c r="I61" s="628"/>
      <c r="J61" s="262" t="str">
        <f>F61</f>
        <v>Yes, some of the time</v>
      </c>
      <c r="K61" s="152">
        <f>IFERROR(VLOOKUP(J61,AnsHTBL,2,FALSE),0)</f>
        <v>0.25</v>
      </c>
      <c r="L61" s="122"/>
      <c r="M61" s="628"/>
      <c r="N61" s="262" t="str">
        <f>J61</f>
        <v>Yes, some of the time</v>
      </c>
      <c r="O61" s="152">
        <f>IFERROR(VLOOKUP(N61,AnsHTBL,2,FALSE),0)</f>
        <v>0.25</v>
      </c>
      <c r="P61" s="122"/>
      <c r="Q61" s="628"/>
      <c r="R61" s="262" t="str">
        <f>N61</f>
        <v>Yes, some of the time</v>
      </c>
      <c r="S61" s="152">
        <f>IFERROR(VLOOKUP(R61,AnsHTBL,2,FALSE),0)</f>
        <v>0.25</v>
      </c>
      <c r="T61" s="122"/>
      <c r="U61" s="628"/>
      <c r="V61" s="262" t="str">
        <f>R61</f>
        <v>Yes, some of the time</v>
      </c>
      <c r="W61" s="152">
        <f>IFERROR(VLOOKUP(V61,AnsHTBL,2,FALSE),0)</f>
        <v>0.25</v>
      </c>
      <c r="X61" s="122"/>
      <c r="Y61" s="628"/>
    </row>
    <row r="62" spans="1:25" ht="13" x14ac:dyDescent="0.15">
      <c r="A62" s="142"/>
      <c r="B62" s="233"/>
      <c r="C62" s="222"/>
      <c r="D62" s="204"/>
      <c r="E62" s="204"/>
      <c r="F62" s="204"/>
      <c r="G62" s="204"/>
      <c r="H62" s="204"/>
      <c r="I62" s="204"/>
      <c r="J62" s="204"/>
      <c r="K62" s="204"/>
      <c r="L62" s="204"/>
      <c r="M62" s="204"/>
      <c r="N62" s="204"/>
      <c r="O62" s="204"/>
      <c r="P62" s="204"/>
      <c r="Q62" s="204"/>
      <c r="R62" s="204"/>
      <c r="S62" s="204"/>
      <c r="T62" s="204"/>
      <c r="U62" s="204"/>
      <c r="V62" s="204"/>
      <c r="W62" s="204"/>
      <c r="X62" s="204"/>
      <c r="Y62" s="204"/>
    </row>
    <row r="63" spans="1:25" x14ac:dyDescent="0.15">
      <c r="A63" s="142"/>
      <c r="B63" s="235" t="s">
        <v>312</v>
      </c>
      <c r="C63" s="224" t="s">
        <v>313</v>
      </c>
      <c r="D63" s="197" t="s">
        <v>23</v>
      </c>
      <c r="E63" s="198"/>
      <c r="F63" s="68" t="s">
        <v>31</v>
      </c>
      <c r="G63" s="68"/>
      <c r="H63" s="111"/>
      <c r="I63" s="213" t="s">
        <v>29</v>
      </c>
      <c r="J63" s="68" t="s">
        <v>31</v>
      </c>
      <c r="K63" s="68"/>
      <c r="L63" s="111"/>
      <c r="M63" s="213" t="s">
        <v>29</v>
      </c>
      <c r="N63" s="68" t="s">
        <v>31</v>
      </c>
      <c r="O63" s="68"/>
      <c r="P63" s="111"/>
      <c r="Q63" s="213" t="s">
        <v>29</v>
      </c>
      <c r="R63" s="68" t="s">
        <v>31</v>
      </c>
      <c r="S63" s="68"/>
      <c r="T63" s="111"/>
      <c r="U63" s="213" t="s">
        <v>29</v>
      </c>
      <c r="V63" s="68" t="s">
        <v>31</v>
      </c>
      <c r="W63" s="68"/>
      <c r="X63" s="111"/>
      <c r="Y63" s="213" t="s">
        <v>29</v>
      </c>
    </row>
    <row r="64" spans="1:25" x14ac:dyDescent="0.15">
      <c r="A64" s="142" t="str">
        <f>Interview!A89</f>
        <v>D-SA-A-1-1</v>
      </c>
      <c r="B64" s="599" t="str">
        <f>VLOOKUP(A64,'imp-questions'!A:H,4,FALSE)</f>
        <v>Architecture Design</v>
      </c>
      <c r="C64" s="225">
        <f>VLOOKUP(A64,'imp-questions'!A:H,5,FALSE)</f>
        <v>1</v>
      </c>
      <c r="D64" s="176" t="str">
        <f>VLOOKUP(A64,'imp-questions'!A:H,6,FALSE)</f>
        <v>Do teams use security principles during design?</v>
      </c>
      <c r="E64" s="144" t="str">
        <f>CHAR(65+VLOOKUP(A64,'imp-questions'!A:H,8,FALSE))</f>
        <v>F</v>
      </c>
      <c r="F64" s="169" t="str">
        <f>Interview!F89</f>
        <v>Yes, for most or all of the applications</v>
      </c>
      <c r="G64" s="152">
        <f>IFERROR(VLOOKUP(F64,AnsFTBL,2,FALSE),0)</f>
        <v>1</v>
      </c>
      <c r="H64" s="257">
        <f>IFERROR(AVERAGE(G64,G68),0)</f>
        <v>0.5</v>
      </c>
      <c r="I64" s="626">
        <f>SUM(H64:H66)</f>
        <v>2.5</v>
      </c>
      <c r="J64" s="262" t="str">
        <f>F64</f>
        <v>Yes, for most or all of the applications</v>
      </c>
      <c r="K64" s="152">
        <f>IFERROR(VLOOKUP(J64,AnsFTBL,2,FALSE),0)</f>
        <v>1</v>
      </c>
      <c r="L64" s="257">
        <f>IFERROR(AVERAGE(K64,K68),0)</f>
        <v>0.5</v>
      </c>
      <c r="M64" s="626">
        <f>SUM(L64:L66)</f>
        <v>2.5</v>
      </c>
      <c r="N64" s="262" t="str">
        <f>J64</f>
        <v>Yes, for most or all of the applications</v>
      </c>
      <c r="O64" s="152">
        <f>IFERROR(VLOOKUP(N64,AnsFTBL,2,FALSE),0)</f>
        <v>1</v>
      </c>
      <c r="P64" s="257">
        <f>IFERROR(AVERAGE(O64,O68),0)</f>
        <v>0.5</v>
      </c>
      <c r="Q64" s="626">
        <f>SUM(P64:P66)</f>
        <v>2.5</v>
      </c>
      <c r="R64" s="262" t="str">
        <f>N64</f>
        <v>Yes, for most or all of the applications</v>
      </c>
      <c r="S64" s="152">
        <f>IFERROR(VLOOKUP(R64,AnsFTBL,2,FALSE),0)</f>
        <v>1</v>
      </c>
      <c r="T64" s="257">
        <f>IFERROR(AVERAGE(S64,S68),0)</f>
        <v>0.5</v>
      </c>
      <c r="U64" s="626">
        <f>SUM(T64:T66)</f>
        <v>2.5</v>
      </c>
      <c r="V64" s="262" t="str">
        <f>R64</f>
        <v>Yes, for most or all of the applications</v>
      </c>
      <c r="W64" s="152">
        <f>IFERROR(VLOOKUP(V64,AnsFTBL,2,FALSE),0)</f>
        <v>1</v>
      </c>
      <c r="X64" s="257">
        <f>IFERROR(AVERAGE(W64,W68),0)</f>
        <v>0.5</v>
      </c>
      <c r="Y64" s="626">
        <f>SUM(X64:X66)</f>
        <v>2.5</v>
      </c>
    </row>
    <row r="65" spans="1:25" x14ac:dyDescent="0.15">
      <c r="A65" s="142" t="str">
        <f>Interview!A91</f>
        <v>D-SA-A-2-1</v>
      </c>
      <c r="B65" s="600"/>
      <c r="C65" s="225">
        <f>VLOOKUP(A65,'imp-questions'!A:H,5,FALSE)</f>
        <v>2</v>
      </c>
      <c r="D65" s="176" t="str">
        <f>VLOOKUP(A65,'imp-questions'!A:H,6,FALSE)</f>
        <v>Do you use shared security services during design?</v>
      </c>
      <c r="E65" s="144" t="str">
        <f>CHAR(65+VLOOKUP(A65,'imp-questions'!A:H,8,FALSE))</f>
        <v>F</v>
      </c>
      <c r="F65" s="169" t="str">
        <f>Interview!F91</f>
        <v>Yes, for most or all of the applications</v>
      </c>
      <c r="G65" s="152">
        <f>IFERROR(VLOOKUP(F65,AnsFTBL,2,FALSE),0)</f>
        <v>1</v>
      </c>
      <c r="H65" s="257">
        <f>IFERROR(AVERAGE(G65,G69),0)</f>
        <v>1</v>
      </c>
      <c r="I65" s="627"/>
      <c r="J65" s="262" t="str">
        <f>F65</f>
        <v>Yes, for most or all of the applications</v>
      </c>
      <c r="K65" s="152">
        <f>IFERROR(VLOOKUP(J65,AnsFTBL,2,FALSE),0)</f>
        <v>1</v>
      </c>
      <c r="L65" s="257">
        <f>IFERROR(AVERAGE(K65,K69),0)</f>
        <v>1</v>
      </c>
      <c r="M65" s="627"/>
      <c r="N65" s="262" t="str">
        <f>J65</f>
        <v>Yes, for most or all of the applications</v>
      </c>
      <c r="O65" s="152">
        <f>IFERROR(VLOOKUP(N65,AnsFTBL,2,FALSE),0)</f>
        <v>1</v>
      </c>
      <c r="P65" s="257">
        <f>IFERROR(AVERAGE(O65,O69),0)</f>
        <v>1</v>
      </c>
      <c r="Q65" s="627"/>
      <c r="R65" s="262" t="str">
        <f>N65</f>
        <v>Yes, for most or all of the applications</v>
      </c>
      <c r="S65" s="152">
        <f>IFERROR(VLOOKUP(R65,AnsFTBL,2,FALSE),0)</f>
        <v>1</v>
      </c>
      <c r="T65" s="257">
        <f>IFERROR(AVERAGE(S65,S69),0)</f>
        <v>1</v>
      </c>
      <c r="U65" s="627"/>
      <c r="V65" s="262" t="str">
        <f>R65</f>
        <v>Yes, for most or all of the applications</v>
      </c>
      <c r="W65" s="152">
        <f>IFERROR(VLOOKUP(V65,AnsFTBL,2,FALSE),0)</f>
        <v>1</v>
      </c>
      <c r="X65" s="257">
        <f>IFERROR(AVERAGE(W65,W69),0)</f>
        <v>1</v>
      </c>
      <c r="Y65" s="627"/>
    </row>
    <row r="66" spans="1:25" x14ac:dyDescent="0.15">
      <c r="A66" s="142" t="str">
        <f>Interview!A93</f>
        <v>D-SA-A-3-1</v>
      </c>
      <c r="B66" s="602"/>
      <c r="C66" s="225">
        <f>VLOOKUP(A66,'imp-questions'!A:H,5,FALSE)</f>
        <v>3</v>
      </c>
      <c r="D66" s="252" t="str">
        <f>VLOOKUP(A66,'imp-questions'!A:H,6,FALSE)</f>
        <v>Do you base your design on available reference architectures?</v>
      </c>
      <c r="E66" s="144" t="str">
        <f>CHAR(65+VLOOKUP(A66,'imp-questions'!A:H,8,FALSE))</f>
        <v>F</v>
      </c>
      <c r="F66" s="169" t="str">
        <f>Interview!F93</f>
        <v>Yes, for most or all of the applications</v>
      </c>
      <c r="G66" s="152">
        <f>IFERROR(VLOOKUP(F66,AnsFTBL,2,FALSE),0)</f>
        <v>1</v>
      </c>
      <c r="H66" s="257">
        <f>IFERROR(AVERAGE(G66,G70),0)</f>
        <v>1</v>
      </c>
      <c r="I66" s="627"/>
      <c r="J66" s="262" t="str">
        <f>F66</f>
        <v>Yes, for most or all of the applications</v>
      </c>
      <c r="K66" s="152">
        <f>IFERROR(VLOOKUP(J66,AnsFTBL,2,FALSE),0)</f>
        <v>1</v>
      </c>
      <c r="L66" s="257">
        <f>IFERROR(AVERAGE(K66,K70),0)</f>
        <v>1</v>
      </c>
      <c r="M66" s="627"/>
      <c r="N66" s="262" t="str">
        <f>J66</f>
        <v>Yes, for most or all of the applications</v>
      </c>
      <c r="O66" s="152">
        <f>IFERROR(VLOOKUP(N66,AnsFTBL,2,FALSE),0)</f>
        <v>1</v>
      </c>
      <c r="P66" s="257">
        <f>IFERROR(AVERAGE(O66,O70),0)</f>
        <v>1</v>
      </c>
      <c r="Q66" s="627"/>
      <c r="R66" s="262" t="str">
        <f>N66</f>
        <v>Yes, for most or all of the applications</v>
      </c>
      <c r="S66" s="152">
        <f>IFERROR(VLOOKUP(R66,AnsFTBL,2,FALSE),0)</f>
        <v>1</v>
      </c>
      <c r="T66" s="257">
        <f>IFERROR(AVERAGE(S66,S70),0)</f>
        <v>1</v>
      </c>
      <c r="U66" s="627"/>
      <c r="V66" s="262" t="str">
        <f>R66</f>
        <v>Yes, for most or all of the applications</v>
      </c>
      <c r="W66" s="152">
        <f>IFERROR(VLOOKUP(V66,AnsFTBL,2,FALSE),0)</f>
        <v>1</v>
      </c>
      <c r="X66" s="257">
        <f>IFERROR(AVERAGE(W66,W70),0)</f>
        <v>1</v>
      </c>
      <c r="Y66" s="627"/>
    </row>
    <row r="67" spans="1:25" ht="13" x14ac:dyDescent="0.15">
      <c r="A67" s="142"/>
      <c r="B67" s="236"/>
      <c r="C67" s="222"/>
      <c r="D67" s="204"/>
      <c r="E67" s="204"/>
      <c r="F67" s="204"/>
      <c r="G67" s="204"/>
      <c r="H67" s="204"/>
      <c r="I67" s="627"/>
      <c r="J67" s="204"/>
      <c r="K67" s="204"/>
      <c r="L67" s="204"/>
      <c r="M67" s="627"/>
      <c r="N67" s="204"/>
      <c r="O67" s="204"/>
      <c r="P67" s="204"/>
      <c r="Q67" s="627"/>
      <c r="R67" s="204"/>
      <c r="S67" s="204"/>
      <c r="T67" s="204"/>
      <c r="U67" s="627"/>
      <c r="V67" s="204"/>
      <c r="W67" s="204"/>
      <c r="X67" s="204"/>
      <c r="Y67" s="627"/>
    </row>
    <row r="68" spans="1:25" ht="28" x14ac:dyDescent="0.15">
      <c r="A68" s="142" t="str">
        <f>Interview!A96</f>
        <v>D-SA-B-1-1</v>
      </c>
      <c r="B68" s="599" t="str">
        <f>VLOOKUP(A68,'imp-questions'!A:H,4,FALSE)</f>
        <v>Technology Management</v>
      </c>
      <c r="C68" s="225">
        <f>VLOOKUP(A68,'imp-questions'!A:H,5,FALSE)</f>
        <v>1</v>
      </c>
      <c r="D68" s="176" t="str">
        <f>VLOOKUP(A68,'imp-questions'!A:H,6,FALSE)</f>
        <v>Do you evaluate the security quality of important technologies used for development?</v>
      </c>
      <c r="E68" s="144" t="str">
        <f>CHAR(65+VLOOKUP(A68,'imp-questions'!A:H,8,FALSE))</f>
        <v>F</v>
      </c>
      <c r="F68" s="169" t="str">
        <f>Interview!F96</f>
        <v>No</v>
      </c>
      <c r="G68" s="152">
        <f>IFERROR(VLOOKUP(F68,AnsFTBL,2,FALSE),0)</f>
        <v>0</v>
      </c>
      <c r="H68" s="122"/>
      <c r="I68" s="627"/>
      <c r="J68" s="262" t="str">
        <f>F68</f>
        <v>No</v>
      </c>
      <c r="K68" s="152">
        <f>IFERROR(VLOOKUP(J68,AnsFTBL,2,FALSE),0)</f>
        <v>0</v>
      </c>
      <c r="L68" s="122"/>
      <c r="M68" s="627"/>
      <c r="N68" s="262" t="str">
        <f>J68</f>
        <v>No</v>
      </c>
      <c r="O68" s="152">
        <f>IFERROR(VLOOKUP(N68,AnsFTBL,2,FALSE),0)</f>
        <v>0</v>
      </c>
      <c r="P68" s="122"/>
      <c r="Q68" s="627"/>
      <c r="R68" s="262" t="str">
        <f>N68</f>
        <v>No</v>
      </c>
      <c r="S68" s="152">
        <f>IFERROR(VLOOKUP(R68,AnsFTBL,2,FALSE),0)</f>
        <v>0</v>
      </c>
      <c r="T68" s="122"/>
      <c r="U68" s="627"/>
      <c r="V68" s="262" t="str">
        <f>R68</f>
        <v>No</v>
      </c>
      <c r="W68" s="152">
        <f>IFERROR(VLOOKUP(V68,AnsFTBL,2,FALSE),0)</f>
        <v>0</v>
      </c>
      <c r="X68" s="122"/>
      <c r="Y68" s="627"/>
    </row>
    <row r="69" spans="1:25" ht="28" x14ac:dyDescent="0.15">
      <c r="A69" s="142" t="str">
        <f>Interview!A98</f>
        <v>D-SA-B-2-1</v>
      </c>
      <c r="B69" s="600"/>
      <c r="C69" s="225">
        <f>VLOOKUP(A69,'imp-questions'!A:H,5,FALSE)</f>
        <v>2</v>
      </c>
      <c r="D69" s="176" t="str">
        <f>VLOOKUP(A69,'imp-questions'!A:H,6,FALSE)</f>
        <v>Do you have a list of recommended technologies for the organization?</v>
      </c>
      <c r="E69" s="144" t="str">
        <f>CHAR(65+VLOOKUP(A69,'imp-questions'!A:H,8,FALSE))</f>
        <v>U</v>
      </c>
      <c r="F69" s="173" t="str">
        <f>Interview!F98</f>
        <v>Yes, for most or all of the technology domains</v>
      </c>
      <c r="G69" s="152">
        <f>IFERROR(VLOOKUP(F69,AnsUTBL,2,FALSE),0)</f>
        <v>1</v>
      </c>
      <c r="H69" s="122"/>
      <c r="I69" s="627"/>
      <c r="J69" s="262" t="str">
        <f>F69</f>
        <v>Yes, for most or all of the technology domains</v>
      </c>
      <c r="K69" s="152">
        <f>IFERROR(VLOOKUP(J69,AnsUTBL,2,FALSE),0)</f>
        <v>1</v>
      </c>
      <c r="L69" s="122"/>
      <c r="M69" s="627"/>
      <c r="N69" s="262" t="str">
        <f>J69</f>
        <v>Yes, for most or all of the technology domains</v>
      </c>
      <c r="O69" s="152">
        <f>IFERROR(VLOOKUP(N69,AnsUTBL,2,FALSE),0)</f>
        <v>1</v>
      </c>
      <c r="P69" s="122"/>
      <c r="Q69" s="627"/>
      <c r="R69" s="262" t="str">
        <f>N69</f>
        <v>Yes, for most or all of the technology domains</v>
      </c>
      <c r="S69" s="152">
        <f>IFERROR(VLOOKUP(R69,AnsUTBL,2,FALSE),0)</f>
        <v>1</v>
      </c>
      <c r="T69" s="122"/>
      <c r="U69" s="627"/>
      <c r="V69" s="262" t="str">
        <f>R69</f>
        <v>Yes, for most or all of the technology domains</v>
      </c>
      <c r="W69" s="152">
        <f>IFERROR(VLOOKUP(V69,AnsUTBL,2,FALSE),0)</f>
        <v>1</v>
      </c>
      <c r="X69" s="122"/>
      <c r="Y69" s="627"/>
    </row>
    <row r="70" spans="1:25" x14ac:dyDescent="0.15">
      <c r="A70" s="142" t="str">
        <f>Interview!A100</f>
        <v>D-SA-B-3-1</v>
      </c>
      <c r="B70" s="600"/>
      <c r="C70" s="225">
        <f>VLOOKUP(A70,'imp-questions'!A:H,5,FALSE)</f>
        <v>3</v>
      </c>
      <c r="D70" s="252" t="str">
        <f>VLOOKUP(A70,'imp-questions'!A:H,6,FALSE)</f>
        <v>Do you enforce the use of recommended technologies within the organization?</v>
      </c>
      <c r="E70" s="144" t="str">
        <f>CHAR(65+VLOOKUP(A70,'imp-questions'!A:H,8,FALSE))</f>
        <v>F</v>
      </c>
      <c r="F70" s="169" t="str">
        <f>Interview!F100</f>
        <v>Yes, for most or all of the applications</v>
      </c>
      <c r="G70" s="152">
        <f>IFERROR(VLOOKUP(F70,AnsFTBL,2,FALSE),0)</f>
        <v>1</v>
      </c>
      <c r="H70" s="122"/>
      <c r="I70" s="629"/>
      <c r="J70" s="262" t="str">
        <f>F70</f>
        <v>Yes, for most or all of the applications</v>
      </c>
      <c r="K70" s="152">
        <f>IFERROR(VLOOKUP(J70,AnsFTBL,2,FALSE),0)</f>
        <v>1</v>
      </c>
      <c r="L70" s="122"/>
      <c r="M70" s="629"/>
      <c r="N70" s="262" t="str">
        <f>J70</f>
        <v>Yes, for most or all of the applications</v>
      </c>
      <c r="O70" s="152">
        <f>IFERROR(VLOOKUP(N70,AnsFTBL,2,FALSE),0)</f>
        <v>1</v>
      </c>
      <c r="P70" s="122"/>
      <c r="Q70" s="629"/>
      <c r="R70" s="262" t="str">
        <f>N70</f>
        <v>Yes, for most or all of the applications</v>
      </c>
      <c r="S70" s="152">
        <f>IFERROR(VLOOKUP(R70,AnsFTBL,2,FALSE),0)</f>
        <v>1</v>
      </c>
      <c r="T70" s="122"/>
      <c r="U70" s="629"/>
      <c r="V70" s="262" t="str">
        <f>R70</f>
        <v>Yes, for most or all of the applications</v>
      </c>
      <c r="W70" s="152">
        <f>IFERROR(VLOOKUP(V70,AnsFTBL,2,FALSE),0)</f>
        <v>1</v>
      </c>
      <c r="X70" s="122"/>
      <c r="Y70" s="629"/>
    </row>
    <row r="71" spans="1:25" ht="13" x14ac:dyDescent="0.15">
      <c r="A71" s="142"/>
      <c r="B71" s="236"/>
      <c r="C71" s="222"/>
      <c r="D71" s="204"/>
      <c r="E71" s="204"/>
      <c r="F71" s="204"/>
      <c r="G71" s="204"/>
      <c r="H71" s="204"/>
      <c r="I71" s="204"/>
      <c r="J71" s="204"/>
      <c r="K71" s="204"/>
      <c r="L71" s="204"/>
      <c r="M71" s="204"/>
      <c r="N71" s="204"/>
      <c r="O71" s="204"/>
      <c r="P71" s="204"/>
      <c r="Q71" s="204"/>
      <c r="R71" s="204"/>
      <c r="S71" s="204"/>
      <c r="T71" s="204"/>
      <c r="U71" s="204"/>
      <c r="V71" s="204"/>
      <c r="W71" s="204"/>
      <c r="X71" s="204"/>
      <c r="Y71" s="204"/>
    </row>
    <row r="72" spans="1:25" ht="28" x14ac:dyDescent="0.15">
      <c r="A72" s="142"/>
      <c r="B72" s="280" t="s">
        <v>208</v>
      </c>
      <c r="C72" s="280"/>
      <c r="D72" s="281"/>
      <c r="E72" s="281"/>
      <c r="F72" s="610" t="s">
        <v>55</v>
      </c>
      <c r="G72" s="610"/>
      <c r="H72" s="610"/>
      <c r="I72" s="610"/>
      <c r="J72" s="609" t="s">
        <v>314</v>
      </c>
      <c r="K72" s="610"/>
      <c r="L72" s="610"/>
      <c r="M72" s="611"/>
      <c r="N72" s="609" t="s">
        <v>315</v>
      </c>
      <c r="O72" s="610"/>
      <c r="P72" s="610"/>
      <c r="Q72" s="611"/>
      <c r="R72" s="609" t="s">
        <v>316</v>
      </c>
      <c r="S72" s="610"/>
      <c r="T72" s="610"/>
      <c r="U72" s="611"/>
      <c r="V72" s="609" t="s">
        <v>317</v>
      </c>
      <c r="W72" s="610"/>
      <c r="X72" s="610"/>
      <c r="Y72" s="611"/>
    </row>
    <row r="73" spans="1:25" x14ac:dyDescent="0.15">
      <c r="A73" s="142"/>
      <c r="B73" s="282" t="s">
        <v>312</v>
      </c>
      <c r="C73" s="283" t="s">
        <v>313</v>
      </c>
      <c r="D73" s="282" t="s">
        <v>209</v>
      </c>
      <c r="E73" s="285"/>
      <c r="F73" s="286" t="s">
        <v>31</v>
      </c>
      <c r="G73" s="286"/>
      <c r="H73" s="287"/>
      <c r="I73" s="288" t="s">
        <v>29</v>
      </c>
      <c r="J73" s="286" t="s">
        <v>31</v>
      </c>
      <c r="K73" s="286"/>
      <c r="L73" s="287"/>
      <c r="M73" s="288" t="s">
        <v>29</v>
      </c>
      <c r="N73" s="286" t="s">
        <v>31</v>
      </c>
      <c r="O73" s="286"/>
      <c r="P73" s="287"/>
      <c r="Q73" s="288" t="s">
        <v>29</v>
      </c>
      <c r="R73" s="286" t="s">
        <v>31</v>
      </c>
      <c r="S73" s="286"/>
      <c r="T73" s="287"/>
      <c r="U73" s="288" t="s">
        <v>29</v>
      </c>
      <c r="V73" s="286" t="s">
        <v>31</v>
      </c>
      <c r="W73" s="286"/>
      <c r="X73" s="287"/>
      <c r="Y73" s="288" t="s">
        <v>29</v>
      </c>
    </row>
    <row r="74" spans="1:25" x14ac:dyDescent="0.15">
      <c r="A74" s="142" t="str">
        <f>Interview!A104</f>
        <v>I-SB-A-1-1</v>
      </c>
      <c r="B74" s="603" t="str">
        <f>VLOOKUP(A74,'imp-questions'!A:H,4,FALSE)</f>
        <v>Build Process</v>
      </c>
      <c r="C74" s="284">
        <f>VLOOKUP(A74,'imp-questions'!A:H,5,FALSE)</f>
        <v>1</v>
      </c>
      <c r="D74" s="176" t="str">
        <f>VLOOKUP(A74,'imp-questions'!A:H,6,FALSE)</f>
        <v>Is your full build process formally described?</v>
      </c>
      <c r="E74" s="144" t="str">
        <f>CHAR(65+VLOOKUP(A74,'imp-questions'!A:H,8,FALSE))</f>
        <v>F</v>
      </c>
      <c r="F74" s="169" t="str">
        <f>Interview!F104</f>
        <v>No</v>
      </c>
      <c r="G74" s="152">
        <f>IFERROR(VLOOKUP(F74,AnsFTBL,2,FALSE),0)</f>
        <v>0</v>
      </c>
      <c r="H74" s="257">
        <f>IFERROR(AVERAGE(G74,G78),0)</f>
        <v>0</v>
      </c>
      <c r="I74" s="630">
        <f>SUM(H74:H76)</f>
        <v>0.5</v>
      </c>
      <c r="J74" s="169">
        <f>Interview!J104</f>
        <v>0.5</v>
      </c>
      <c r="K74" s="152">
        <f>IFERROR(VLOOKUP(J74,AnsFTBL,2,FALSE),0)</f>
        <v>0</v>
      </c>
      <c r="L74" s="257">
        <f>IFERROR(AVERAGE(K74,K78),0)</f>
        <v>0</v>
      </c>
      <c r="M74" s="630">
        <f>SUM(L74:L76)</f>
        <v>0</v>
      </c>
      <c r="N74" s="169" t="str">
        <f>Interview!M104</f>
        <v>unconfident</v>
      </c>
      <c r="O74" s="152">
        <f>IFERROR(VLOOKUP(N74,AnsFTBL,2,FALSE),0)</f>
        <v>0</v>
      </c>
      <c r="P74" s="257">
        <f>IFERROR(AVERAGE(O74,O78),0)</f>
        <v>0</v>
      </c>
      <c r="Q74" s="630">
        <f>SUM(P74:P76)</f>
        <v>0</v>
      </c>
      <c r="R74" s="262" t="str">
        <f>N74</f>
        <v>unconfident</v>
      </c>
      <c r="S74" s="152">
        <f>IFERROR(VLOOKUP(R74,AnsFTBL,2,FALSE),0)</f>
        <v>0</v>
      </c>
      <c r="T74" s="257">
        <f>IFERROR(AVERAGE(S74,S78),0)</f>
        <v>0</v>
      </c>
      <c r="U74" s="630">
        <f>SUM(T74:T76)</f>
        <v>0</v>
      </c>
      <c r="V74" s="262" t="str">
        <f>R74</f>
        <v>unconfident</v>
      </c>
      <c r="W74" s="152">
        <f>IFERROR(VLOOKUP(V74,AnsFTBL,2,FALSE),0)</f>
        <v>0</v>
      </c>
      <c r="X74" s="257">
        <f>IFERROR(AVERAGE(W74,W78),0)</f>
        <v>0</v>
      </c>
      <c r="Y74" s="630">
        <f>SUM(X74:X76)</f>
        <v>0</v>
      </c>
    </row>
    <row r="75" spans="1:25" x14ac:dyDescent="0.15">
      <c r="A75" s="142" t="str">
        <f>Interview!A106</f>
        <v>I-SB-A-2-1</v>
      </c>
      <c r="B75" s="604"/>
      <c r="C75" s="284">
        <f>VLOOKUP(A75,'imp-questions'!A:H,5,FALSE)</f>
        <v>2</v>
      </c>
      <c r="D75" s="176" t="str">
        <f>VLOOKUP(A75,'imp-questions'!A:H,6,FALSE)</f>
        <v>Is the build process fully automated?</v>
      </c>
      <c r="E75" s="144" t="str">
        <f>CHAR(65+VLOOKUP(A75,'imp-questions'!A:H,8,FALSE))</f>
        <v>F</v>
      </c>
      <c r="F75" s="169" t="str">
        <f>Interview!F106</f>
        <v>No</v>
      </c>
      <c r="G75" s="152">
        <f>IFERROR(VLOOKUP(F75,AnsFTBL,2,FALSE),0)</f>
        <v>0</v>
      </c>
      <c r="H75" s="257">
        <f>IFERROR(AVERAGE(G75,G79),0)</f>
        <v>0</v>
      </c>
      <c r="I75" s="631"/>
      <c r="J75" s="169">
        <f>Interview!J106</f>
        <v>0</v>
      </c>
      <c r="K75" s="152">
        <f>IFERROR(VLOOKUP(J75,AnsFTBL,2,FALSE),0)</f>
        <v>0</v>
      </c>
      <c r="L75" s="257">
        <f>IFERROR(AVERAGE(K75,K79),0)</f>
        <v>0</v>
      </c>
      <c r="M75" s="631"/>
      <c r="N75" s="169">
        <f>Interview!M106</f>
        <v>0</v>
      </c>
      <c r="O75" s="152">
        <f>IFERROR(VLOOKUP(N75,AnsFTBL,2,FALSE),0)</f>
        <v>0</v>
      </c>
      <c r="P75" s="257">
        <f>IFERROR(AVERAGE(O75,O79),0)</f>
        <v>0</v>
      </c>
      <c r="Q75" s="631"/>
      <c r="R75" s="262">
        <f>N75</f>
        <v>0</v>
      </c>
      <c r="S75" s="152">
        <f>IFERROR(VLOOKUP(R75,AnsFTBL,2,FALSE),0)</f>
        <v>0</v>
      </c>
      <c r="T75" s="257">
        <f>IFERROR(AVERAGE(S75,S79),0)</f>
        <v>0</v>
      </c>
      <c r="U75" s="631"/>
      <c r="V75" s="262">
        <f>R75</f>
        <v>0</v>
      </c>
      <c r="W75" s="152">
        <f>IFERROR(VLOOKUP(V75,AnsFTBL,2,FALSE),0)</f>
        <v>0</v>
      </c>
      <c r="X75" s="257">
        <f>IFERROR(AVERAGE(W75,W79),0)</f>
        <v>0</v>
      </c>
      <c r="Y75" s="631"/>
    </row>
    <row r="76" spans="1:25" x14ac:dyDescent="0.15">
      <c r="A76" s="142" t="str">
        <f>Interview!A108</f>
        <v>I-SB-A-3-1</v>
      </c>
      <c r="B76" s="605"/>
      <c r="C76" s="284">
        <f>VLOOKUP(A76,'imp-questions'!A:H,5,FALSE)</f>
        <v>3</v>
      </c>
      <c r="D76" s="252" t="str">
        <f>VLOOKUP(A76,'imp-questions'!A:H,6,FALSE)</f>
        <v>Do you enforce automated security checks in your build processes?</v>
      </c>
      <c r="E76" s="144" t="str">
        <f>CHAR(65+VLOOKUP(A76,'imp-questions'!A:H,8,FALSE))</f>
        <v>F</v>
      </c>
      <c r="F76" s="169" t="str">
        <f>Interview!F108</f>
        <v>No</v>
      </c>
      <c r="G76" s="152">
        <f>IFERROR(VLOOKUP(F76,AnsFTBL,2,FALSE),0)</f>
        <v>0</v>
      </c>
      <c r="H76" s="257">
        <f>IFERROR(AVERAGE(G76,G80),0)</f>
        <v>0.5</v>
      </c>
      <c r="I76" s="631"/>
      <c r="J76" s="169">
        <f>Interview!J108</f>
        <v>0</v>
      </c>
      <c r="K76" s="152">
        <f>IFERROR(VLOOKUP(J76,AnsFTBL,2,FALSE),0)</f>
        <v>0</v>
      </c>
      <c r="L76" s="257">
        <f>IFERROR(AVERAGE(K76,K80),0)</f>
        <v>0</v>
      </c>
      <c r="M76" s="631"/>
      <c r="N76" s="169">
        <f>Interview!M108</f>
        <v>0</v>
      </c>
      <c r="O76" s="152">
        <f>IFERROR(VLOOKUP(N76,AnsFTBL,2,FALSE),0)</f>
        <v>0</v>
      </c>
      <c r="P76" s="257">
        <f>IFERROR(AVERAGE(O76,O80),0)</f>
        <v>0</v>
      </c>
      <c r="Q76" s="631"/>
      <c r="R76" s="262">
        <f>N76</f>
        <v>0</v>
      </c>
      <c r="S76" s="152">
        <f>IFERROR(VLOOKUP(R76,AnsFTBL,2,FALSE),0)</f>
        <v>0</v>
      </c>
      <c r="T76" s="257">
        <f>IFERROR(AVERAGE(S76,S80),0)</f>
        <v>0</v>
      </c>
      <c r="U76" s="631"/>
      <c r="V76" s="262">
        <f>R76</f>
        <v>0</v>
      </c>
      <c r="W76" s="152">
        <f>IFERROR(VLOOKUP(V76,AnsFTBL,2,FALSE),0)</f>
        <v>0</v>
      </c>
      <c r="X76" s="257">
        <f>IFERROR(AVERAGE(W76,W80),0)</f>
        <v>0</v>
      </c>
      <c r="Y76" s="631"/>
    </row>
    <row r="77" spans="1:25" ht="13" x14ac:dyDescent="0.15">
      <c r="A77" s="142"/>
      <c r="B77" s="233"/>
      <c r="C77" s="222"/>
      <c r="D77" s="204"/>
      <c r="E77" s="204"/>
      <c r="F77" s="204"/>
      <c r="G77" s="204"/>
      <c r="H77" s="204"/>
      <c r="I77" s="631"/>
      <c r="J77" s="204"/>
      <c r="K77" s="204"/>
      <c r="L77" s="204"/>
      <c r="M77" s="631"/>
      <c r="N77" s="204"/>
      <c r="O77" s="204"/>
      <c r="P77" s="204"/>
      <c r="Q77" s="631"/>
      <c r="R77" s="204"/>
      <c r="S77" s="204"/>
      <c r="T77" s="204"/>
      <c r="U77" s="631"/>
      <c r="V77" s="204"/>
      <c r="W77" s="204"/>
      <c r="X77" s="204"/>
      <c r="Y77" s="631"/>
    </row>
    <row r="78" spans="1:25" x14ac:dyDescent="0.15">
      <c r="A78" s="142" t="str">
        <f>Interview!A111</f>
        <v>I-SB-B-1-1</v>
      </c>
      <c r="B78" s="603" t="str">
        <f>VLOOKUP(A78,'imp-questions'!A:H,4,FALSE)</f>
        <v>Software Dependencies</v>
      </c>
      <c r="C78" s="284">
        <f>VLOOKUP(A78,'imp-questions'!A:H,5,FALSE)</f>
        <v>1</v>
      </c>
      <c r="D78" s="176" t="str">
        <f>VLOOKUP(A78,'imp-questions'!A:H,6,FALSE)</f>
        <v>Do you have solid knowledge about dependencies you're relying on?</v>
      </c>
      <c r="E78" s="144" t="str">
        <f>CHAR(65+VLOOKUP(A78,'imp-questions'!A:H,8,FALSE))</f>
        <v>F</v>
      </c>
      <c r="F78" s="169" t="str">
        <f>Interview!F111</f>
        <v>No</v>
      </c>
      <c r="G78" s="152">
        <f>IFERROR(VLOOKUP(F78,AnsFTBL,2,FALSE),0)</f>
        <v>0</v>
      </c>
      <c r="H78" s="122"/>
      <c r="I78" s="631"/>
      <c r="J78" s="169">
        <f>Interview!J111</f>
        <v>0</v>
      </c>
      <c r="K78" s="152">
        <f>IFERROR(VLOOKUP(J78,AnsFTBL,2,FALSE),0)</f>
        <v>0</v>
      </c>
      <c r="L78" s="122"/>
      <c r="M78" s="631"/>
      <c r="N78" s="169" t="str">
        <f>Interview!M111</f>
        <v>unconfident</v>
      </c>
      <c r="O78" s="152">
        <f>IFERROR(VLOOKUP(N78,AnsFTBL,2,FALSE),0)</f>
        <v>0</v>
      </c>
      <c r="P78" s="122"/>
      <c r="Q78" s="631"/>
      <c r="R78" s="262" t="str">
        <f>N78</f>
        <v>unconfident</v>
      </c>
      <c r="S78" s="152">
        <f>IFERROR(VLOOKUP(R78,AnsFTBL,2,FALSE),0)</f>
        <v>0</v>
      </c>
      <c r="T78" s="122"/>
      <c r="U78" s="631"/>
      <c r="V78" s="262" t="str">
        <f>R78</f>
        <v>unconfident</v>
      </c>
      <c r="W78" s="152">
        <f>IFERROR(VLOOKUP(V78,AnsFTBL,2,FALSE),0)</f>
        <v>0</v>
      </c>
      <c r="X78" s="122"/>
      <c r="Y78" s="631"/>
    </row>
    <row r="79" spans="1:25" x14ac:dyDescent="0.15">
      <c r="A79" s="142" t="str">
        <f>Interview!A113</f>
        <v>I-SB-B-2-1</v>
      </c>
      <c r="B79" s="604"/>
      <c r="C79" s="284">
        <f>VLOOKUP(A79,'imp-questions'!A:H,5,FALSE)</f>
        <v>2</v>
      </c>
      <c r="D79" s="176" t="str">
        <f>VLOOKUP(A79,'imp-questions'!A:H,6,FALSE)</f>
        <v>Do you handle 3rd party dependency risk by a formal process?</v>
      </c>
      <c r="E79" s="144" t="str">
        <f>CHAR(65+VLOOKUP(A79,'imp-questions'!A:H,8,FALSE))</f>
        <v>F</v>
      </c>
      <c r="F79" s="169" t="str">
        <f>Interview!F113</f>
        <v>No</v>
      </c>
      <c r="G79" s="152">
        <f>IFERROR(VLOOKUP(F79,AnsFTBL,2,FALSE),0)</f>
        <v>0</v>
      </c>
      <c r="H79" s="122"/>
      <c r="I79" s="631"/>
      <c r="J79" s="169">
        <f>Interview!J113</f>
        <v>0</v>
      </c>
      <c r="K79" s="152">
        <f>IFERROR(VLOOKUP(J79,AnsFTBL,2,FALSE),0)</f>
        <v>0</v>
      </c>
      <c r="L79" s="122"/>
      <c r="M79" s="631"/>
      <c r="N79" s="169">
        <f>Interview!M113</f>
        <v>0</v>
      </c>
      <c r="O79" s="152">
        <f>IFERROR(VLOOKUP(N79,AnsFTBL,2,FALSE),0)</f>
        <v>0</v>
      </c>
      <c r="P79" s="122"/>
      <c r="Q79" s="631"/>
      <c r="R79" s="262">
        <f>N79</f>
        <v>0</v>
      </c>
      <c r="S79" s="152">
        <f>IFERROR(VLOOKUP(R79,AnsFTBL,2,FALSE),0)</f>
        <v>0</v>
      </c>
      <c r="T79" s="122"/>
      <c r="U79" s="631"/>
      <c r="V79" s="262">
        <f>R79</f>
        <v>0</v>
      </c>
      <c r="W79" s="152">
        <f>IFERROR(VLOOKUP(V79,AnsFTBL,2,FALSE),0)</f>
        <v>0</v>
      </c>
      <c r="X79" s="122"/>
      <c r="Y79" s="631"/>
    </row>
    <row r="80" spans="1:25" ht="28" x14ac:dyDescent="0.15">
      <c r="A80" s="142" t="str">
        <f>Interview!A115</f>
        <v>I-SB-B-3-1</v>
      </c>
      <c r="B80" s="605"/>
      <c r="C80" s="284">
        <f>VLOOKUP(A80,'imp-questions'!A:H,5,FALSE)</f>
        <v>3</v>
      </c>
      <c r="D80" s="252" t="str">
        <f>VLOOKUP(A80,'imp-questions'!A:H,6,FALSE)</f>
        <v>Do you prevent build of software if it's affected by vulnerabilities in dependencies?</v>
      </c>
      <c r="E80" s="144" t="str">
        <f>CHAR(65+VLOOKUP(A80,'imp-questions'!A:H,8,FALSE))</f>
        <v>F</v>
      </c>
      <c r="F80" s="169" t="str">
        <f>Interview!F115</f>
        <v>Yes, for most or all of the applications</v>
      </c>
      <c r="G80" s="152">
        <f>IFERROR(VLOOKUP(F80,AnsFTBL,2,FALSE),0)</f>
        <v>1</v>
      </c>
      <c r="H80" s="122"/>
      <c r="I80" s="632"/>
      <c r="J80" s="169">
        <f>Interview!J115</f>
        <v>0</v>
      </c>
      <c r="K80" s="152">
        <f>IFERROR(VLOOKUP(J80,AnsFTBL,2,FALSE),0)</f>
        <v>0</v>
      </c>
      <c r="L80" s="122"/>
      <c r="M80" s="632"/>
      <c r="N80" s="169">
        <f>Interview!M115</f>
        <v>0</v>
      </c>
      <c r="O80" s="152">
        <f>IFERROR(VLOOKUP(N80,AnsFTBL,2,FALSE),0)</f>
        <v>0</v>
      </c>
      <c r="P80" s="122"/>
      <c r="Q80" s="632"/>
      <c r="R80" s="262">
        <f>N80</f>
        <v>0</v>
      </c>
      <c r="S80" s="152">
        <f>IFERROR(VLOOKUP(R80,AnsFTBL,2,FALSE),0)</f>
        <v>0</v>
      </c>
      <c r="T80" s="122"/>
      <c r="U80" s="632"/>
      <c r="V80" s="262">
        <f>R80</f>
        <v>0</v>
      </c>
      <c r="W80" s="152">
        <f>IFERROR(VLOOKUP(V80,AnsFTBL,2,FALSE),0)</f>
        <v>0</v>
      </c>
      <c r="X80" s="122"/>
      <c r="Y80" s="632"/>
    </row>
    <row r="81" spans="1:25" ht="13" x14ac:dyDescent="0.15">
      <c r="A81" s="142"/>
      <c r="B81" s="233"/>
      <c r="C81" s="222"/>
      <c r="D81" s="204"/>
      <c r="E81" s="204"/>
      <c r="F81" s="204"/>
      <c r="G81" s="204"/>
      <c r="H81" s="204"/>
      <c r="I81" s="204"/>
      <c r="J81" s="204"/>
      <c r="K81" s="204"/>
      <c r="L81" s="204"/>
      <c r="M81" s="204"/>
      <c r="N81" s="204"/>
      <c r="O81" s="204"/>
      <c r="P81" s="204"/>
      <c r="Q81" s="204"/>
      <c r="R81" s="204"/>
      <c r="S81" s="204"/>
      <c r="T81" s="204"/>
      <c r="U81" s="204"/>
      <c r="V81" s="204"/>
      <c r="W81" s="204"/>
      <c r="X81" s="204"/>
      <c r="Y81" s="204"/>
    </row>
    <row r="82" spans="1:25" x14ac:dyDescent="0.15">
      <c r="A82" s="142"/>
      <c r="B82" s="282" t="s">
        <v>312</v>
      </c>
      <c r="C82" s="283" t="s">
        <v>313</v>
      </c>
      <c r="D82" s="289" t="s">
        <v>219</v>
      </c>
      <c r="E82" s="290"/>
      <c r="F82" s="291" t="s">
        <v>31</v>
      </c>
      <c r="G82" s="291"/>
      <c r="H82" s="292"/>
      <c r="I82" s="288" t="s">
        <v>29</v>
      </c>
      <c r="J82" s="291" t="s">
        <v>31</v>
      </c>
      <c r="K82" s="291"/>
      <c r="L82" s="292"/>
      <c r="M82" s="288" t="s">
        <v>29</v>
      </c>
      <c r="N82" s="291" t="s">
        <v>31</v>
      </c>
      <c r="O82" s="291"/>
      <c r="P82" s="292"/>
      <c r="Q82" s="288" t="s">
        <v>29</v>
      </c>
      <c r="R82" s="291" t="s">
        <v>31</v>
      </c>
      <c r="S82" s="291"/>
      <c r="T82" s="292"/>
      <c r="U82" s="288" t="s">
        <v>29</v>
      </c>
      <c r="V82" s="291" t="s">
        <v>31</v>
      </c>
      <c r="W82" s="291"/>
      <c r="X82" s="292"/>
      <c r="Y82" s="288" t="s">
        <v>29</v>
      </c>
    </row>
    <row r="83" spans="1:25" x14ac:dyDescent="0.15">
      <c r="A83" s="142" t="str">
        <f>Interview!A118</f>
        <v>I-SD-A-1-1</v>
      </c>
      <c r="B83" s="603" t="str">
        <f>VLOOKUP(A83,'imp-questions'!A:H,4,FALSE)</f>
        <v>Deployment Process</v>
      </c>
      <c r="C83" s="284">
        <f>VLOOKUP(A83,'imp-questions'!A:H,5,FALSE)</f>
        <v>1</v>
      </c>
      <c r="D83" s="176" t="str">
        <f>VLOOKUP(A83,'imp-questions'!A:H,6,FALSE)</f>
        <v>Do you use repeatable deployment processes?</v>
      </c>
      <c r="E83" s="144" t="str">
        <f>CHAR(65+VLOOKUP(A83,'imp-questions'!A:H,8,FALSE))</f>
        <v>F</v>
      </c>
      <c r="F83" s="169" t="str">
        <f>Interview!F118</f>
        <v>Yes, for some applications</v>
      </c>
      <c r="G83" s="152">
        <f>IFERROR(VLOOKUP(F83,AnsFTBL,2,FALSE),0)</f>
        <v>0.25</v>
      </c>
      <c r="H83" s="257">
        <f>IFERROR(AVERAGE(G83,G87),0)</f>
        <v>0.625</v>
      </c>
      <c r="I83" s="630">
        <f>SUM(H83:H85)</f>
        <v>1.75</v>
      </c>
      <c r="J83" s="169">
        <f>Interview!J118</f>
        <v>1.75</v>
      </c>
      <c r="K83" s="152">
        <f>IFERROR(VLOOKUP(J83,AnsFTBL,2,FALSE),0)</f>
        <v>0</v>
      </c>
      <c r="L83" s="257">
        <f>IFERROR(AVERAGE(K83,K87),0)</f>
        <v>0</v>
      </c>
      <c r="M83" s="630">
        <f>SUM(L83:L85)</f>
        <v>0</v>
      </c>
      <c r="N83" s="169" t="str">
        <f>Interview!M118</f>
        <v>unconfident</v>
      </c>
      <c r="O83" s="152">
        <f>IFERROR(VLOOKUP(N83,AnsFTBL,2,FALSE),0)</f>
        <v>0</v>
      </c>
      <c r="P83" s="257">
        <f>IFERROR(AVERAGE(O83,O87),0)</f>
        <v>0</v>
      </c>
      <c r="Q83" s="630">
        <f>SUM(P83:P85)</f>
        <v>0</v>
      </c>
      <c r="R83" s="262" t="str">
        <f>N83</f>
        <v>unconfident</v>
      </c>
      <c r="S83" s="152">
        <f>IFERROR(VLOOKUP(R83,AnsFTBL,2,FALSE),0)</f>
        <v>0</v>
      </c>
      <c r="T83" s="257">
        <f>IFERROR(AVERAGE(S83,S87),0)</f>
        <v>0</v>
      </c>
      <c r="U83" s="630">
        <f>SUM(T83:T85)</f>
        <v>0</v>
      </c>
      <c r="V83" s="262" t="str">
        <f>R83</f>
        <v>unconfident</v>
      </c>
      <c r="W83" s="152">
        <f>IFERROR(VLOOKUP(V83,AnsFTBL,2,FALSE),0)</f>
        <v>0</v>
      </c>
      <c r="X83" s="257">
        <f>IFERROR(AVERAGE(W83,W87),0)</f>
        <v>0</v>
      </c>
      <c r="Y83" s="630">
        <f>SUM(X83:X85)</f>
        <v>0</v>
      </c>
    </row>
    <row r="84" spans="1:25" x14ac:dyDescent="0.15">
      <c r="A84" s="142" t="str">
        <f>Interview!A120</f>
        <v>I-SD-A-2-1</v>
      </c>
      <c r="B84" s="604"/>
      <c r="C84" s="284">
        <f>VLOOKUP(A84,'imp-questions'!A:H,5,FALSE)</f>
        <v>2</v>
      </c>
      <c r="D84" s="176" t="str">
        <f>VLOOKUP(A84,'imp-questions'!A:H,6,FALSE)</f>
        <v>Are deployment processes automated and employing security checks?</v>
      </c>
      <c r="E84" s="144" t="str">
        <f>CHAR(65+VLOOKUP(A84,'imp-questions'!A:H,8,FALSE))</f>
        <v>F</v>
      </c>
      <c r="F84" s="169" t="str">
        <f>Interview!F120</f>
        <v>No</v>
      </c>
      <c r="G84" s="152">
        <f>IFERROR(VLOOKUP(F84,AnsFTBL,2,FALSE),0)</f>
        <v>0</v>
      </c>
      <c r="H84" s="257">
        <f>IFERROR(AVERAGE(G84,G88),0)</f>
        <v>0.125</v>
      </c>
      <c r="I84" s="631"/>
      <c r="J84" s="169">
        <f>Interview!J120</f>
        <v>0</v>
      </c>
      <c r="K84" s="152">
        <f>IFERROR(VLOOKUP(J84,AnsFTBL,2,FALSE),0)</f>
        <v>0</v>
      </c>
      <c r="L84" s="257">
        <f>IFERROR(AVERAGE(K84,K88),0)</f>
        <v>0</v>
      </c>
      <c r="M84" s="631"/>
      <c r="N84" s="169">
        <f>Interview!M120</f>
        <v>0</v>
      </c>
      <c r="O84" s="152">
        <f>IFERROR(VLOOKUP(N84,AnsFTBL,2,FALSE),0)</f>
        <v>0</v>
      </c>
      <c r="P84" s="257">
        <f>IFERROR(AVERAGE(O84,O88),0)</f>
        <v>0</v>
      </c>
      <c r="Q84" s="631"/>
      <c r="R84" s="262">
        <f>N84</f>
        <v>0</v>
      </c>
      <c r="S84" s="152">
        <f>IFERROR(VLOOKUP(R84,AnsFTBL,2,FALSE),0)</f>
        <v>0</v>
      </c>
      <c r="T84" s="257">
        <f>IFERROR(AVERAGE(S84,S88),0)</f>
        <v>0</v>
      </c>
      <c r="U84" s="631"/>
      <c r="V84" s="262">
        <f>R84</f>
        <v>0</v>
      </c>
      <c r="W84" s="152">
        <f>IFERROR(VLOOKUP(V84,AnsFTBL,2,FALSE),0)</f>
        <v>0</v>
      </c>
      <c r="X84" s="257">
        <f>IFERROR(AVERAGE(W84,W88),0)</f>
        <v>0</v>
      </c>
      <c r="Y84" s="631"/>
    </row>
    <row r="85" spans="1:25" x14ac:dyDescent="0.15">
      <c r="A85" s="142" t="str">
        <f>Interview!A122</f>
        <v>I-SD-A-3-1</v>
      </c>
      <c r="B85" s="605"/>
      <c r="C85" s="284">
        <f>VLOOKUP(A85,'imp-questions'!A:H,5,FALSE)</f>
        <v>3</v>
      </c>
      <c r="D85" s="252" t="str">
        <f>VLOOKUP(A85,'imp-questions'!A:H,6,FALSE)</f>
        <v>Do you consistently validate the integrity of deployed artifacts?</v>
      </c>
      <c r="E85" s="144" t="str">
        <f>CHAR(65+VLOOKUP(A85,'imp-questions'!A:H,8,FALSE))</f>
        <v>F</v>
      </c>
      <c r="F85" s="169" t="str">
        <f>Interview!F122</f>
        <v>Yes, for most or all of the applications</v>
      </c>
      <c r="G85" s="152">
        <f>IFERROR(VLOOKUP(F85,AnsFTBL,2,FALSE),0)</f>
        <v>1</v>
      </c>
      <c r="H85" s="257">
        <f>IFERROR(AVERAGE(G85,G89),0)</f>
        <v>1</v>
      </c>
      <c r="I85" s="631"/>
      <c r="J85" s="169">
        <f>Interview!J122</f>
        <v>0</v>
      </c>
      <c r="K85" s="152">
        <f>IFERROR(VLOOKUP(J85,AnsFTBL,2,FALSE),0)</f>
        <v>0</v>
      </c>
      <c r="L85" s="257">
        <f>IFERROR(AVERAGE(K85,K89),0)</f>
        <v>0</v>
      </c>
      <c r="M85" s="631"/>
      <c r="N85" s="169">
        <f>Interview!M122</f>
        <v>0</v>
      </c>
      <c r="O85" s="152">
        <f>IFERROR(VLOOKUP(N85,AnsFTBL,2,FALSE),0)</f>
        <v>0</v>
      </c>
      <c r="P85" s="257">
        <f>IFERROR(AVERAGE(O85,O89),0)</f>
        <v>0</v>
      </c>
      <c r="Q85" s="631"/>
      <c r="R85" s="262">
        <f>N85</f>
        <v>0</v>
      </c>
      <c r="S85" s="152">
        <f>IFERROR(VLOOKUP(R85,AnsFTBL,2,FALSE),0)</f>
        <v>0</v>
      </c>
      <c r="T85" s="257">
        <f>IFERROR(AVERAGE(S85,S89),0)</f>
        <v>0</v>
      </c>
      <c r="U85" s="631"/>
      <c r="V85" s="262">
        <f>R85</f>
        <v>0</v>
      </c>
      <c r="W85" s="152">
        <f>IFERROR(VLOOKUP(V85,AnsFTBL,2,FALSE),0)</f>
        <v>0</v>
      </c>
      <c r="X85" s="257">
        <f>IFERROR(AVERAGE(W85,W89),0)</f>
        <v>0</v>
      </c>
      <c r="Y85" s="631"/>
    </row>
    <row r="86" spans="1:25" ht="13" x14ac:dyDescent="0.15">
      <c r="A86" s="142"/>
      <c r="B86" s="233"/>
      <c r="C86" s="222"/>
      <c r="D86" s="204"/>
      <c r="E86" s="204"/>
      <c r="F86" s="204"/>
      <c r="G86" s="204"/>
      <c r="H86" s="204"/>
      <c r="I86" s="631"/>
      <c r="J86" s="204"/>
      <c r="K86" s="204"/>
      <c r="L86" s="204"/>
      <c r="M86" s="631"/>
      <c r="N86" s="204"/>
      <c r="O86" s="204"/>
      <c r="P86" s="204"/>
      <c r="Q86" s="631"/>
      <c r="R86" s="204"/>
      <c r="S86" s="204"/>
      <c r="T86" s="204"/>
      <c r="U86" s="631"/>
      <c r="V86" s="204"/>
      <c r="W86" s="204"/>
      <c r="X86" s="204"/>
      <c r="Y86" s="631"/>
    </row>
    <row r="87" spans="1:25" ht="28" x14ac:dyDescent="0.15">
      <c r="A87" s="142" t="str">
        <f>Interview!A125</f>
        <v>I-SD-B-1-1</v>
      </c>
      <c r="B87" s="603" t="str">
        <f>VLOOKUP(A87,'imp-questions'!A:H,4,FALSE)</f>
        <v>Secret Management</v>
      </c>
      <c r="C87" s="284">
        <f>VLOOKUP(A87,'imp-questions'!A:H,5,FALSE)</f>
        <v>1</v>
      </c>
      <c r="D87" s="176" t="str">
        <f>VLOOKUP(A87,'imp-questions'!A:H,6,FALSE)</f>
        <v>Do you limit access to application secrets according to the least privilege principle?</v>
      </c>
      <c r="E87" s="144" t="str">
        <f>CHAR(65+VLOOKUP(A87,'imp-questions'!A:H,8,FALSE))</f>
        <v>F</v>
      </c>
      <c r="F87" s="169" t="str">
        <f>Interview!F125</f>
        <v>Yes, for most or all of the applications</v>
      </c>
      <c r="G87" s="152">
        <f>IFERROR(VLOOKUP(F87,AnsFTBL,2,FALSE),0)</f>
        <v>1</v>
      </c>
      <c r="H87" s="122"/>
      <c r="I87" s="631"/>
      <c r="J87" s="169">
        <f>Interview!J125</f>
        <v>0</v>
      </c>
      <c r="K87" s="152">
        <f>IFERROR(VLOOKUP(J87,AnsFTBL,2,FALSE),0)</f>
        <v>0</v>
      </c>
      <c r="L87" s="122"/>
      <c r="M87" s="631"/>
      <c r="N87" s="169" t="str">
        <f>Interview!M125</f>
        <v>unconfident</v>
      </c>
      <c r="O87" s="152">
        <f>IFERROR(VLOOKUP(N87,AnsFTBL,2,FALSE),0)</f>
        <v>0</v>
      </c>
      <c r="P87" s="122"/>
      <c r="Q87" s="631"/>
      <c r="R87" s="262" t="str">
        <f>N87</f>
        <v>unconfident</v>
      </c>
      <c r="S87" s="152">
        <f>IFERROR(VLOOKUP(R87,AnsFTBL,2,FALSE),0)</f>
        <v>0</v>
      </c>
      <c r="T87" s="122"/>
      <c r="U87" s="631"/>
      <c r="V87" s="262" t="str">
        <f>R87</f>
        <v>unconfident</v>
      </c>
      <c r="W87" s="152">
        <f>IFERROR(VLOOKUP(V87,AnsFTBL,2,FALSE),0)</f>
        <v>0</v>
      </c>
      <c r="X87" s="122"/>
      <c r="Y87" s="631"/>
    </row>
    <row r="88" spans="1:25" x14ac:dyDescent="0.15">
      <c r="A88" s="142" t="str">
        <f>Interview!A127</f>
        <v>I-SD-B-2-1</v>
      </c>
      <c r="B88" s="604"/>
      <c r="C88" s="284">
        <f>VLOOKUP(A88,'imp-questions'!A:H,5,FALSE)</f>
        <v>2</v>
      </c>
      <c r="D88" s="176" t="str">
        <f>VLOOKUP(A88,'imp-questions'!A:H,6,FALSE)</f>
        <v>Do you inject production secrets into configuration files during deployment?</v>
      </c>
      <c r="E88" s="144" t="str">
        <f>CHAR(65+VLOOKUP(A88,'imp-questions'!A:H,8,FALSE))</f>
        <v>F</v>
      </c>
      <c r="F88" s="169" t="str">
        <f>Interview!F127</f>
        <v>Yes, for some applications</v>
      </c>
      <c r="G88" s="152">
        <f>IFERROR(VLOOKUP(F88,AnsFTBL,2,FALSE),0)</f>
        <v>0.25</v>
      </c>
      <c r="H88" s="122"/>
      <c r="I88" s="631"/>
      <c r="J88" s="169">
        <f>Interview!J127</f>
        <v>0</v>
      </c>
      <c r="K88" s="152">
        <f>IFERROR(VLOOKUP(J88,AnsFTBL,2,FALSE),0)</f>
        <v>0</v>
      </c>
      <c r="L88" s="122"/>
      <c r="M88" s="631"/>
      <c r="N88" s="169">
        <f>Interview!M127</f>
        <v>0</v>
      </c>
      <c r="O88" s="152">
        <f>IFERROR(VLOOKUP(N88,AnsFTBL,2,FALSE),0)</f>
        <v>0</v>
      </c>
      <c r="P88" s="122"/>
      <c r="Q88" s="631"/>
      <c r="R88" s="262">
        <f>N88</f>
        <v>0</v>
      </c>
      <c r="S88" s="152">
        <f>IFERROR(VLOOKUP(R88,AnsFTBL,2,FALSE),0)</f>
        <v>0</v>
      </c>
      <c r="T88" s="122"/>
      <c r="U88" s="631"/>
      <c r="V88" s="262">
        <f>R88</f>
        <v>0</v>
      </c>
      <c r="W88" s="152">
        <f>IFERROR(VLOOKUP(V88,AnsFTBL,2,FALSE),0)</f>
        <v>0</v>
      </c>
      <c r="X88" s="122"/>
      <c r="Y88" s="631"/>
    </row>
    <row r="89" spans="1:25" x14ac:dyDescent="0.15">
      <c r="A89" s="142" t="str">
        <f>Interview!A129</f>
        <v>I-SD-B-3-1</v>
      </c>
      <c r="B89" s="605"/>
      <c r="C89" s="284">
        <f>VLOOKUP(A89,'imp-questions'!A:H,5,FALSE)</f>
        <v>3</v>
      </c>
      <c r="D89" s="252" t="str">
        <f>VLOOKUP(A89,'imp-questions'!A:H,6,FALSE)</f>
        <v>Do you practice proper lifecycle management for application secrets?</v>
      </c>
      <c r="E89" s="144" t="str">
        <f>CHAR(65+VLOOKUP(A89,'imp-questions'!A:H,8,FALSE))</f>
        <v>F</v>
      </c>
      <c r="F89" s="169" t="str">
        <f>Interview!F129</f>
        <v>Yes, for most or all of the applications</v>
      </c>
      <c r="G89" s="152">
        <f>IFERROR(VLOOKUP(F89,AnsFTBL,2,FALSE),0)</f>
        <v>1</v>
      </c>
      <c r="H89" s="122"/>
      <c r="I89" s="632"/>
      <c r="J89" s="169">
        <f>Interview!J129</f>
        <v>0</v>
      </c>
      <c r="K89" s="152">
        <f>IFERROR(VLOOKUP(J89,AnsFTBL,2,FALSE),0)</f>
        <v>0</v>
      </c>
      <c r="L89" s="122"/>
      <c r="M89" s="632"/>
      <c r="N89" s="169">
        <f>Interview!M129</f>
        <v>0</v>
      </c>
      <c r="O89" s="152">
        <f>IFERROR(VLOOKUP(N89,AnsFTBL,2,FALSE),0)</f>
        <v>0</v>
      </c>
      <c r="P89" s="122"/>
      <c r="Q89" s="632"/>
      <c r="R89" s="262">
        <f>N89</f>
        <v>0</v>
      </c>
      <c r="S89" s="152">
        <f>IFERROR(VLOOKUP(R89,AnsFTBL,2,FALSE),0)</f>
        <v>0</v>
      </c>
      <c r="T89" s="122"/>
      <c r="U89" s="632"/>
      <c r="V89" s="262">
        <f>R89</f>
        <v>0</v>
      </c>
      <c r="W89" s="152">
        <f>IFERROR(VLOOKUP(V89,AnsFTBL,2,FALSE),0)</f>
        <v>0</v>
      </c>
      <c r="X89" s="122"/>
      <c r="Y89" s="632"/>
    </row>
    <row r="90" spans="1:25" ht="13" x14ac:dyDescent="0.15">
      <c r="A90" s="142"/>
      <c r="B90" s="233"/>
      <c r="C90" s="222"/>
      <c r="D90" s="204"/>
      <c r="E90" s="204"/>
      <c r="F90" s="204"/>
      <c r="G90" s="204"/>
      <c r="H90" s="204"/>
      <c r="I90" s="204"/>
      <c r="J90" s="204"/>
      <c r="K90" s="204"/>
      <c r="L90" s="204"/>
      <c r="M90" s="204"/>
      <c r="N90" s="204"/>
      <c r="O90" s="204"/>
      <c r="P90" s="204"/>
      <c r="Q90" s="204"/>
      <c r="R90" s="204"/>
      <c r="S90" s="204"/>
      <c r="T90" s="204"/>
      <c r="U90" s="204"/>
      <c r="V90" s="204"/>
      <c r="W90" s="204"/>
      <c r="X90" s="204"/>
      <c r="Y90" s="204"/>
    </row>
    <row r="91" spans="1:25" x14ac:dyDescent="0.15">
      <c r="A91" s="142"/>
      <c r="B91" s="282" t="s">
        <v>312</v>
      </c>
      <c r="C91" s="283" t="s">
        <v>313</v>
      </c>
      <c r="D91" s="289" t="s">
        <v>230</v>
      </c>
      <c r="E91" s="290"/>
      <c r="F91" s="291" t="s">
        <v>31</v>
      </c>
      <c r="G91" s="291"/>
      <c r="H91" s="292"/>
      <c r="I91" s="288" t="s">
        <v>29</v>
      </c>
      <c r="J91" s="291" t="s">
        <v>31</v>
      </c>
      <c r="K91" s="291"/>
      <c r="L91" s="292"/>
      <c r="M91" s="288" t="s">
        <v>29</v>
      </c>
      <c r="N91" s="291" t="s">
        <v>31</v>
      </c>
      <c r="O91" s="291"/>
      <c r="P91" s="292"/>
      <c r="Q91" s="288" t="s">
        <v>29</v>
      </c>
      <c r="R91" s="291" t="s">
        <v>31</v>
      </c>
      <c r="S91" s="291"/>
      <c r="T91" s="292"/>
      <c r="U91" s="288" t="s">
        <v>29</v>
      </c>
      <c r="V91" s="291" t="s">
        <v>31</v>
      </c>
      <c r="W91" s="291"/>
      <c r="X91" s="292"/>
      <c r="Y91" s="288" t="s">
        <v>29</v>
      </c>
    </row>
    <row r="92" spans="1:25" x14ac:dyDescent="0.15">
      <c r="A92" s="142" t="str">
        <f>Interview!A132</f>
        <v>I-DM-A-1-1</v>
      </c>
      <c r="B92" s="603" t="str">
        <f>VLOOKUP(A92,'imp-questions'!A:H,4,FALSE)</f>
        <v>Defect Tracking</v>
      </c>
      <c r="C92" s="284">
        <f>VLOOKUP(A92,'imp-questions'!A:H,5,FALSE)</f>
        <v>1</v>
      </c>
      <c r="D92" s="176" t="str">
        <f>VLOOKUP(A92,'imp-questions'!A:H,6,FALSE)</f>
        <v>Do you track all known security defects in accessible locations?</v>
      </c>
      <c r="E92" s="144" t="str">
        <f>CHAR(65+VLOOKUP(A92,'imp-questions'!A:H,8,FALSE))</f>
        <v>F</v>
      </c>
      <c r="F92" s="169" t="str">
        <f>Interview!F132</f>
        <v>Yes, for some applications</v>
      </c>
      <c r="G92" s="152">
        <f>IFERROR(VLOOKUP(F92,AnsFTBL,2,FALSE),0)</f>
        <v>0.25</v>
      </c>
      <c r="H92" s="257">
        <f>IFERROR(AVERAGE(G92,G96),0)</f>
        <v>0.125</v>
      </c>
      <c r="I92" s="630">
        <f>SUM(H92:H94)</f>
        <v>0.5</v>
      </c>
      <c r="J92" s="169">
        <f>Interview!J132</f>
        <v>0.5</v>
      </c>
      <c r="K92" s="152">
        <f>IFERROR(VLOOKUP(J92,AnsFTBL,2,FALSE),0)</f>
        <v>0</v>
      </c>
      <c r="L92" s="257">
        <f>IFERROR(AVERAGE(K92,K96),0)</f>
        <v>0</v>
      </c>
      <c r="M92" s="630">
        <f>SUM(L92:L94)</f>
        <v>0</v>
      </c>
      <c r="N92" s="169" t="str">
        <f>Interview!M132</f>
        <v>unconfident</v>
      </c>
      <c r="O92" s="152">
        <f>IFERROR(VLOOKUP(N92,AnsFTBL,2,FALSE),0)</f>
        <v>0</v>
      </c>
      <c r="P92" s="257">
        <f>IFERROR(AVERAGE(O92,O96),0)</f>
        <v>0</v>
      </c>
      <c r="Q92" s="630">
        <f>SUM(P92:P94)</f>
        <v>0</v>
      </c>
      <c r="R92" s="262" t="str">
        <f>N92</f>
        <v>unconfident</v>
      </c>
      <c r="S92" s="152">
        <f>IFERROR(VLOOKUP(R92,AnsFTBL,2,FALSE),0)</f>
        <v>0</v>
      </c>
      <c r="T92" s="257">
        <f>IFERROR(AVERAGE(S92,S96),0)</f>
        <v>0</v>
      </c>
      <c r="U92" s="630">
        <f>SUM(T92:T94)</f>
        <v>0</v>
      </c>
      <c r="V92" s="262" t="str">
        <f>R92</f>
        <v>unconfident</v>
      </c>
      <c r="W92" s="152">
        <f>IFERROR(VLOOKUP(V92,AnsFTBL,2,FALSE),0)</f>
        <v>0</v>
      </c>
      <c r="X92" s="257">
        <f>IFERROR(AVERAGE(W92,W96),0)</f>
        <v>0</v>
      </c>
      <c r="Y92" s="630">
        <f>SUM(X92:X94)</f>
        <v>0</v>
      </c>
    </row>
    <row r="93" spans="1:25" ht="28" x14ac:dyDescent="0.15">
      <c r="A93" s="142" t="str">
        <f>Interview!A134</f>
        <v>I-DM-A-2-1</v>
      </c>
      <c r="B93" s="604"/>
      <c r="C93" s="284">
        <f>VLOOKUP(A93,'imp-questions'!A:H,5,FALSE)</f>
        <v>2</v>
      </c>
      <c r="D93" s="176" t="str">
        <f>VLOOKUP(A93,'imp-questions'!A:H,6,FALSE)</f>
        <v>Do you keep an overview of the state of security defects across the organization?</v>
      </c>
      <c r="E93" s="144" t="str">
        <f>CHAR(65+VLOOKUP(A93,'imp-questions'!A:H,8,FALSE))</f>
        <v>F</v>
      </c>
      <c r="F93" s="169" t="str">
        <f>Interview!F134</f>
        <v>No</v>
      </c>
      <c r="G93" s="152">
        <f>IFERROR(VLOOKUP(F93,AnsFTBL,2,FALSE),0)</f>
        <v>0</v>
      </c>
      <c r="H93" s="257">
        <f>IFERROR(AVERAGE(G93,G97),0)</f>
        <v>0.125</v>
      </c>
      <c r="I93" s="631"/>
      <c r="J93" s="169">
        <f>Interview!J134</f>
        <v>0</v>
      </c>
      <c r="K93" s="152">
        <f>IFERROR(VLOOKUP(J93,AnsFTBL,2,FALSE),0)</f>
        <v>0</v>
      </c>
      <c r="L93" s="257">
        <f>IFERROR(AVERAGE(K93,K97),0)</f>
        <v>0</v>
      </c>
      <c r="M93" s="631"/>
      <c r="N93" s="169">
        <f>Interview!M134</f>
        <v>0</v>
      </c>
      <c r="O93" s="152">
        <f>IFERROR(VLOOKUP(N93,AnsFTBL,2,FALSE),0)</f>
        <v>0</v>
      </c>
      <c r="P93" s="257">
        <f>IFERROR(AVERAGE(O93,O97),0)</f>
        <v>0</v>
      </c>
      <c r="Q93" s="631"/>
      <c r="R93" s="262">
        <f>N93</f>
        <v>0</v>
      </c>
      <c r="S93" s="152">
        <f>IFERROR(VLOOKUP(R93,AnsFTBL,2,FALSE),0)</f>
        <v>0</v>
      </c>
      <c r="T93" s="257">
        <f>IFERROR(AVERAGE(S93,S97),0)</f>
        <v>0</v>
      </c>
      <c r="U93" s="631"/>
      <c r="V93" s="262">
        <f>R93</f>
        <v>0</v>
      </c>
      <c r="W93" s="152">
        <f>IFERROR(VLOOKUP(V93,AnsFTBL,2,FALSE),0)</f>
        <v>0</v>
      </c>
      <c r="X93" s="257">
        <f>IFERROR(AVERAGE(W93,W97),0)</f>
        <v>0</v>
      </c>
      <c r="Y93" s="631"/>
    </row>
    <row r="94" spans="1:25" x14ac:dyDescent="0.15">
      <c r="A94" s="142" t="str">
        <f>Interview!A136</f>
        <v>I-DM-A-3-1</v>
      </c>
      <c r="B94" s="605"/>
      <c r="C94" s="284">
        <f>VLOOKUP(A94,'imp-questions'!A:H,5,FALSE)</f>
        <v>3</v>
      </c>
      <c r="D94" s="252" t="str">
        <f>VLOOKUP(A94,'imp-questions'!A:H,6,FALSE)</f>
        <v>Do you enforce SLAs for fixing security defects?</v>
      </c>
      <c r="E94" s="144" t="str">
        <f>CHAR(65+VLOOKUP(A94,'imp-questions'!A:H,8,FALSE))</f>
        <v>F</v>
      </c>
      <c r="F94" s="169" t="str">
        <f>Interview!F136</f>
        <v>Yes, for some applications</v>
      </c>
      <c r="G94" s="152">
        <f>IFERROR(VLOOKUP(F94,AnsFTBL,2,FALSE),0)</f>
        <v>0.25</v>
      </c>
      <c r="H94" s="257">
        <f>IFERROR(AVERAGE(G94,G98),0)</f>
        <v>0.25</v>
      </c>
      <c r="I94" s="631"/>
      <c r="J94" s="169">
        <f>Interview!J136</f>
        <v>0</v>
      </c>
      <c r="K94" s="152">
        <f>IFERROR(VLOOKUP(J94,AnsFTBL,2,FALSE),0)</f>
        <v>0</v>
      </c>
      <c r="L94" s="257">
        <f>IFERROR(AVERAGE(K94,K98),0)</f>
        <v>0</v>
      </c>
      <c r="M94" s="631"/>
      <c r="N94" s="169">
        <f>Interview!M136</f>
        <v>0</v>
      </c>
      <c r="O94" s="152">
        <f>IFERROR(VLOOKUP(N94,AnsFTBL,2,FALSE),0)</f>
        <v>0</v>
      </c>
      <c r="P94" s="257">
        <f>IFERROR(AVERAGE(O94,O98),0)</f>
        <v>0</v>
      </c>
      <c r="Q94" s="631"/>
      <c r="R94" s="262">
        <f>N94</f>
        <v>0</v>
      </c>
      <c r="S94" s="152">
        <f>IFERROR(VLOOKUP(R94,AnsFTBL,2,FALSE),0)</f>
        <v>0</v>
      </c>
      <c r="T94" s="257">
        <f>IFERROR(AVERAGE(S94,S98),0)</f>
        <v>0</v>
      </c>
      <c r="U94" s="631"/>
      <c r="V94" s="262">
        <f>R94</f>
        <v>0</v>
      </c>
      <c r="W94" s="152">
        <f>IFERROR(VLOOKUP(V94,AnsFTBL,2,FALSE),0)</f>
        <v>0</v>
      </c>
      <c r="X94" s="257">
        <f>IFERROR(AVERAGE(W94,W98),0)</f>
        <v>0</v>
      </c>
      <c r="Y94" s="631"/>
    </row>
    <row r="95" spans="1:25" ht="13" x14ac:dyDescent="0.15">
      <c r="A95" s="142"/>
      <c r="B95" s="233"/>
      <c r="C95" s="222"/>
      <c r="D95" s="204"/>
      <c r="E95" s="204"/>
      <c r="F95" s="204"/>
      <c r="G95" s="204"/>
      <c r="H95" s="204"/>
      <c r="I95" s="631"/>
      <c r="J95" s="204"/>
      <c r="K95" s="204"/>
      <c r="L95" s="204"/>
      <c r="M95" s="631"/>
      <c r="N95" s="204"/>
      <c r="O95" s="204"/>
      <c r="P95" s="204"/>
      <c r="Q95" s="631"/>
      <c r="R95" s="204"/>
      <c r="S95" s="204"/>
      <c r="T95" s="204"/>
      <c r="U95" s="631"/>
      <c r="V95" s="204"/>
      <c r="W95" s="204"/>
      <c r="X95" s="204"/>
      <c r="Y95" s="631"/>
    </row>
    <row r="96" spans="1:25" ht="28" x14ac:dyDescent="0.15">
      <c r="A96" s="142" t="str">
        <f>Interview!A139</f>
        <v>I-DM-B-1-1</v>
      </c>
      <c r="B96" s="603" t="str">
        <f>VLOOKUP(A96,'imp-questions'!A:H,4,FALSE)</f>
        <v>Metrics and Feedback</v>
      </c>
      <c r="C96" s="284">
        <f>VLOOKUP(A96,'imp-questions'!A:H,5,FALSE)</f>
        <v>1</v>
      </c>
      <c r="D96" s="176" t="str">
        <f>VLOOKUP(A96,'imp-questions'!A:H,6,FALSE)</f>
        <v>Do you use basic metrics about recorded security defects to carry out quick win improvement activities?</v>
      </c>
      <c r="E96" s="144" t="str">
        <f>CHAR(65+VLOOKUP(A96,'imp-questions'!A:H,8,FALSE))</f>
        <v>F</v>
      </c>
      <c r="F96" s="169" t="str">
        <f>Interview!F139</f>
        <v>No</v>
      </c>
      <c r="G96" s="152">
        <f>IFERROR(VLOOKUP(F96,AnsFTBL,2,FALSE),0)</f>
        <v>0</v>
      </c>
      <c r="H96" s="122"/>
      <c r="I96" s="631"/>
      <c r="J96" s="169">
        <f>Interview!J139</f>
        <v>0</v>
      </c>
      <c r="K96" s="152">
        <f>IFERROR(VLOOKUP(J96,AnsFTBL,2,FALSE),0)</f>
        <v>0</v>
      </c>
      <c r="L96" s="122"/>
      <c r="M96" s="631"/>
      <c r="N96" s="169" t="str">
        <f>Interview!M139</f>
        <v>unconfident</v>
      </c>
      <c r="O96" s="152">
        <f>IFERROR(VLOOKUP(N96,AnsFTBL,2,FALSE),0)</f>
        <v>0</v>
      </c>
      <c r="P96" s="122"/>
      <c r="Q96" s="631"/>
      <c r="R96" s="262" t="str">
        <f>N96</f>
        <v>unconfident</v>
      </c>
      <c r="S96" s="152">
        <f>IFERROR(VLOOKUP(R96,AnsFTBL,2,FALSE),0)</f>
        <v>0</v>
      </c>
      <c r="T96" s="122"/>
      <c r="U96" s="631"/>
      <c r="V96" s="262" t="str">
        <f>R96</f>
        <v>unconfident</v>
      </c>
      <c r="W96" s="152">
        <f>IFERROR(VLOOKUP(V96,AnsFTBL,2,FALSE),0)</f>
        <v>0</v>
      </c>
      <c r="X96" s="122"/>
      <c r="Y96" s="631"/>
    </row>
    <row r="97" spans="1:25" x14ac:dyDescent="0.15">
      <c r="A97" s="142" t="str">
        <f>Interview!A141</f>
        <v>I-DM-B-2-1</v>
      </c>
      <c r="B97" s="604"/>
      <c r="C97" s="284">
        <f>VLOOKUP(A97,'imp-questions'!A:H,5,FALSE)</f>
        <v>2</v>
      </c>
      <c r="D97" s="176" t="str">
        <f>VLOOKUP(A97,'imp-questions'!A:H,6,FALSE)</f>
        <v>Do you improve your security assurance program upon standardized metrics?</v>
      </c>
      <c r="E97" s="144" t="str">
        <f>CHAR(65+VLOOKUP(A97,'imp-questions'!A:H,8,FALSE))</f>
        <v>F</v>
      </c>
      <c r="F97" s="169" t="str">
        <f>Interview!F141</f>
        <v>Yes, for some applications</v>
      </c>
      <c r="G97" s="152">
        <f>IFERROR(VLOOKUP(F97,AnsFTBL,2,FALSE),0)</f>
        <v>0.25</v>
      </c>
      <c r="H97" s="122"/>
      <c r="I97" s="631"/>
      <c r="J97" s="169">
        <f>Interview!J141</f>
        <v>0</v>
      </c>
      <c r="K97" s="152">
        <f>IFERROR(VLOOKUP(J97,AnsFTBL,2,FALSE),0)</f>
        <v>0</v>
      </c>
      <c r="L97" s="122"/>
      <c r="M97" s="631"/>
      <c r="N97" s="169">
        <f>Interview!M141</f>
        <v>0</v>
      </c>
      <c r="O97" s="152">
        <f>IFERROR(VLOOKUP(N97,AnsFTBL,2,FALSE),0)</f>
        <v>0</v>
      </c>
      <c r="P97" s="122"/>
      <c r="Q97" s="631"/>
      <c r="R97" s="262">
        <f>N97</f>
        <v>0</v>
      </c>
      <c r="S97" s="152">
        <f>IFERROR(VLOOKUP(R97,AnsFTBL,2,FALSE),0)</f>
        <v>0</v>
      </c>
      <c r="T97" s="122"/>
      <c r="U97" s="631"/>
      <c r="V97" s="262">
        <f>R97</f>
        <v>0</v>
      </c>
      <c r="W97" s="152">
        <f>IFERROR(VLOOKUP(V97,AnsFTBL,2,FALSE),0)</f>
        <v>0</v>
      </c>
      <c r="X97" s="122"/>
      <c r="Y97" s="631"/>
    </row>
    <row r="98" spans="1:25" ht="28" x14ac:dyDescent="0.15">
      <c r="A98" s="142" t="str">
        <f>Interview!A143</f>
        <v>I-DM-B-3-1</v>
      </c>
      <c r="B98" s="605"/>
      <c r="C98" s="284">
        <f>VLOOKUP(A98,'imp-questions'!A:H,5,FALSE)</f>
        <v>3</v>
      </c>
      <c r="D98" s="252" t="str">
        <f>VLOOKUP(A98,'imp-questions'!A:H,6,FALSE)</f>
        <v>Do you regularly evaluate the effectiveness of your security metrics so that its input helps drive your security strategy?</v>
      </c>
      <c r="E98" s="144" t="str">
        <f>CHAR(65+VLOOKUP(A98,'imp-questions'!A:H,8,FALSE))</f>
        <v>F</v>
      </c>
      <c r="F98" s="169" t="str">
        <f>Interview!F143</f>
        <v>Yes, for some applications</v>
      </c>
      <c r="G98" s="152">
        <f>IFERROR(VLOOKUP(F98,AnsFTBL,2,FALSE),0)</f>
        <v>0.25</v>
      </c>
      <c r="H98" s="122"/>
      <c r="I98" s="642"/>
      <c r="J98" s="169">
        <f>Interview!J143</f>
        <v>0</v>
      </c>
      <c r="K98" s="152">
        <f>IFERROR(VLOOKUP(J98,AnsFTBL,2,FALSE),0)</f>
        <v>0</v>
      </c>
      <c r="L98" s="122"/>
      <c r="M98" s="642"/>
      <c r="N98" s="169">
        <f>Interview!M143</f>
        <v>0</v>
      </c>
      <c r="O98" s="152">
        <f>IFERROR(VLOOKUP(N98,AnsFTBL,2,FALSE),0)</f>
        <v>0</v>
      </c>
      <c r="P98" s="122"/>
      <c r="Q98" s="642"/>
      <c r="R98" s="262">
        <f>N98</f>
        <v>0</v>
      </c>
      <c r="S98" s="152">
        <f>IFERROR(VLOOKUP(R98,AnsFTBL,2,FALSE),0)</f>
        <v>0</v>
      </c>
      <c r="T98" s="122"/>
      <c r="U98" s="642"/>
      <c r="V98" s="262">
        <f>R98</f>
        <v>0</v>
      </c>
      <c r="W98" s="152">
        <f>IFERROR(VLOOKUP(V98,AnsFTBL,2,FALSE),0)</f>
        <v>0</v>
      </c>
      <c r="X98" s="122"/>
      <c r="Y98" s="642"/>
    </row>
    <row r="99" spans="1:25" ht="13" x14ac:dyDescent="0.15">
      <c r="A99" s="142"/>
      <c r="B99" s="233"/>
      <c r="C99" s="222"/>
      <c r="D99" s="204"/>
      <c r="E99" s="204"/>
      <c r="F99" s="204"/>
      <c r="G99" s="204"/>
      <c r="H99" s="204"/>
      <c r="I99" s="204"/>
      <c r="J99" s="204"/>
      <c r="K99" s="204"/>
      <c r="L99" s="204"/>
      <c r="M99" s="204"/>
      <c r="N99" s="204"/>
      <c r="O99" s="204"/>
      <c r="P99" s="204"/>
      <c r="Q99" s="204"/>
      <c r="R99" s="204"/>
      <c r="S99" s="204"/>
      <c r="T99" s="204"/>
      <c r="U99" s="204"/>
      <c r="V99" s="204"/>
      <c r="W99" s="204"/>
      <c r="X99" s="204"/>
      <c r="Y99" s="204"/>
    </row>
    <row r="100" spans="1:25" x14ac:dyDescent="0.15">
      <c r="A100" s="142"/>
      <c r="B100" s="226" t="s">
        <v>24</v>
      </c>
      <c r="C100" s="226"/>
      <c r="D100" s="207"/>
      <c r="E100" s="207"/>
      <c r="F100" s="634" t="s">
        <v>55</v>
      </c>
      <c r="G100" s="634"/>
      <c r="H100" s="634"/>
      <c r="I100" s="634"/>
      <c r="J100" s="633" t="s">
        <v>314</v>
      </c>
      <c r="K100" s="634"/>
      <c r="L100" s="634"/>
      <c r="M100" s="635"/>
      <c r="N100" s="633" t="s">
        <v>315</v>
      </c>
      <c r="O100" s="634"/>
      <c r="P100" s="634"/>
      <c r="Q100" s="635"/>
      <c r="R100" s="633" t="s">
        <v>316</v>
      </c>
      <c r="S100" s="634"/>
      <c r="T100" s="634"/>
      <c r="U100" s="635"/>
      <c r="V100" s="633" t="s">
        <v>317</v>
      </c>
      <c r="W100" s="634"/>
      <c r="X100" s="634"/>
      <c r="Y100" s="635"/>
    </row>
    <row r="101" spans="1:25" x14ac:dyDescent="0.15">
      <c r="A101" s="142"/>
      <c r="B101" s="237" t="s">
        <v>312</v>
      </c>
      <c r="C101" s="227" t="s">
        <v>313</v>
      </c>
      <c r="D101" s="248" t="s">
        <v>237</v>
      </c>
      <c r="E101" s="196"/>
      <c r="F101" s="71" t="s">
        <v>31</v>
      </c>
      <c r="G101" s="71"/>
      <c r="H101" s="112"/>
      <c r="I101" s="214" t="s">
        <v>29</v>
      </c>
      <c r="J101" s="71" t="s">
        <v>31</v>
      </c>
      <c r="K101" s="71"/>
      <c r="L101" s="112"/>
      <c r="M101" s="214" t="s">
        <v>29</v>
      </c>
      <c r="N101" s="71" t="s">
        <v>31</v>
      </c>
      <c r="O101" s="71"/>
      <c r="P101" s="112"/>
      <c r="Q101" s="214" t="s">
        <v>29</v>
      </c>
      <c r="R101" s="71" t="s">
        <v>31</v>
      </c>
      <c r="S101" s="71"/>
      <c r="T101" s="112"/>
      <c r="U101" s="214" t="s">
        <v>29</v>
      </c>
      <c r="V101" s="71" t="s">
        <v>31</v>
      </c>
      <c r="W101" s="71"/>
      <c r="X101" s="112"/>
      <c r="Y101" s="214" t="s">
        <v>29</v>
      </c>
    </row>
    <row r="102" spans="1:25" ht="28" x14ac:dyDescent="0.15">
      <c r="A102" s="142" t="str">
        <f>Interview!A147</f>
        <v>V-AA-A-1-1</v>
      </c>
      <c r="B102" s="648" t="str">
        <f>VLOOKUP(A102,'imp-questions'!A:H,4,FALSE)</f>
        <v>Architecture Validation</v>
      </c>
      <c r="C102" s="228">
        <f>VLOOKUP(A102,'imp-questions'!A:H,5,FALSE)</f>
        <v>1</v>
      </c>
      <c r="D102" s="176" t="str">
        <f>VLOOKUP(A102,'imp-questions'!A:H,6,FALSE)</f>
        <v>Do you review the application architecture for key security objectives on an ad-hoc basis?</v>
      </c>
      <c r="E102" s="160" t="str">
        <f>CHAR(65+VLOOKUP(A102,'imp-questions'!A:H,8,FALSE))</f>
        <v>F</v>
      </c>
      <c r="F102" s="169" t="str">
        <f>Interview!F147</f>
        <v>No</v>
      </c>
      <c r="G102" s="152">
        <f>IFERROR(VLOOKUP(F102,AnsFTBL,2,FALSE),0)</f>
        <v>0</v>
      </c>
      <c r="H102" s="257">
        <f>IFERROR(AVERAGE(G102,G106),0)</f>
        <v>0</v>
      </c>
      <c r="I102" s="643">
        <f>SUM(H102:H104)</f>
        <v>0.125</v>
      </c>
      <c r="J102" s="262" t="str">
        <f>F102</f>
        <v>No</v>
      </c>
      <c r="K102" s="152">
        <f>IFERROR(VLOOKUP(J102,AnsFTBL,2,FALSE),0)</f>
        <v>0</v>
      </c>
      <c r="L102" s="257">
        <f>IFERROR(AVERAGE(K102,K106),0)</f>
        <v>0</v>
      </c>
      <c r="M102" s="643">
        <f>SUM(L102:L104)</f>
        <v>0.125</v>
      </c>
      <c r="N102" s="262" t="str">
        <f>J102</f>
        <v>No</v>
      </c>
      <c r="O102" s="152">
        <f>IFERROR(VLOOKUP(N102,AnsFTBL,2,FALSE),0)</f>
        <v>0</v>
      </c>
      <c r="P102" s="257">
        <f>IFERROR(AVERAGE(O102,O106),0)</f>
        <v>0</v>
      </c>
      <c r="Q102" s="643">
        <f>SUM(P102:P104)</f>
        <v>0.125</v>
      </c>
      <c r="R102" s="262" t="str">
        <f>N102</f>
        <v>No</v>
      </c>
      <c r="S102" s="152">
        <f>IFERROR(VLOOKUP(R102,AnsFTBL,2,FALSE),0)</f>
        <v>0</v>
      </c>
      <c r="T102" s="257">
        <f>IFERROR(AVERAGE(S102,S106),0)</f>
        <v>0</v>
      </c>
      <c r="U102" s="643">
        <f>SUM(T102:T104)</f>
        <v>0.125</v>
      </c>
      <c r="V102" s="262" t="str">
        <f>R102</f>
        <v>No</v>
      </c>
      <c r="W102" s="152">
        <f>IFERROR(VLOOKUP(V102,AnsFTBL,2,FALSE),0)</f>
        <v>0</v>
      </c>
      <c r="X102" s="257">
        <f>IFERROR(AVERAGE(W102,W106),0)</f>
        <v>0</v>
      </c>
      <c r="Y102" s="643">
        <f>SUM(X102:X104)</f>
        <v>0.125</v>
      </c>
    </row>
    <row r="103" spans="1:25" x14ac:dyDescent="0.15">
      <c r="A103" s="142" t="str">
        <f>Interview!A149</f>
        <v>V-AA-A-2-1</v>
      </c>
      <c r="B103" s="649"/>
      <c r="C103" s="228">
        <f>VLOOKUP(A103,'imp-questions'!A:H,5,FALSE)</f>
        <v>2</v>
      </c>
      <c r="D103" s="176" t="str">
        <f>VLOOKUP(A103,'imp-questions'!A:H,6,FALSE)</f>
        <v>Do you regularly review the security mechanisms of your architecture?</v>
      </c>
      <c r="E103" s="160" t="str">
        <f>CHAR(65+VLOOKUP(A103,'imp-questions'!A:H,8,FALSE))</f>
        <v>F</v>
      </c>
      <c r="F103" s="169" t="str">
        <f>Interview!F149</f>
        <v>Yes, for some applications</v>
      </c>
      <c r="G103" s="152">
        <f>IFERROR(VLOOKUP(F103,AnsFTBL,2,FALSE),0)</f>
        <v>0.25</v>
      </c>
      <c r="H103" s="257">
        <f>IFERROR(AVERAGE(G103,G107),0)</f>
        <v>0.125</v>
      </c>
      <c r="I103" s="644"/>
      <c r="J103" s="262" t="str">
        <f>F103</f>
        <v>Yes, for some applications</v>
      </c>
      <c r="K103" s="152">
        <f>IFERROR(VLOOKUP(J103,AnsFTBL,2,FALSE),0)</f>
        <v>0.25</v>
      </c>
      <c r="L103" s="257">
        <f>IFERROR(AVERAGE(K103,K107),0)</f>
        <v>0.125</v>
      </c>
      <c r="M103" s="644"/>
      <c r="N103" s="262" t="str">
        <f>J103</f>
        <v>Yes, for some applications</v>
      </c>
      <c r="O103" s="152">
        <f>IFERROR(VLOOKUP(N103,AnsFTBL,2,FALSE),0)</f>
        <v>0.25</v>
      </c>
      <c r="P103" s="257">
        <f>IFERROR(AVERAGE(O103,O107),0)</f>
        <v>0.125</v>
      </c>
      <c r="Q103" s="644"/>
      <c r="R103" s="262" t="str">
        <f>N103</f>
        <v>Yes, for some applications</v>
      </c>
      <c r="S103" s="152">
        <f>IFERROR(VLOOKUP(R103,AnsFTBL,2,FALSE),0)</f>
        <v>0.25</v>
      </c>
      <c r="T103" s="257">
        <f>IFERROR(AVERAGE(S103,S107),0)</f>
        <v>0.125</v>
      </c>
      <c r="U103" s="644"/>
      <c r="V103" s="262" t="str">
        <f>R103</f>
        <v>Yes, for some applications</v>
      </c>
      <c r="W103" s="152">
        <f>IFERROR(VLOOKUP(V103,AnsFTBL,2,FALSE),0)</f>
        <v>0.25</v>
      </c>
      <c r="X103" s="257">
        <f>IFERROR(AVERAGE(W103,W107),0)</f>
        <v>0.125</v>
      </c>
      <c r="Y103" s="644"/>
    </row>
    <row r="104" spans="1:25" x14ac:dyDescent="0.15">
      <c r="A104" s="142" t="str">
        <f>Interview!A151</f>
        <v>V-AA-A-3-1</v>
      </c>
      <c r="B104" s="650"/>
      <c r="C104" s="228">
        <f>VLOOKUP(A104,'imp-questions'!A:H,5,FALSE)</f>
        <v>3</v>
      </c>
      <c r="D104" s="252" t="str">
        <f>VLOOKUP(A104,'imp-questions'!A:H,6,FALSE)</f>
        <v>Do you regularly review the effectiveness of the security controls?</v>
      </c>
      <c r="E104" s="160" t="str">
        <f>CHAR(65+VLOOKUP(A104,'imp-questions'!A:H,8,FALSE))</f>
        <v>F</v>
      </c>
      <c r="F104" s="169" t="str">
        <f>Interview!F151</f>
        <v>No</v>
      </c>
      <c r="G104" s="152">
        <f>IFERROR(VLOOKUP(F104,AnsFTBL,2,FALSE),0)</f>
        <v>0</v>
      </c>
      <c r="H104" s="257">
        <f>IFERROR(AVERAGE(G104,G108),0)</f>
        <v>0</v>
      </c>
      <c r="I104" s="644"/>
      <c r="J104" s="262" t="str">
        <f>F104</f>
        <v>No</v>
      </c>
      <c r="K104" s="152">
        <f>IFERROR(VLOOKUP(J104,AnsFTBL,2,FALSE),0)</f>
        <v>0</v>
      </c>
      <c r="L104" s="257">
        <f>IFERROR(AVERAGE(K104,K108),0)</f>
        <v>0</v>
      </c>
      <c r="M104" s="644"/>
      <c r="N104" s="262" t="str">
        <f>J104</f>
        <v>No</v>
      </c>
      <c r="O104" s="152">
        <f>IFERROR(VLOOKUP(N104,AnsFTBL,2,FALSE),0)</f>
        <v>0</v>
      </c>
      <c r="P104" s="257">
        <f>IFERROR(AVERAGE(O104,O108),0)</f>
        <v>0</v>
      </c>
      <c r="Q104" s="644"/>
      <c r="R104" s="262" t="str">
        <f>N104</f>
        <v>No</v>
      </c>
      <c r="S104" s="152">
        <f>IFERROR(VLOOKUP(R104,AnsFTBL,2,FALSE),0)</f>
        <v>0</v>
      </c>
      <c r="T104" s="257">
        <f>IFERROR(AVERAGE(S104,S108),0)</f>
        <v>0</v>
      </c>
      <c r="U104" s="644"/>
      <c r="V104" s="262" t="str">
        <f>R104</f>
        <v>No</v>
      </c>
      <c r="W104" s="152">
        <f>IFERROR(VLOOKUP(V104,AnsFTBL,2,FALSE),0)</f>
        <v>0</v>
      </c>
      <c r="X104" s="257">
        <f>IFERROR(AVERAGE(W104,W108),0)</f>
        <v>0</v>
      </c>
      <c r="Y104" s="644"/>
    </row>
    <row r="105" spans="1:25" ht="13" x14ac:dyDescent="0.15">
      <c r="A105" s="142"/>
      <c r="B105" s="233"/>
      <c r="C105" s="222"/>
      <c r="D105" s="206"/>
      <c r="E105" s="206"/>
      <c r="F105" s="206"/>
      <c r="G105" s="206"/>
      <c r="H105" s="206"/>
      <c r="I105" s="644"/>
      <c r="J105" s="206"/>
      <c r="K105" s="206"/>
      <c r="L105" s="206"/>
      <c r="M105" s="644"/>
      <c r="N105" s="206"/>
      <c r="O105" s="206"/>
      <c r="P105" s="206"/>
      <c r="Q105" s="644"/>
      <c r="R105" s="206"/>
      <c r="S105" s="206"/>
      <c r="T105" s="206"/>
      <c r="U105" s="644"/>
      <c r="V105" s="206"/>
      <c r="W105" s="206"/>
      <c r="X105" s="206"/>
      <c r="Y105" s="644"/>
    </row>
    <row r="106" spans="1:25" ht="28" x14ac:dyDescent="0.15">
      <c r="A106" s="142" t="str">
        <f>Interview!A154</f>
        <v>V-AA-B-1-1</v>
      </c>
      <c r="B106" s="648" t="str">
        <f>VLOOKUP(A106,'imp-questions'!A:H,4,FALSE)</f>
        <v>Architecture Mitigation</v>
      </c>
      <c r="C106" s="228">
        <f>VLOOKUP(A106,'imp-questions'!A:H,5,FALSE)</f>
        <v>1</v>
      </c>
      <c r="D106" s="176" t="str">
        <f>VLOOKUP(A106,'imp-questions'!A:H,6,FALSE)</f>
        <v>Do you review the application architecture for mitigations of typical threats on an ad-hoc basis?</v>
      </c>
      <c r="E106" s="160" t="str">
        <f>CHAR(65+VLOOKUP(A106,'imp-questions'!A:H,8,FALSE))</f>
        <v>F</v>
      </c>
      <c r="F106" s="174" t="str">
        <f>Interview!F154</f>
        <v>No</v>
      </c>
      <c r="G106" s="152">
        <f>IFERROR(VLOOKUP(F106,AnsFTBL,2,FALSE),0)</f>
        <v>0</v>
      </c>
      <c r="H106" s="258"/>
      <c r="I106" s="644"/>
      <c r="J106" s="262" t="str">
        <f>F106</f>
        <v>No</v>
      </c>
      <c r="K106" s="152">
        <f>IFERROR(VLOOKUP(J106,AnsFTBL,2,FALSE),0)</f>
        <v>0</v>
      </c>
      <c r="L106" s="258"/>
      <c r="M106" s="644"/>
      <c r="N106" s="262" t="str">
        <f>J106</f>
        <v>No</v>
      </c>
      <c r="O106" s="152">
        <f>IFERROR(VLOOKUP(N106,AnsFTBL,2,FALSE),0)</f>
        <v>0</v>
      </c>
      <c r="P106" s="258"/>
      <c r="Q106" s="644"/>
      <c r="R106" s="262" t="str">
        <f>N106</f>
        <v>No</v>
      </c>
      <c r="S106" s="152">
        <f>IFERROR(VLOOKUP(R106,AnsFTBL,2,FALSE),0)</f>
        <v>0</v>
      </c>
      <c r="T106" s="258"/>
      <c r="U106" s="644"/>
      <c r="V106" s="262" t="str">
        <f>R106</f>
        <v>No</v>
      </c>
      <c r="W106" s="152">
        <f>IFERROR(VLOOKUP(V106,AnsFTBL,2,FALSE),0)</f>
        <v>0</v>
      </c>
      <c r="X106" s="258"/>
      <c r="Y106" s="644"/>
    </row>
    <row r="107" spans="1:25" x14ac:dyDescent="0.15">
      <c r="A107" s="142" t="str">
        <f>Interview!A156</f>
        <v>V-AA-B-2-1</v>
      </c>
      <c r="B107" s="649"/>
      <c r="C107" s="228">
        <f>VLOOKUP(A107,'imp-questions'!A:H,5,FALSE)</f>
        <v>2</v>
      </c>
      <c r="D107" s="176" t="str">
        <f>VLOOKUP(A107,'imp-questions'!A:H,6,FALSE)</f>
        <v>Do you regularly evaluate the threats to your architecture?</v>
      </c>
      <c r="E107" s="160" t="str">
        <f>CHAR(65+VLOOKUP(A107,'imp-questions'!A:H,8,FALSE))</f>
        <v>F</v>
      </c>
      <c r="F107" s="175" t="str">
        <f>Interview!F156</f>
        <v>No</v>
      </c>
      <c r="G107" s="152">
        <f>IFERROR(VLOOKUP(F107,AnsFTBL,2,FALSE),0)</f>
        <v>0</v>
      </c>
      <c r="H107" s="258"/>
      <c r="I107" s="644"/>
      <c r="J107" s="262" t="str">
        <f>F107</f>
        <v>No</v>
      </c>
      <c r="K107" s="152">
        <f>IFERROR(VLOOKUP(J107,AnsFTBL,2,FALSE),0)</f>
        <v>0</v>
      </c>
      <c r="L107" s="258"/>
      <c r="M107" s="644"/>
      <c r="N107" s="262" t="str">
        <f>J107</f>
        <v>No</v>
      </c>
      <c r="O107" s="152">
        <f>IFERROR(VLOOKUP(N107,AnsFTBL,2,FALSE),0)</f>
        <v>0</v>
      </c>
      <c r="P107" s="258"/>
      <c r="Q107" s="644"/>
      <c r="R107" s="262" t="str">
        <f>N107</f>
        <v>No</v>
      </c>
      <c r="S107" s="152">
        <f>IFERROR(VLOOKUP(R107,AnsFTBL,2,FALSE),0)</f>
        <v>0</v>
      </c>
      <c r="T107" s="258"/>
      <c r="U107" s="644"/>
      <c r="V107" s="262" t="str">
        <f>R107</f>
        <v>No</v>
      </c>
      <c r="W107" s="152">
        <f>IFERROR(VLOOKUP(V107,AnsFTBL,2,FALSE),0)</f>
        <v>0</v>
      </c>
      <c r="X107" s="258"/>
      <c r="Y107" s="644"/>
    </row>
    <row r="108" spans="1:25" ht="28" x14ac:dyDescent="0.15">
      <c r="A108" s="142" t="str">
        <f>Interview!A158</f>
        <v>V-AA-B-3-1</v>
      </c>
      <c r="B108" s="650"/>
      <c r="C108" s="228">
        <f>VLOOKUP(A108,'imp-questions'!A:H,5,FALSE)</f>
        <v>3</v>
      </c>
      <c r="D108" s="252" t="str">
        <f>VLOOKUP(A108,'imp-questions'!A:H,6,FALSE)</f>
        <v>Do you regularly update your reference architectures based on architecture assessment findings?</v>
      </c>
      <c r="E108" s="160" t="str">
        <f>CHAR(65+VLOOKUP(A108,'imp-questions'!A:H,8,FALSE))</f>
        <v>F</v>
      </c>
      <c r="F108" s="175" t="str">
        <f>Interview!F158</f>
        <v>No</v>
      </c>
      <c r="G108" s="152">
        <f>IFERROR(VLOOKUP(F108,AnsFTBL,2,FALSE),0)</f>
        <v>0</v>
      </c>
      <c r="H108" s="258"/>
      <c r="I108" s="645"/>
      <c r="J108" s="262" t="str">
        <f>F108</f>
        <v>No</v>
      </c>
      <c r="K108" s="152">
        <f>IFERROR(VLOOKUP(J108,AnsFTBL,2,FALSE),0)</f>
        <v>0</v>
      </c>
      <c r="L108" s="258"/>
      <c r="M108" s="645"/>
      <c r="N108" s="262" t="str">
        <f>J108</f>
        <v>No</v>
      </c>
      <c r="O108" s="152">
        <f>IFERROR(VLOOKUP(N108,AnsFTBL,2,FALSE),0)</f>
        <v>0</v>
      </c>
      <c r="P108" s="258"/>
      <c r="Q108" s="645"/>
      <c r="R108" s="262" t="str">
        <f>N108</f>
        <v>No</v>
      </c>
      <c r="S108" s="152">
        <f>IFERROR(VLOOKUP(R108,AnsFTBL,2,FALSE),0)</f>
        <v>0</v>
      </c>
      <c r="T108" s="258"/>
      <c r="U108" s="645"/>
      <c r="V108" s="262" t="str">
        <f>R108</f>
        <v>No</v>
      </c>
      <c r="W108" s="152">
        <f>IFERROR(VLOOKUP(V108,AnsFTBL,2,FALSE),0)</f>
        <v>0</v>
      </c>
      <c r="X108" s="258"/>
      <c r="Y108" s="645"/>
    </row>
    <row r="109" spans="1:25" ht="13" x14ac:dyDescent="0.15">
      <c r="A109" s="142"/>
      <c r="B109" s="233"/>
      <c r="C109" s="222"/>
      <c r="D109" s="206"/>
      <c r="E109" s="206"/>
      <c r="F109" s="206"/>
      <c r="G109" s="206"/>
      <c r="H109" s="206"/>
      <c r="I109" s="206"/>
      <c r="J109" s="206"/>
      <c r="K109" s="206"/>
      <c r="L109" s="206"/>
      <c r="M109" s="204"/>
      <c r="N109" s="206"/>
      <c r="O109" s="206"/>
      <c r="P109" s="206"/>
      <c r="Q109" s="204"/>
      <c r="R109" s="206"/>
      <c r="S109" s="206"/>
      <c r="T109" s="206"/>
      <c r="U109" s="204"/>
      <c r="V109" s="206"/>
      <c r="W109" s="206"/>
      <c r="X109" s="206"/>
      <c r="Y109" s="204"/>
    </row>
    <row r="110" spans="1:25" x14ac:dyDescent="0.15">
      <c r="A110" s="142"/>
      <c r="B110" s="237" t="s">
        <v>312</v>
      </c>
      <c r="C110" s="227" t="s">
        <v>313</v>
      </c>
      <c r="D110" s="249" t="s">
        <v>438</v>
      </c>
      <c r="E110" s="194"/>
      <c r="F110" s="72" t="s">
        <v>31</v>
      </c>
      <c r="G110" s="72"/>
      <c r="H110" s="113"/>
      <c r="I110" s="214" t="s">
        <v>29</v>
      </c>
      <c r="J110" s="72" t="s">
        <v>31</v>
      </c>
      <c r="K110" s="72"/>
      <c r="L110" s="113"/>
      <c r="M110" s="214" t="s">
        <v>29</v>
      </c>
      <c r="N110" s="72" t="s">
        <v>31</v>
      </c>
      <c r="O110" s="72"/>
      <c r="P110" s="113"/>
      <c r="Q110" s="214" t="s">
        <v>29</v>
      </c>
      <c r="R110" s="72" t="s">
        <v>31</v>
      </c>
      <c r="S110" s="72"/>
      <c r="T110" s="113"/>
      <c r="U110" s="214" t="s">
        <v>29</v>
      </c>
      <c r="V110" s="72" t="s">
        <v>31</v>
      </c>
      <c r="W110" s="72"/>
      <c r="X110" s="113"/>
      <c r="Y110" s="214" t="s">
        <v>29</v>
      </c>
    </row>
    <row r="111" spans="1:25" ht="28" x14ac:dyDescent="0.15">
      <c r="A111" s="142" t="str">
        <f>Interview!A161</f>
        <v>V-RT-A-1-1</v>
      </c>
      <c r="B111" s="648" t="str">
        <f>VLOOKUP(A111,'imp-questions'!A:H,4,FALSE)</f>
        <v>Control Verification</v>
      </c>
      <c r="C111" s="228">
        <f>VLOOKUP(A111,'imp-questions'!A:H,5,FALSE)</f>
        <v>1</v>
      </c>
      <c r="D111" s="176" t="str">
        <f>VLOOKUP(A111,'imp-questions'!A:H,6,FALSE)</f>
        <v>Do you test applications for the correct functioning of standard security controls?</v>
      </c>
      <c r="E111" s="144" t="str">
        <f>CHAR(65+VLOOKUP(A111,'imp-questions'!A:H,8,FALSE))</f>
        <v>C</v>
      </c>
      <c r="F111" s="169" t="str">
        <f>Interview!F161</f>
        <v>No</v>
      </c>
      <c r="G111" s="152">
        <f>IFERROR(VLOOKUP(F111,AnsCTBL,2,FALSE),0)</f>
        <v>0</v>
      </c>
      <c r="H111" s="257">
        <f>IFERROR(AVERAGE(G111,G115),0)</f>
        <v>0</v>
      </c>
      <c r="I111" s="643">
        <f>SUM(H111:H113)</f>
        <v>0</v>
      </c>
      <c r="J111" s="262" t="str">
        <f>F111</f>
        <v>No</v>
      </c>
      <c r="K111" s="152">
        <f>IFERROR(VLOOKUP(J111,AnsCTBL,2,FALSE),0)</f>
        <v>0</v>
      </c>
      <c r="L111" s="257">
        <f>IFERROR(AVERAGE(K111,K115),0)</f>
        <v>0</v>
      </c>
      <c r="M111" s="643">
        <f>SUM(L111:L113)</f>
        <v>0</v>
      </c>
      <c r="N111" s="262" t="str">
        <f>J111</f>
        <v>No</v>
      </c>
      <c r="O111" s="152">
        <f>IFERROR(VLOOKUP(N111,AnsCTBL,2,FALSE),0)</f>
        <v>0</v>
      </c>
      <c r="P111" s="257">
        <f>IFERROR(AVERAGE(O111,O115),0)</f>
        <v>0</v>
      </c>
      <c r="Q111" s="643">
        <f>SUM(P111:P113)</f>
        <v>0</v>
      </c>
      <c r="R111" s="262" t="str">
        <f>N111</f>
        <v>No</v>
      </c>
      <c r="S111" s="152">
        <f>IFERROR(VLOOKUP(R111,AnsCTBL,2,FALSE),0)</f>
        <v>0</v>
      </c>
      <c r="T111" s="257">
        <f>IFERROR(AVERAGE(S111,S115),0)</f>
        <v>0</v>
      </c>
      <c r="U111" s="643">
        <f>SUM(T111:T113)</f>
        <v>0</v>
      </c>
      <c r="V111" s="262" t="str">
        <f>R111</f>
        <v>No</v>
      </c>
      <c r="W111" s="152">
        <f>IFERROR(VLOOKUP(V111,AnsCTBL,2,FALSE),0)</f>
        <v>0</v>
      </c>
      <c r="X111" s="257">
        <f>IFERROR(AVERAGE(W111,W115),0)</f>
        <v>0</v>
      </c>
      <c r="Y111" s="643">
        <f>SUM(X111:X113)</f>
        <v>0</v>
      </c>
    </row>
    <row r="112" spans="1:25" ht="28" x14ac:dyDescent="0.15">
      <c r="A112" s="142" t="str">
        <f>Interview!A163</f>
        <v>V-RT-A-2-1</v>
      </c>
      <c r="B112" s="649"/>
      <c r="C112" s="228">
        <f>VLOOKUP(A112,'imp-questions'!A:H,5,FALSE)</f>
        <v>2</v>
      </c>
      <c r="D112" s="176" t="str">
        <f>VLOOKUP(A112,'imp-questions'!A:H,6,FALSE)</f>
        <v>Do you consistently write and execute test scripts to verify the functionality of security requirements?</v>
      </c>
      <c r="E112" s="144" t="str">
        <f>CHAR(65+VLOOKUP(A112,'imp-questions'!A:H,8,FALSE))</f>
        <v>C</v>
      </c>
      <c r="F112" s="173" t="str">
        <f>Interview!F163</f>
        <v>No</v>
      </c>
      <c r="G112" s="152">
        <f>IFERROR(VLOOKUP(F112,AnsCTBL,2,FALSE),0)</f>
        <v>0</v>
      </c>
      <c r="H112" s="257">
        <f>IFERROR(AVERAGE(G112,G116),0)</f>
        <v>0</v>
      </c>
      <c r="I112" s="644"/>
      <c r="J112" s="262" t="str">
        <f>F112</f>
        <v>No</v>
      </c>
      <c r="K112" s="152">
        <f>IFERROR(VLOOKUP(J112,AnsCTBL,2,FALSE),0)</f>
        <v>0</v>
      </c>
      <c r="L112" s="257">
        <f>IFERROR(AVERAGE(K112,K116),0)</f>
        <v>0</v>
      </c>
      <c r="M112" s="644"/>
      <c r="N112" s="262" t="str">
        <f>J112</f>
        <v>No</v>
      </c>
      <c r="O112" s="152">
        <f>IFERROR(VLOOKUP(N112,AnsCTBL,2,FALSE),0)</f>
        <v>0</v>
      </c>
      <c r="P112" s="257">
        <f>IFERROR(AVERAGE(O112,O116),0)</f>
        <v>0</v>
      </c>
      <c r="Q112" s="644"/>
      <c r="R112" s="262" t="str">
        <f>N112</f>
        <v>No</v>
      </c>
      <c r="S112" s="152">
        <f>IFERROR(VLOOKUP(R112,AnsCTBL,2,FALSE),0)</f>
        <v>0</v>
      </c>
      <c r="T112" s="257">
        <f>IFERROR(AVERAGE(S112,S116),0)</f>
        <v>0</v>
      </c>
      <c r="U112" s="644"/>
      <c r="V112" s="262" t="str">
        <f>R112</f>
        <v>No</v>
      </c>
      <c r="W112" s="152">
        <f>IFERROR(VLOOKUP(V112,AnsCTBL,2,FALSE),0)</f>
        <v>0</v>
      </c>
      <c r="X112" s="257">
        <f>IFERROR(AVERAGE(W112,W116),0)</f>
        <v>0</v>
      </c>
      <c r="Y112" s="644"/>
    </row>
    <row r="113" spans="1:25" x14ac:dyDescent="0.15">
      <c r="A113" s="142" t="str">
        <f>Interview!A165</f>
        <v>V-RT-A-3-1</v>
      </c>
      <c r="B113" s="650"/>
      <c r="C113" s="228">
        <f>VLOOKUP(A113,'imp-questions'!A:H,5,FALSE)</f>
        <v>3</v>
      </c>
      <c r="D113" s="252" t="str">
        <f>VLOOKUP(A113,'imp-questions'!A:H,6,FALSE)</f>
        <v>Do you automatically test applications for security regressions?</v>
      </c>
      <c r="E113" s="144" t="str">
        <f>CHAR(65+VLOOKUP(A113,'imp-questions'!A:H,8,FALSE))</f>
        <v>F</v>
      </c>
      <c r="F113" s="173" t="str">
        <f>Interview!F165</f>
        <v>No</v>
      </c>
      <c r="G113" s="152">
        <f>IFERROR(VLOOKUP(F113,AnsFTBL,2,FALSE),0)</f>
        <v>0</v>
      </c>
      <c r="H113" s="257">
        <f>IFERROR(AVERAGE(G113,G117),0)</f>
        <v>0</v>
      </c>
      <c r="I113" s="644"/>
      <c r="J113" s="262" t="str">
        <f>F113</f>
        <v>No</v>
      </c>
      <c r="K113" s="152">
        <f>IFERROR(VLOOKUP(J113,AnsFTBL,2,FALSE),0)</f>
        <v>0</v>
      </c>
      <c r="L113" s="257">
        <f>IFERROR(AVERAGE(K113,K117),0)</f>
        <v>0</v>
      </c>
      <c r="M113" s="644"/>
      <c r="N113" s="262" t="str">
        <f>J113</f>
        <v>No</v>
      </c>
      <c r="O113" s="152">
        <f>IFERROR(VLOOKUP(N113,AnsFTBL,2,FALSE),0)</f>
        <v>0</v>
      </c>
      <c r="P113" s="257">
        <f>IFERROR(AVERAGE(O113,O117),0)</f>
        <v>0</v>
      </c>
      <c r="Q113" s="644"/>
      <c r="R113" s="262" t="str">
        <f>N113</f>
        <v>No</v>
      </c>
      <c r="S113" s="152">
        <f>IFERROR(VLOOKUP(R113,AnsFTBL,2,FALSE),0)</f>
        <v>0</v>
      </c>
      <c r="T113" s="257">
        <f>IFERROR(AVERAGE(S113,S117),0)</f>
        <v>0</v>
      </c>
      <c r="U113" s="644"/>
      <c r="V113" s="262" t="str">
        <f>R113</f>
        <v>No</v>
      </c>
      <c r="W113" s="152">
        <f>IFERROR(VLOOKUP(V113,AnsFTBL,2,FALSE),0)</f>
        <v>0</v>
      </c>
      <c r="X113" s="257">
        <f>IFERROR(AVERAGE(W113,W117),0)</f>
        <v>0</v>
      </c>
      <c r="Y113" s="644"/>
    </row>
    <row r="114" spans="1:25" ht="13" x14ac:dyDescent="0.15">
      <c r="A114" s="142"/>
      <c r="B114" s="233"/>
      <c r="C114" s="222"/>
      <c r="D114" s="204"/>
      <c r="E114" s="204"/>
      <c r="F114" s="204"/>
      <c r="G114" s="204"/>
      <c r="H114" s="204"/>
      <c r="I114" s="644"/>
      <c r="J114" s="204"/>
      <c r="K114" s="204"/>
      <c r="L114" s="204"/>
      <c r="M114" s="644"/>
      <c r="N114" s="204"/>
      <c r="O114" s="204"/>
      <c r="P114" s="204"/>
      <c r="Q114" s="644"/>
      <c r="R114" s="204"/>
      <c r="S114" s="204"/>
      <c r="T114" s="204"/>
      <c r="U114" s="644"/>
      <c r="V114" s="204"/>
      <c r="W114" s="204"/>
      <c r="X114" s="204"/>
      <c r="Y114" s="644"/>
    </row>
    <row r="115" spans="1:25" x14ac:dyDescent="0.15">
      <c r="A115" s="142" t="str">
        <f>Interview!A168</f>
        <v>V-RT-B-1-1</v>
      </c>
      <c r="B115" s="648" t="str">
        <f>VLOOKUP(A115,'imp-questions'!A:H,4,FALSE)</f>
        <v>Misuse/Abuse Testing</v>
      </c>
      <c r="C115" s="228">
        <f>VLOOKUP(A115,'imp-questions'!A:H,5,FALSE)</f>
        <v>1</v>
      </c>
      <c r="D115" s="176" t="str">
        <f>VLOOKUP(A115,'imp-questions'!A:H,6,FALSE)</f>
        <v>Do you test applications using randomization or fuzzing techniques?</v>
      </c>
      <c r="E115" s="144" t="str">
        <f>CHAR(65+VLOOKUP(A115,'imp-questions'!A:H,8,FALSE))</f>
        <v>F</v>
      </c>
      <c r="F115" s="169" t="str">
        <f>Interview!F168</f>
        <v>No</v>
      </c>
      <c r="G115" s="152">
        <f>IFERROR(VLOOKUP(F115,AnsFTBL,2,FALSE),0)</f>
        <v>0</v>
      </c>
      <c r="H115" s="122"/>
      <c r="I115" s="644"/>
      <c r="J115" s="262" t="str">
        <f>F115</f>
        <v>No</v>
      </c>
      <c r="K115" s="152">
        <f>IFERROR(VLOOKUP(J115,AnsFTBL,2,FALSE),0)</f>
        <v>0</v>
      </c>
      <c r="L115" s="122"/>
      <c r="M115" s="644"/>
      <c r="N115" s="262" t="str">
        <f>J115</f>
        <v>No</v>
      </c>
      <c r="O115" s="152">
        <f>IFERROR(VLOOKUP(N115,AnsFTBL,2,FALSE),0)</f>
        <v>0</v>
      </c>
      <c r="P115" s="122"/>
      <c r="Q115" s="644"/>
      <c r="R115" s="262" t="str">
        <f>N115</f>
        <v>No</v>
      </c>
      <c r="S115" s="152">
        <f>IFERROR(VLOOKUP(R115,AnsFTBL,2,FALSE),0)</f>
        <v>0</v>
      </c>
      <c r="T115" s="122"/>
      <c r="U115" s="644"/>
      <c r="V115" s="262" t="str">
        <f>R115</f>
        <v>No</v>
      </c>
      <c r="W115" s="152">
        <f>IFERROR(VLOOKUP(V115,AnsFTBL,2,FALSE),0)</f>
        <v>0</v>
      </c>
      <c r="X115" s="122"/>
      <c r="Y115" s="644"/>
    </row>
    <row r="116" spans="1:25" ht="28" x14ac:dyDescent="0.15">
      <c r="A116" s="142" t="str">
        <f>Interview!A170</f>
        <v>V-RT-B-2-1</v>
      </c>
      <c r="B116" s="649"/>
      <c r="C116" s="228">
        <f>VLOOKUP(A116,'imp-questions'!A:H,5,FALSE)</f>
        <v>2</v>
      </c>
      <c r="D116" s="176" t="str">
        <f>VLOOKUP(A116,'imp-questions'!A:H,6,FALSE)</f>
        <v>Do you create abuse cases from functional requirements and use them to drive security tests?</v>
      </c>
      <c r="E116" s="144" t="str">
        <f>CHAR(65+VLOOKUP(A116,'imp-questions'!A:H,8,FALSE))</f>
        <v>H</v>
      </c>
      <c r="F116" s="173" t="str">
        <f>Interview!F170</f>
        <v>No</v>
      </c>
      <c r="G116" s="152">
        <f>IFERROR(VLOOKUP(F116,AnsHTBL,2,FALSE),0)</f>
        <v>0</v>
      </c>
      <c r="H116" s="122"/>
      <c r="I116" s="644"/>
      <c r="J116" s="262" t="str">
        <f>F116</f>
        <v>No</v>
      </c>
      <c r="K116" s="152">
        <f>IFERROR(VLOOKUP(J116,AnsHTBL,2,FALSE),0)</f>
        <v>0</v>
      </c>
      <c r="L116" s="122"/>
      <c r="M116" s="644"/>
      <c r="N116" s="262" t="str">
        <f>J116</f>
        <v>No</v>
      </c>
      <c r="O116" s="152">
        <f>IFERROR(VLOOKUP(N116,AnsHTBL,2,FALSE),0)</f>
        <v>0</v>
      </c>
      <c r="P116" s="122"/>
      <c r="Q116" s="644"/>
      <c r="R116" s="262" t="str">
        <f>N116</f>
        <v>No</v>
      </c>
      <c r="S116" s="152">
        <f>IFERROR(VLOOKUP(R116,AnsHTBL,2,FALSE),0)</f>
        <v>0</v>
      </c>
      <c r="T116" s="122"/>
      <c r="U116" s="644"/>
      <c r="V116" s="262" t="str">
        <f>R116</f>
        <v>No</v>
      </c>
      <c r="W116" s="152">
        <f>IFERROR(VLOOKUP(V116,AnsHTBL,2,FALSE),0)</f>
        <v>0</v>
      </c>
      <c r="X116" s="122"/>
      <c r="Y116" s="644"/>
    </row>
    <row r="117" spans="1:25" x14ac:dyDescent="0.15">
      <c r="A117" s="142" t="str">
        <f>Interview!A172</f>
        <v>V-RT-B-3-1</v>
      </c>
      <c r="B117" s="650"/>
      <c r="C117" s="228">
        <f>VLOOKUP(A117,'imp-questions'!A:H,5,FALSE)</f>
        <v>3</v>
      </c>
      <c r="D117" s="252" t="str">
        <f>VLOOKUP(A117,'imp-questions'!A:H,6,FALSE)</f>
        <v>Do you perform denial of service and security stress testing?</v>
      </c>
      <c r="E117" s="144" t="str">
        <f>CHAR(65+VLOOKUP(A117,'imp-questions'!A:H,8,FALSE))</f>
        <v>H</v>
      </c>
      <c r="F117" s="173" t="str">
        <f>Interview!F172</f>
        <v>No</v>
      </c>
      <c r="G117" s="152">
        <f>IFERROR(VLOOKUP(F117,AnsHTBL,2,FALSE),0)</f>
        <v>0</v>
      </c>
      <c r="H117" s="122"/>
      <c r="I117" s="645"/>
      <c r="J117" s="262" t="str">
        <f>F117</f>
        <v>No</v>
      </c>
      <c r="K117" s="152">
        <f>IFERROR(VLOOKUP(J117,AnsHTBL,2,FALSE),0)</f>
        <v>0</v>
      </c>
      <c r="L117" s="122"/>
      <c r="M117" s="645"/>
      <c r="N117" s="262" t="str">
        <f>J117</f>
        <v>No</v>
      </c>
      <c r="O117" s="152">
        <f>IFERROR(VLOOKUP(N117,AnsHTBL,2,FALSE),0)</f>
        <v>0</v>
      </c>
      <c r="P117" s="122"/>
      <c r="Q117" s="645"/>
      <c r="R117" s="262" t="str">
        <f>N117</f>
        <v>No</v>
      </c>
      <c r="S117" s="152">
        <f>IFERROR(VLOOKUP(R117,AnsHTBL,2,FALSE),0)</f>
        <v>0</v>
      </c>
      <c r="T117" s="122"/>
      <c r="U117" s="645"/>
      <c r="V117" s="262" t="str">
        <f>R117</f>
        <v>No</v>
      </c>
      <c r="W117" s="152">
        <f>IFERROR(VLOOKUP(V117,AnsHTBL,2,FALSE),0)</f>
        <v>0</v>
      </c>
      <c r="X117" s="122"/>
      <c r="Y117" s="645"/>
    </row>
    <row r="118" spans="1:25" ht="13" x14ac:dyDescent="0.15">
      <c r="A118" s="142"/>
      <c r="B118" s="233"/>
      <c r="C118" s="222"/>
      <c r="D118" s="206"/>
      <c r="E118" s="206"/>
      <c r="F118" s="206"/>
      <c r="G118" s="206"/>
      <c r="H118" s="206"/>
      <c r="I118" s="204"/>
      <c r="J118" s="206"/>
      <c r="K118" s="206"/>
      <c r="L118" s="206"/>
      <c r="M118" s="204"/>
      <c r="N118" s="206"/>
      <c r="O118" s="206"/>
      <c r="P118" s="206"/>
      <c r="Q118" s="204"/>
      <c r="R118" s="206"/>
      <c r="S118" s="206"/>
      <c r="T118" s="206"/>
      <c r="U118" s="204"/>
      <c r="V118" s="206"/>
      <c r="W118" s="206"/>
      <c r="X118" s="206"/>
      <c r="Y118" s="204"/>
    </row>
    <row r="119" spans="1:25" x14ac:dyDescent="0.15">
      <c r="A119" s="142"/>
      <c r="B119" s="237" t="s">
        <v>312</v>
      </c>
      <c r="C119" s="227" t="s">
        <v>313</v>
      </c>
      <c r="D119" s="249" t="s">
        <v>25</v>
      </c>
      <c r="E119" s="194"/>
      <c r="F119" s="72" t="s">
        <v>31</v>
      </c>
      <c r="G119" s="72"/>
      <c r="H119" s="113"/>
      <c r="I119" s="214" t="s">
        <v>29</v>
      </c>
      <c r="J119" s="72" t="s">
        <v>31</v>
      </c>
      <c r="K119" s="72"/>
      <c r="L119" s="113"/>
      <c r="M119" s="214" t="s">
        <v>29</v>
      </c>
      <c r="N119" s="72" t="s">
        <v>31</v>
      </c>
      <c r="O119" s="72"/>
      <c r="P119" s="113"/>
      <c r="Q119" s="214" t="s">
        <v>29</v>
      </c>
      <c r="R119" s="72" t="s">
        <v>31</v>
      </c>
      <c r="S119" s="72"/>
      <c r="T119" s="113"/>
      <c r="U119" s="214" t="s">
        <v>29</v>
      </c>
      <c r="V119" s="72" t="s">
        <v>31</v>
      </c>
      <c r="W119" s="72"/>
      <c r="X119" s="113"/>
      <c r="Y119" s="214" t="s">
        <v>29</v>
      </c>
    </row>
    <row r="120" spans="1:25" x14ac:dyDescent="0.15">
      <c r="A120" s="142" t="str">
        <f>Interview!A175</f>
        <v>V-ST-A-1-1</v>
      </c>
      <c r="B120" s="648" t="str">
        <f>VLOOKUP(A120,'imp-questions'!A:H,4,FALSE)</f>
        <v>Scalable Baseline</v>
      </c>
      <c r="C120" s="228">
        <f>VLOOKUP(A120,'imp-questions'!A:H,5,FALSE)</f>
        <v>1</v>
      </c>
      <c r="D120" s="176" t="str">
        <f>VLOOKUP(A120,'imp-questions'!A:H,6,FALSE)</f>
        <v>Do you scan applications with automated security testing tools?</v>
      </c>
      <c r="E120" s="144" t="str">
        <f>CHAR(65+VLOOKUP(A120,'imp-questions'!A:H,8,FALSE))</f>
        <v>C</v>
      </c>
      <c r="F120" s="169" t="str">
        <f>Interview!F175</f>
        <v>Yes, most or all of them</v>
      </c>
      <c r="G120" s="152">
        <f>IFERROR(VLOOKUP(F120,AnsCTBL,2,FALSE),0)</f>
        <v>1</v>
      </c>
      <c r="H120" s="257">
        <f>IFERROR(AVERAGE(G120,G124),0)</f>
        <v>0.625</v>
      </c>
      <c r="I120" s="643">
        <f>SUM(H120:H122)</f>
        <v>1</v>
      </c>
      <c r="J120" s="262" t="str">
        <f>F120</f>
        <v>Yes, most or all of them</v>
      </c>
      <c r="K120" s="152">
        <f>IFERROR(VLOOKUP(J120,AnsCTBL,2,FALSE),0)</f>
        <v>1</v>
      </c>
      <c r="L120" s="257">
        <f>IFERROR(AVERAGE(K120,K124),0)</f>
        <v>0.625</v>
      </c>
      <c r="M120" s="643">
        <f>SUM(L120:L122)</f>
        <v>1</v>
      </c>
      <c r="N120" s="262" t="str">
        <f>J120</f>
        <v>Yes, most or all of them</v>
      </c>
      <c r="O120" s="152">
        <f>IFERROR(VLOOKUP(N120,AnsCTBL,2,FALSE),0)</f>
        <v>1</v>
      </c>
      <c r="P120" s="257">
        <f>IFERROR(AVERAGE(O120,O124),0)</f>
        <v>0.625</v>
      </c>
      <c r="Q120" s="643">
        <f>SUM(P120:P122)</f>
        <v>1</v>
      </c>
      <c r="R120" s="262" t="str">
        <f>N120</f>
        <v>Yes, most or all of them</v>
      </c>
      <c r="S120" s="152">
        <f>IFERROR(VLOOKUP(R120,AnsCTBL,2,FALSE),0)</f>
        <v>1</v>
      </c>
      <c r="T120" s="257">
        <f>IFERROR(AVERAGE(S120,S124),0)</f>
        <v>0.625</v>
      </c>
      <c r="U120" s="643">
        <f>SUM(T120:T122)</f>
        <v>1</v>
      </c>
      <c r="V120" s="262" t="str">
        <f>R120</f>
        <v>Yes, most or all of them</v>
      </c>
      <c r="W120" s="152">
        <f>IFERROR(VLOOKUP(V120,AnsCTBL,2,FALSE),0)</f>
        <v>1</v>
      </c>
      <c r="X120" s="257">
        <f>IFERROR(AVERAGE(W120,W124),0)</f>
        <v>0.625</v>
      </c>
      <c r="Y120" s="643">
        <f>SUM(X120:X122)</f>
        <v>1</v>
      </c>
    </row>
    <row r="121" spans="1:25" ht="28" x14ac:dyDescent="0.15">
      <c r="A121" s="142" t="str">
        <f>Interview!A177</f>
        <v>V-ST-A-2-1</v>
      </c>
      <c r="B121" s="649"/>
      <c r="C121" s="228">
        <f>VLOOKUP(A121,'imp-questions'!A:H,5,FALSE)</f>
        <v>2</v>
      </c>
      <c r="D121" s="176" t="str">
        <f>VLOOKUP(A121,'imp-questions'!A:H,6,FALSE)</f>
        <v>Do you customize the automated security tools to your applications and technology stacks?</v>
      </c>
      <c r="E121" s="144" t="str">
        <f>CHAR(65+VLOOKUP(A121,'imp-questions'!A:H,8,FALSE))</f>
        <v>C</v>
      </c>
      <c r="F121" s="173" t="str">
        <f>Interview!F177</f>
        <v>Yes, some of them</v>
      </c>
      <c r="G121" s="152">
        <f>IFERROR(VLOOKUP(F121,AnsCTBL,2,FALSE),0)</f>
        <v>0.25</v>
      </c>
      <c r="H121" s="257">
        <f>IFERROR(AVERAGE(G121,G125),0)</f>
        <v>0.25</v>
      </c>
      <c r="I121" s="644"/>
      <c r="J121" s="262" t="str">
        <f>F121</f>
        <v>Yes, some of them</v>
      </c>
      <c r="K121" s="152">
        <f>IFERROR(VLOOKUP(J121,AnsCTBL,2,FALSE),0)</f>
        <v>0.25</v>
      </c>
      <c r="L121" s="257">
        <f>IFERROR(AVERAGE(K121,K125),0)</f>
        <v>0.25</v>
      </c>
      <c r="M121" s="644"/>
      <c r="N121" s="262" t="str">
        <f>J121</f>
        <v>Yes, some of them</v>
      </c>
      <c r="O121" s="152">
        <f>IFERROR(VLOOKUP(N121,AnsCTBL,2,FALSE),0)</f>
        <v>0.25</v>
      </c>
      <c r="P121" s="257">
        <f>IFERROR(AVERAGE(O121,O125),0)</f>
        <v>0.25</v>
      </c>
      <c r="Q121" s="644"/>
      <c r="R121" s="262" t="str">
        <f>N121</f>
        <v>Yes, some of them</v>
      </c>
      <c r="S121" s="152">
        <f>IFERROR(VLOOKUP(R121,AnsCTBL,2,FALSE),0)</f>
        <v>0.25</v>
      </c>
      <c r="T121" s="257">
        <f>IFERROR(AVERAGE(S121,S125),0)</f>
        <v>0.25</v>
      </c>
      <c r="U121" s="644"/>
      <c r="V121" s="262" t="str">
        <f>R121</f>
        <v>Yes, some of them</v>
      </c>
      <c r="W121" s="152">
        <f>IFERROR(VLOOKUP(V121,AnsCTBL,2,FALSE),0)</f>
        <v>0.25</v>
      </c>
      <c r="X121" s="257">
        <f>IFERROR(AVERAGE(W121,W125),0)</f>
        <v>0.25</v>
      </c>
      <c r="Y121" s="644"/>
    </row>
    <row r="122" spans="1:25" x14ac:dyDescent="0.15">
      <c r="A122" s="142" t="str">
        <f>Interview!A179</f>
        <v>V-ST-A-3-1</v>
      </c>
      <c r="B122" s="650"/>
      <c r="C122" s="228">
        <f>VLOOKUP(A122,'imp-questions'!A:H,5,FALSE)</f>
        <v>3</v>
      </c>
      <c r="D122" s="252" t="str">
        <f>VLOOKUP(A122,'imp-questions'!A:H,6,FALSE)</f>
        <v>Do you integrate automated security testing into the build and deploy process?</v>
      </c>
      <c r="E122" s="144" t="str">
        <f>CHAR(65+VLOOKUP(A122,'imp-questions'!A:H,8,FALSE))</f>
        <v>X</v>
      </c>
      <c r="F122" s="173" t="str">
        <f>Interview!F179</f>
        <v>No</v>
      </c>
      <c r="G122" s="152">
        <f>IFERROR(VLOOKUP(F122,AnsXTBL,2,FALSE),0)</f>
        <v>0</v>
      </c>
      <c r="H122" s="257">
        <f>IFERROR(AVERAGE(G122,G126),0)</f>
        <v>0.125</v>
      </c>
      <c r="I122" s="644"/>
      <c r="J122" s="262" t="str">
        <f>F122</f>
        <v>No</v>
      </c>
      <c r="K122" s="152">
        <f>IFERROR(VLOOKUP(J122,AnsXTBL,2,FALSE),0)</f>
        <v>0</v>
      </c>
      <c r="L122" s="257">
        <f>IFERROR(AVERAGE(K122,K126),0)</f>
        <v>0.125</v>
      </c>
      <c r="M122" s="644"/>
      <c r="N122" s="262" t="str">
        <f>J122</f>
        <v>No</v>
      </c>
      <c r="O122" s="152">
        <f>IFERROR(VLOOKUP(N122,AnsXTBL,2,FALSE),0)</f>
        <v>0</v>
      </c>
      <c r="P122" s="257">
        <f>IFERROR(AVERAGE(O122,O126),0)</f>
        <v>0.125</v>
      </c>
      <c r="Q122" s="644"/>
      <c r="R122" s="262" t="str">
        <f>N122</f>
        <v>No</v>
      </c>
      <c r="S122" s="152">
        <f>IFERROR(VLOOKUP(R122,AnsXTBL,2,FALSE),0)</f>
        <v>0</v>
      </c>
      <c r="T122" s="257">
        <f>IFERROR(AVERAGE(S122,S126),0)</f>
        <v>0.125</v>
      </c>
      <c r="U122" s="644"/>
      <c r="V122" s="262" t="str">
        <f>R122</f>
        <v>No</v>
      </c>
      <c r="W122" s="152">
        <f>IFERROR(VLOOKUP(V122,AnsXTBL,2,FALSE),0)</f>
        <v>0</v>
      </c>
      <c r="X122" s="257">
        <f>IFERROR(AVERAGE(W122,W126),0)</f>
        <v>0.125</v>
      </c>
      <c r="Y122" s="644"/>
    </row>
    <row r="123" spans="1:25" ht="13" x14ac:dyDescent="0.15">
      <c r="A123" s="142"/>
      <c r="B123" s="233"/>
      <c r="C123" s="222"/>
      <c r="D123" s="204"/>
      <c r="E123" s="204"/>
      <c r="F123" s="204"/>
      <c r="G123" s="204"/>
      <c r="H123" s="204"/>
      <c r="I123" s="644"/>
      <c r="J123" s="204"/>
      <c r="K123" s="204"/>
      <c r="L123" s="204"/>
      <c r="M123" s="644"/>
      <c r="N123" s="204"/>
      <c r="O123" s="204"/>
      <c r="P123" s="204"/>
      <c r="Q123" s="644"/>
      <c r="R123" s="204"/>
      <c r="S123" s="204"/>
      <c r="T123" s="204"/>
      <c r="U123" s="644"/>
      <c r="V123" s="204"/>
      <c r="W123" s="204"/>
      <c r="X123" s="204"/>
      <c r="Y123" s="644"/>
    </row>
    <row r="124" spans="1:25" x14ac:dyDescent="0.15">
      <c r="A124" s="142" t="str">
        <f>Interview!A182</f>
        <v>V-ST-B-1-1</v>
      </c>
      <c r="B124" s="648" t="str">
        <f>VLOOKUP(A124,'imp-questions'!A:H,4,FALSE)</f>
        <v>Deep Understanding</v>
      </c>
      <c r="C124" s="228">
        <f>VLOOKUP(A124,'imp-questions'!A:H,5,FALSE)</f>
        <v>1</v>
      </c>
      <c r="D124" s="176" t="str">
        <f>VLOOKUP(A124,'imp-questions'!A:H,6,FALSE)</f>
        <v>Do you manually review the security quality of selected high-risk components?</v>
      </c>
      <c r="E124" s="144" t="str">
        <f>CHAR(65+VLOOKUP(A124,'imp-questions'!A:H,8,FALSE))</f>
        <v>M</v>
      </c>
      <c r="F124" s="169" t="str">
        <f>Interview!F182</f>
        <v>Yes, for some components</v>
      </c>
      <c r="G124" s="152">
        <f>IFERROR(VLOOKUP(F124,AnsMTBL,2,FALSE),0)</f>
        <v>0.25</v>
      </c>
      <c r="H124" s="122"/>
      <c r="I124" s="644"/>
      <c r="J124" s="262" t="str">
        <f>F124</f>
        <v>Yes, for some components</v>
      </c>
      <c r="K124" s="152">
        <f>IFERROR(VLOOKUP(J124,AnsMTBL,2,FALSE),0)</f>
        <v>0.25</v>
      </c>
      <c r="L124" s="122"/>
      <c r="M124" s="644"/>
      <c r="N124" s="262" t="str">
        <f>J124</f>
        <v>Yes, for some components</v>
      </c>
      <c r="O124" s="152">
        <f>IFERROR(VLOOKUP(N124,AnsMTBL,2,FALSE),0)</f>
        <v>0.25</v>
      </c>
      <c r="P124" s="122"/>
      <c r="Q124" s="644"/>
      <c r="R124" s="262" t="str">
        <f>N124</f>
        <v>Yes, for some components</v>
      </c>
      <c r="S124" s="152">
        <f>IFERROR(VLOOKUP(R124,AnsMTBL,2,FALSE),0)</f>
        <v>0.25</v>
      </c>
      <c r="T124" s="122"/>
      <c r="U124" s="644"/>
      <c r="V124" s="262" t="str">
        <f>R124</f>
        <v>Yes, for some components</v>
      </c>
      <c r="W124" s="152">
        <f>IFERROR(VLOOKUP(V124,AnsMTBL,2,FALSE),0)</f>
        <v>0.25</v>
      </c>
      <c r="X124" s="122"/>
      <c r="Y124" s="644"/>
    </row>
    <row r="125" spans="1:25" x14ac:dyDescent="0.15">
      <c r="A125" s="142" t="str">
        <f>Interview!A184</f>
        <v>V-ST-B-2-1</v>
      </c>
      <c r="B125" s="649"/>
      <c r="C125" s="228">
        <f>VLOOKUP(A125,'imp-questions'!A:H,5,FALSE)</f>
        <v>2</v>
      </c>
      <c r="D125" s="176" t="str">
        <f>VLOOKUP(A125,'imp-questions'!A:H,6,FALSE)</f>
        <v>Do you perform penetration testing for your applications at regular intervals?</v>
      </c>
      <c r="E125" s="144" t="str">
        <f>CHAR(65+VLOOKUP(A125,'imp-questions'!A:H,8,FALSE))</f>
        <v>F</v>
      </c>
      <c r="F125" s="173" t="str">
        <f>Interview!F184</f>
        <v>Yes, for some applications</v>
      </c>
      <c r="G125" s="152">
        <f>IFERROR(VLOOKUP(F125,AnsFTBL,2,FALSE),0)</f>
        <v>0.25</v>
      </c>
      <c r="H125" s="122"/>
      <c r="I125" s="644"/>
      <c r="J125" s="262" t="str">
        <f>F125</f>
        <v>Yes, for some applications</v>
      </c>
      <c r="K125" s="152">
        <f>IFERROR(VLOOKUP(J125,AnsFTBL,2,FALSE),0)</f>
        <v>0.25</v>
      </c>
      <c r="L125" s="122"/>
      <c r="M125" s="644"/>
      <c r="N125" s="262" t="str">
        <f>J125</f>
        <v>Yes, for some applications</v>
      </c>
      <c r="O125" s="152">
        <f>IFERROR(VLOOKUP(N125,AnsFTBL,2,FALSE),0)</f>
        <v>0.25</v>
      </c>
      <c r="P125" s="122"/>
      <c r="Q125" s="644"/>
      <c r="R125" s="262" t="str">
        <f>N125</f>
        <v>Yes, for some applications</v>
      </c>
      <c r="S125" s="152">
        <f>IFERROR(VLOOKUP(R125,AnsFTBL,2,FALSE),0)</f>
        <v>0.25</v>
      </c>
      <c r="T125" s="122"/>
      <c r="U125" s="644"/>
      <c r="V125" s="262" t="str">
        <f>R125</f>
        <v>Yes, for some applications</v>
      </c>
      <c r="W125" s="152">
        <f>IFERROR(VLOOKUP(V125,AnsFTBL,2,FALSE),0)</f>
        <v>0.25</v>
      </c>
      <c r="X125" s="122"/>
      <c r="Y125" s="644"/>
    </row>
    <row r="126" spans="1:25" x14ac:dyDescent="0.15">
      <c r="A126" s="142" t="str">
        <f>Interview!A186</f>
        <v>V-ST-B-3-1</v>
      </c>
      <c r="B126" s="650"/>
      <c r="C126" s="228">
        <f>VLOOKUP(A126,'imp-questions'!A:H,5,FALSE)</f>
        <v>3</v>
      </c>
      <c r="D126" s="252" t="str">
        <f>VLOOKUP(A126,'imp-questions'!A:H,6,FALSE)</f>
        <v>Do you use the results of security testing to improve the development lifecycle?</v>
      </c>
      <c r="E126" s="144" t="str">
        <f>CHAR(65+VLOOKUP(A126,'imp-questions'!A:H,8,FALSE))</f>
        <v>T</v>
      </c>
      <c r="F126" s="173" t="str">
        <f>Interview!F186</f>
        <v>Yes, but we improve it ad-hoc</v>
      </c>
      <c r="G126" s="152">
        <f>IFERROR(VLOOKUP(F126,AnsTTBL,2,FALSE),0)</f>
        <v>0.25</v>
      </c>
      <c r="H126" s="122"/>
      <c r="I126" s="646"/>
      <c r="J126" s="262" t="str">
        <f>F126</f>
        <v>Yes, but we improve it ad-hoc</v>
      </c>
      <c r="K126" s="152">
        <f>IFERROR(VLOOKUP(J126,AnsTTBL,2,FALSE),0)</f>
        <v>0.25</v>
      </c>
      <c r="L126" s="122"/>
      <c r="M126" s="646"/>
      <c r="N126" s="262" t="str">
        <f>J126</f>
        <v>Yes, but we improve it ad-hoc</v>
      </c>
      <c r="O126" s="152">
        <f>IFERROR(VLOOKUP(N126,AnsTTBL,2,FALSE),0)</f>
        <v>0.25</v>
      </c>
      <c r="P126" s="122"/>
      <c r="Q126" s="646"/>
      <c r="R126" s="262" t="str">
        <f>N126</f>
        <v>Yes, but we improve it ad-hoc</v>
      </c>
      <c r="S126" s="152">
        <f>IFERROR(VLOOKUP(R126,AnsTTBL,2,FALSE),0)</f>
        <v>0.25</v>
      </c>
      <c r="T126" s="122"/>
      <c r="U126" s="646"/>
      <c r="V126" s="262" t="str">
        <f>R126</f>
        <v>Yes, but we improve it ad-hoc</v>
      </c>
      <c r="W126" s="152">
        <f>IFERROR(VLOOKUP(V126,AnsTTBL,2,FALSE),0)</f>
        <v>0.25</v>
      </c>
      <c r="X126" s="122"/>
      <c r="Y126" s="646"/>
    </row>
    <row r="127" spans="1:25" ht="13" x14ac:dyDescent="0.15">
      <c r="A127" s="142"/>
      <c r="B127" s="233"/>
      <c r="C127" s="222"/>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row>
    <row r="128" spans="1:25" x14ac:dyDescent="0.15">
      <c r="A128" s="142"/>
      <c r="B128" s="229" t="s">
        <v>33</v>
      </c>
      <c r="C128" s="229"/>
      <c r="D128" s="205"/>
      <c r="E128" s="205"/>
      <c r="F128" s="637" t="s">
        <v>55</v>
      </c>
      <c r="G128" s="637"/>
      <c r="H128" s="637"/>
      <c r="I128" s="637"/>
      <c r="J128" s="636" t="s">
        <v>314</v>
      </c>
      <c r="K128" s="637"/>
      <c r="L128" s="637"/>
      <c r="M128" s="638"/>
      <c r="N128" s="636" t="s">
        <v>315</v>
      </c>
      <c r="O128" s="637"/>
      <c r="P128" s="637"/>
      <c r="Q128" s="638"/>
      <c r="R128" s="636" t="s">
        <v>316</v>
      </c>
      <c r="S128" s="637"/>
      <c r="T128" s="637"/>
      <c r="U128" s="638"/>
      <c r="V128" s="636" t="s">
        <v>317</v>
      </c>
      <c r="W128" s="637"/>
      <c r="X128" s="637"/>
      <c r="Y128" s="638"/>
    </row>
    <row r="129" spans="1:25" x14ac:dyDescent="0.15">
      <c r="A129" s="142"/>
      <c r="B129" s="238" t="s">
        <v>312</v>
      </c>
      <c r="C129" s="230" t="s">
        <v>313</v>
      </c>
      <c r="D129" s="250" t="s">
        <v>265</v>
      </c>
      <c r="E129" s="195"/>
      <c r="F129" s="75" t="s">
        <v>31</v>
      </c>
      <c r="G129" s="75"/>
      <c r="H129" s="114"/>
      <c r="I129" s="215" t="s">
        <v>29</v>
      </c>
      <c r="J129" s="75" t="s">
        <v>31</v>
      </c>
      <c r="K129" s="75"/>
      <c r="L129" s="114"/>
      <c r="M129" s="215" t="s">
        <v>29</v>
      </c>
      <c r="N129" s="75" t="s">
        <v>31</v>
      </c>
      <c r="O129" s="75"/>
      <c r="P129" s="114"/>
      <c r="Q129" s="215" t="s">
        <v>29</v>
      </c>
      <c r="R129" s="75" t="s">
        <v>31</v>
      </c>
      <c r="S129" s="75"/>
      <c r="T129" s="114"/>
      <c r="U129" s="215" t="s">
        <v>29</v>
      </c>
      <c r="V129" s="75" t="s">
        <v>31</v>
      </c>
      <c r="W129" s="75"/>
      <c r="X129" s="114"/>
      <c r="Y129" s="215" t="s">
        <v>29</v>
      </c>
    </row>
    <row r="130" spans="1:25" x14ac:dyDescent="0.15">
      <c r="A130" s="142" t="str">
        <f>Interview!A190</f>
        <v>O-IM-A-1-1</v>
      </c>
      <c r="B130" s="639" t="str">
        <f>VLOOKUP(A130,'imp-questions'!A:H,4,FALSE)</f>
        <v>Incident Detection</v>
      </c>
      <c r="C130" s="231">
        <f>VLOOKUP(A130,'imp-questions'!A:H,5,FALSE)</f>
        <v>1</v>
      </c>
      <c r="D130" s="176" t="str">
        <f>VLOOKUP(A130,'imp-questions'!A:H,6,FALSE)</f>
        <v>Do you analyze log data for security incidents periodically?</v>
      </c>
      <c r="E130" s="144" t="str">
        <f>CHAR(65+VLOOKUP(A130,'imp-questions'!A:H,8,FALSE))</f>
        <v>F</v>
      </c>
      <c r="F130" s="169" t="str">
        <f>Interview!F190</f>
        <v>Yes, for some applications</v>
      </c>
      <c r="G130" s="152">
        <f>IFERROR(VLOOKUP(F130,AnsFTBL,2,FALSE),0)</f>
        <v>0.25</v>
      </c>
      <c r="H130" s="257">
        <f>IFERROR(AVERAGE(G130,G134),0)</f>
        <v>0.625</v>
      </c>
      <c r="I130" s="651">
        <f>SUM(H130:H132)</f>
        <v>0.75</v>
      </c>
      <c r="J130" s="262" t="str">
        <f>F130</f>
        <v>Yes, for some applications</v>
      </c>
      <c r="K130" s="152">
        <f>IFERROR(VLOOKUP(J130,AnsFTBL,2,FALSE),0)</f>
        <v>0.25</v>
      </c>
      <c r="L130" s="257">
        <f>IFERROR(AVERAGE(K130,K134),0)</f>
        <v>0.625</v>
      </c>
      <c r="M130" s="651">
        <f>SUM(L130:L132)</f>
        <v>0.75</v>
      </c>
      <c r="N130" s="262" t="str">
        <f>J130</f>
        <v>Yes, for some applications</v>
      </c>
      <c r="O130" s="152">
        <f>IFERROR(VLOOKUP(N130,AnsFTBL,2,FALSE),0)</f>
        <v>0.25</v>
      </c>
      <c r="P130" s="257">
        <f>IFERROR(AVERAGE(O130,O134),0)</f>
        <v>0.625</v>
      </c>
      <c r="Q130" s="651">
        <f>SUM(P130:P132)</f>
        <v>0.75</v>
      </c>
      <c r="R130" s="262" t="str">
        <f>N130</f>
        <v>Yes, for some applications</v>
      </c>
      <c r="S130" s="152">
        <f>IFERROR(VLOOKUP(R130,AnsFTBL,2,FALSE),0)</f>
        <v>0.25</v>
      </c>
      <c r="T130" s="257">
        <f>IFERROR(AVERAGE(S130,S134),0)</f>
        <v>0.625</v>
      </c>
      <c r="U130" s="651">
        <f>SUM(T130:T132)</f>
        <v>0.75</v>
      </c>
      <c r="V130" s="262" t="str">
        <f>R130</f>
        <v>Yes, for some applications</v>
      </c>
      <c r="W130" s="152">
        <f>IFERROR(VLOOKUP(V130,AnsFTBL,2,FALSE),0)</f>
        <v>0.25</v>
      </c>
      <c r="X130" s="257">
        <f>IFERROR(AVERAGE(W130,W134),0)</f>
        <v>0.625</v>
      </c>
      <c r="Y130" s="651">
        <f>SUM(X130:X132)</f>
        <v>0.75</v>
      </c>
    </row>
    <row r="131" spans="1:25" x14ac:dyDescent="0.15">
      <c r="A131" s="142" t="str">
        <f>Interview!A192</f>
        <v>O-IM-A-2-1</v>
      </c>
      <c r="B131" s="640"/>
      <c r="C131" s="231">
        <f>VLOOKUP(A131,'imp-questions'!A:H,5,FALSE)</f>
        <v>2</v>
      </c>
      <c r="D131" s="176" t="str">
        <f>VLOOKUP(A131,'imp-questions'!A:H,6,FALSE)</f>
        <v>Do you follow a documented process for incident detection?</v>
      </c>
      <c r="E131" s="144" t="str">
        <f>CHAR(65+VLOOKUP(A131,'imp-questions'!A:H,8,FALSE))</f>
        <v>F</v>
      </c>
      <c r="F131" s="169" t="str">
        <f>Interview!F192</f>
        <v>No</v>
      </c>
      <c r="G131" s="152">
        <f>IFERROR(VLOOKUP(F131,AnsFTBL,2,FALSE),0)</f>
        <v>0</v>
      </c>
      <c r="H131" s="257">
        <f>IFERROR(AVERAGE(G131,G135),0)</f>
        <v>0.125</v>
      </c>
      <c r="I131" s="652"/>
      <c r="J131" s="262" t="str">
        <f>F131</f>
        <v>No</v>
      </c>
      <c r="K131" s="152">
        <f>IFERROR(VLOOKUP(J131,AnsFTBL,2,FALSE),0)</f>
        <v>0</v>
      </c>
      <c r="L131" s="257">
        <f>IFERROR(AVERAGE(K131,K135),0)</f>
        <v>0.125</v>
      </c>
      <c r="M131" s="652"/>
      <c r="N131" s="262" t="str">
        <f>J131</f>
        <v>No</v>
      </c>
      <c r="O131" s="152">
        <f>IFERROR(VLOOKUP(N131,AnsFTBL,2,FALSE),0)</f>
        <v>0</v>
      </c>
      <c r="P131" s="257">
        <f>IFERROR(AVERAGE(O131,O135),0)</f>
        <v>0.125</v>
      </c>
      <c r="Q131" s="652"/>
      <c r="R131" s="262" t="str">
        <f>N131</f>
        <v>No</v>
      </c>
      <c r="S131" s="152">
        <f>IFERROR(VLOOKUP(R131,AnsFTBL,2,FALSE),0)</f>
        <v>0</v>
      </c>
      <c r="T131" s="257">
        <f>IFERROR(AVERAGE(S131,S135),0)</f>
        <v>0.125</v>
      </c>
      <c r="U131" s="652"/>
      <c r="V131" s="262" t="str">
        <f>R131</f>
        <v>No</v>
      </c>
      <c r="W131" s="152">
        <f>IFERROR(VLOOKUP(V131,AnsFTBL,2,FALSE),0)</f>
        <v>0</v>
      </c>
      <c r="X131" s="257">
        <f>IFERROR(AVERAGE(W131,W135),0)</f>
        <v>0.125</v>
      </c>
      <c r="Y131" s="652"/>
    </row>
    <row r="132" spans="1:25" x14ac:dyDescent="0.15">
      <c r="A132" s="142" t="str">
        <f>Interview!A194</f>
        <v>O-IM-A-3-1</v>
      </c>
      <c r="B132" s="641"/>
      <c r="C132" s="231">
        <f>VLOOKUP(A132,'imp-questions'!A:H,5,FALSE)</f>
        <v>3</v>
      </c>
      <c r="D132" s="252" t="str">
        <f>VLOOKUP(A132,'imp-questions'!A:H,6,FALSE)</f>
        <v>Do you review and update the incident detection process regularly?</v>
      </c>
      <c r="E132" s="144" t="str">
        <f>CHAR(65+VLOOKUP(A132,'imp-questions'!A:H,8,FALSE))</f>
        <v>F</v>
      </c>
      <c r="F132" s="169" t="str">
        <f>Interview!F194</f>
        <v>No</v>
      </c>
      <c r="G132" s="152">
        <f>IFERROR(VLOOKUP(F132,AnsFTBL,2,FALSE),0)</f>
        <v>0</v>
      </c>
      <c r="H132" s="257">
        <f>IFERROR(AVERAGE(G132,G136),0)</f>
        <v>0</v>
      </c>
      <c r="I132" s="652"/>
      <c r="J132" s="262" t="str">
        <f>F132</f>
        <v>No</v>
      </c>
      <c r="K132" s="152">
        <f>IFERROR(VLOOKUP(J132,AnsFTBL,2,FALSE),0)</f>
        <v>0</v>
      </c>
      <c r="L132" s="257">
        <f>IFERROR(AVERAGE(K132,K136),0)</f>
        <v>0</v>
      </c>
      <c r="M132" s="652"/>
      <c r="N132" s="262" t="str">
        <f>J132</f>
        <v>No</v>
      </c>
      <c r="O132" s="152">
        <f>IFERROR(VLOOKUP(N132,AnsFTBL,2,FALSE),0)</f>
        <v>0</v>
      </c>
      <c r="P132" s="257">
        <f>IFERROR(AVERAGE(O132,O136),0)</f>
        <v>0</v>
      </c>
      <c r="Q132" s="652"/>
      <c r="R132" s="262" t="str">
        <f>N132</f>
        <v>No</v>
      </c>
      <c r="S132" s="152">
        <f>IFERROR(VLOOKUP(R132,AnsFTBL,2,FALSE),0)</f>
        <v>0</v>
      </c>
      <c r="T132" s="257">
        <f>IFERROR(AVERAGE(S132,S136),0)</f>
        <v>0</v>
      </c>
      <c r="U132" s="652"/>
      <c r="V132" s="262" t="str">
        <f>R132</f>
        <v>No</v>
      </c>
      <c r="W132" s="152">
        <f>IFERROR(VLOOKUP(V132,AnsFTBL,2,FALSE),0)</f>
        <v>0</v>
      </c>
      <c r="X132" s="257">
        <f>IFERROR(AVERAGE(W132,W136),0)</f>
        <v>0</v>
      </c>
      <c r="Y132" s="652"/>
    </row>
    <row r="133" spans="1:25" ht="13" x14ac:dyDescent="0.15">
      <c r="A133" s="142"/>
      <c r="B133" s="236"/>
      <c r="C133" s="222"/>
      <c r="D133" s="204"/>
      <c r="E133" s="204"/>
      <c r="F133" s="204"/>
      <c r="G133" s="204"/>
      <c r="H133" s="204"/>
      <c r="I133" s="652"/>
      <c r="J133" s="204"/>
      <c r="K133" s="204"/>
      <c r="L133" s="204"/>
      <c r="M133" s="652"/>
      <c r="N133" s="204"/>
      <c r="O133" s="204"/>
      <c r="P133" s="204"/>
      <c r="Q133" s="652"/>
      <c r="R133" s="204"/>
      <c r="S133" s="204"/>
      <c r="T133" s="204"/>
      <c r="U133" s="652"/>
      <c r="V133" s="204"/>
      <c r="W133" s="204"/>
      <c r="X133" s="204"/>
      <c r="Y133" s="652"/>
    </row>
    <row r="134" spans="1:25" x14ac:dyDescent="0.15">
      <c r="A134" s="142" t="str">
        <f>Interview!A197</f>
        <v>O-IM-B-1-1</v>
      </c>
      <c r="B134" s="639" t="str">
        <f>VLOOKUP(A134,'imp-questions'!A:H,4,FALSE)</f>
        <v>Incident Response</v>
      </c>
      <c r="C134" s="231">
        <f>VLOOKUP(A134,'imp-questions'!A:H,5,FALSE)</f>
        <v>1</v>
      </c>
      <c r="D134" s="176" t="str">
        <f>VLOOKUP(A134,'imp-questions'!A:H,6,FALSE)</f>
        <v>Do you respond to detected incidents?</v>
      </c>
      <c r="E134" s="144" t="str">
        <f>CHAR(65+VLOOKUP(A134,'imp-questions'!A:H,8,FALSE))</f>
        <v>R</v>
      </c>
      <c r="F134" s="254" t="str">
        <f>Interview!F197</f>
        <v>Yes, for most or all of the incidents</v>
      </c>
      <c r="G134" s="152">
        <f>IFERROR(VLOOKUP(F134,AnsRTBL,2,FALSE),0)</f>
        <v>1</v>
      </c>
      <c r="H134" s="122"/>
      <c r="I134" s="652"/>
      <c r="J134" s="262" t="str">
        <f>F134</f>
        <v>Yes, for most or all of the incidents</v>
      </c>
      <c r="K134" s="152">
        <f>IFERROR(VLOOKUP(J134,AnsRTBL,2,FALSE),0)</f>
        <v>1</v>
      </c>
      <c r="L134" s="122"/>
      <c r="M134" s="652"/>
      <c r="N134" s="262" t="str">
        <f>J134</f>
        <v>Yes, for most or all of the incidents</v>
      </c>
      <c r="O134" s="152">
        <f>IFERROR(VLOOKUP(N134,AnsRTBL,2,FALSE),0)</f>
        <v>1</v>
      </c>
      <c r="P134" s="122"/>
      <c r="Q134" s="652"/>
      <c r="R134" s="262" t="str">
        <f>N134</f>
        <v>Yes, for most or all of the incidents</v>
      </c>
      <c r="S134" s="152">
        <f>IFERROR(VLOOKUP(R134,AnsRTBL,2,FALSE),0)</f>
        <v>1</v>
      </c>
      <c r="T134" s="122"/>
      <c r="U134" s="652"/>
      <c r="V134" s="262" t="str">
        <f>R134</f>
        <v>Yes, for most or all of the incidents</v>
      </c>
      <c r="W134" s="152">
        <f>IFERROR(VLOOKUP(V134,AnsRTBL,2,FALSE),0)</f>
        <v>1</v>
      </c>
      <c r="X134" s="122"/>
      <c r="Y134" s="652"/>
    </row>
    <row r="135" spans="1:25" x14ac:dyDescent="0.15">
      <c r="A135" s="142" t="str">
        <f>Interview!A199</f>
        <v>O-IM-B-2-1</v>
      </c>
      <c r="B135" s="640"/>
      <c r="C135" s="231">
        <f>VLOOKUP(A135,'imp-questions'!A:H,5,FALSE)</f>
        <v>2</v>
      </c>
      <c r="D135" s="176" t="str">
        <f>VLOOKUP(A135,'imp-questions'!A:H,6,FALSE)</f>
        <v>Do you use a repeatable process for incident handling?</v>
      </c>
      <c r="E135" s="144" t="str">
        <f>CHAR(65+VLOOKUP(A135,'imp-questions'!A:H,8,FALSE))</f>
        <v>Q</v>
      </c>
      <c r="F135" s="173" t="str">
        <f>Interview!F199</f>
        <v>Yes, for some incident types</v>
      </c>
      <c r="G135" s="152">
        <f>IFERROR(VLOOKUP(F135,AnsQTBL,2,FALSE),0)</f>
        <v>0.25</v>
      </c>
      <c r="H135" s="122"/>
      <c r="I135" s="652"/>
      <c r="J135" s="262" t="str">
        <f>F135</f>
        <v>Yes, for some incident types</v>
      </c>
      <c r="K135" s="152">
        <f>IFERROR(VLOOKUP(J135,AnsQTBL,2,FALSE),0)</f>
        <v>0.25</v>
      </c>
      <c r="L135" s="122"/>
      <c r="M135" s="652"/>
      <c r="N135" s="262" t="str">
        <f>J135</f>
        <v>Yes, for some incident types</v>
      </c>
      <c r="O135" s="152">
        <f>IFERROR(VLOOKUP(N135,AnsQTBL,2,FALSE),0)</f>
        <v>0.25</v>
      </c>
      <c r="P135" s="122"/>
      <c r="Q135" s="652"/>
      <c r="R135" s="262" t="str">
        <f>N135</f>
        <v>Yes, for some incident types</v>
      </c>
      <c r="S135" s="152">
        <f>IFERROR(VLOOKUP(R135,AnsQTBL,2,FALSE),0)</f>
        <v>0.25</v>
      </c>
      <c r="T135" s="122"/>
      <c r="U135" s="652"/>
      <c r="V135" s="262" t="str">
        <f>R135</f>
        <v>Yes, for some incident types</v>
      </c>
      <c r="W135" s="152">
        <f>IFERROR(VLOOKUP(V135,AnsQTBL,2,FALSE),0)</f>
        <v>0.25</v>
      </c>
      <c r="X135" s="122"/>
      <c r="Y135" s="652"/>
    </row>
    <row r="136" spans="1:25" x14ac:dyDescent="0.15">
      <c r="A136" s="142" t="str">
        <f>Interview!A201</f>
        <v>O-IM-B-3-1</v>
      </c>
      <c r="B136" s="640"/>
      <c r="C136" s="231">
        <f>VLOOKUP(A136,'imp-questions'!A:H,5,FALSE)</f>
        <v>3</v>
      </c>
      <c r="D136" s="252" t="str">
        <f>VLOOKUP(A136,'imp-questions'!A:H,6,FALSE)</f>
        <v>Do you have a dedicated incident response team available?</v>
      </c>
      <c r="E136" s="144" t="str">
        <f>CHAR(65+VLOOKUP(A136,'imp-questions'!A:H,8,FALSE))</f>
        <v>H</v>
      </c>
      <c r="F136" s="173" t="str">
        <f>Interview!F201</f>
        <v>No</v>
      </c>
      <c r="G136" s="152">
        <f>IFERROR(VLOOKUP(F136,AnsHTBL,2,FALSE),0)</f>
        <v>0</v>
      </c>
      <c r="H136" s="122"/>
      <c r="I136" s="653"/>
      <c r="J136" s="262" t="str">
        <f>F136</f>
        <v>No</v>
      </c>
      <c r="K136" s="152">
        <f>IFERROR(VLOOKUP(J136,AnsHTBL,2,FALSE),0)</f>
        <v>0</v>
      </c>
      <c r="L136" s="122"/>
      <c r="M136" s="653"/>
      <c r="N136" s="262" t="str">
        <f>J136</f>
        <v>No</v>
      </c>
      <c r="O136" s="152">
        <f>IFERROR(VLOOKUP(N136,AnsHTBL,2,FALSE),0)</f>
        <v>0</v>
      </c>
      <c r="P136" s="122"/>
      <c r="Q136" s="653"/>
      <c r="R136" s="262" t="str">
        <f>N136</f>
        <v>No</v>
      </c>
      <c r="S136" s="152">
        <f>IFERROR(VLOOKUP(R136,AnsHTBL,2,FALSE),0)</f>
        <v>0</v>
      </c>
      <c r="T136" s="122"/>
      <c r="U136" s="653"/>
      <c r="V136" s="262" t="str">
        <f>R136</f>
        <v>No</v>
      </c>
      <c r="W136" s="152">
        <f>IFERROR(VLOOKUP(V136,AnsHTBL,2,FALSE),0)</f>
        <v>0</v>
      </c>
      <c r="X136" s="122"/>
      <c r="Y136" s="653"/>
    </row>
    <row r="137" spans="1:25" ht="13" x14ac:dyDescent="0.15">
      <c r="A137" s="142"/>
      <c r="B137" s="236"/>
      <c r="C137" s="222"/>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row>
    <row r="138" spans="1:25" x14ac:dyDescent="0.15">
      <c r="A138" s="142"/>
      <c r="B138" s="238" t="s">
        <v>312</v>
      </c>
      <c r="C138" s="230" t="s">
        <v>313</v>
      </c>
      <c r="D138" s="251" t="s">
        <v>275</v>
      </c>
      <c r="E138" s="137"/>
      <c r="F138" s="76" t="s">
        <v>31</v>
      </c>
      <c r="G138" s="76"/>
      <c r="H138" s="115"/>
      <c r="I138" s="215" t="s">
        <v>29</v>
      </c>
      <c r="J138" s="76" t="s">
        <v>31</v>
      </c>
      <c r="K138" s="76"/>
      <c r="L138" s="115"/>
      <c r="M138" s="215" t="s">
        <v>29</v>
      </c>
      <c r="N138" s="76" t="s">
        <v>31</v>
      </c>
      <c r="O138" s="76"/>
      <c r="P138" s="115"/>
      <c r="Q138" s="215" t="s">
        <v>29</v>
      </c>
      <c r="R138" s="76" t="s">
        <v>31</v>
      </c>
      <c r="S138" s="76"/>
      <c r="T138" s="115"/>
      <c r="U138" s="215" t="s">
        <v>29</v>
      </c>
      <c r="V138" s="76" t="s">
        <v>31</v>
      </c>
      <c r="W138" s="76"/>
      <c r="X138" s="115"/>
      <c r="Y138" s="215" t="s">
        <v>29</v>
      </c>
    </row>
    <row r="139" spans="1:25" x14ac:dyDescent="0.15">
      <c r="A139" s="142" t="str">
        <f>Interview!A204</f>
        <v>O-EM-A-1-1</v>
      </c>
      <c r="B139" s="639" t="str">
        <f>VLOOKUP(A139,'imp-questions'!A:H,4,FALSE)</f>
        <v>Configuration Hardening</v>
      </c>
      <c r="C139" s="231">
        <f>VLOOKUP(A139,'imp-questions'!A:H,5,FALSE)</f>
        <v>1</v>
      </c>
      <c r="D139" s="176" t="str">
        <f>VLOOKUP(A139,'imp-questions'!A:H,6,FALSE)</f>
        <v>Do you harden configurations for key components of your technology stacks?</v>
      </c>
      <c r="E139" s="144" t="str">
        <f>CHAR(65+VLOOKUP(A139,'imp-questions'!A:H,8,FALSE))</f>
        <v>M</v>
      </c>
      <c r="F139" s="169" t="str">
        <f>Interview!F204</f>
        <v>Yes, for some components</v>
      </c>
      <c r="G139" s="152">
        <f>IFERROR(VLOOKUP(F139,AnsMTBL,2,FALSE),0)</f>
        <v>0.25</v>
      </c>
      <c r="H139" s="257">
        <f>IFERROR(AVERAGE(G139,G143),0)</f>
        <v>0.625</v>
      </c>
      <c r="I139" s="651">
        <f>SUM(H139:H141)</f>
        <v>1.875</v>
      </c>
      <c r="J139" s="262" t="str">
        <f>F139</f>
        <v>Yes, for some components</v>
      </c>
      <c r="K139" s="152">
        <f>IFERROR(VLOOKUP(J139,AnsMTBL,2,FALSE),0)</f>
        <v>0.25</v>
      </c>
      <c r="L139" s="257">
        <f>IFERROR(AVERAGE(K139,K143),0)</f>
        <v>0.625</v>
      </c>
      <c r="M139" s="651">
        <f>SUM(L139:L141)</f>
        <v>1.875</v>
      </c>
      <c r="N139" s="262" t="str">
        <f>J139</f>
        <v>Yes, for some components</v>
      </c>
      <c r="O139" s="152">
        <f>IFERROR(VLOOKUP(N139,AnsMTBL,2,FALSE),0)</f>
        <v>0.25</v>
      </c>
      <c r="P139" s="257">
        <f>IFERROR(AVERAGE(O139,O143),0)</f>
        <v>0.625</v>
      </c>
      <c r="Q139" s="651">
        <f>SUM(P139:P141)</f>
        <v>1.875</v>
      </c>
      <c r="R139" s="262" t="str">
        <f>N139</f>
        <v>Yes, for some components</v>
      </c>
      <c r="S139" s="152">
        <f>IFERROR(VLOOKUP(R139,AnsMTBL,2,FALSE),0)</f>
        <v>0.25</v>
      </c>
      <c r="T139" s="257">
        <f>IFERROR(AVERAGE(S139,S143),0)</f>
        <v>0.625</v>
      </c>
      <c r="U139" s="651">
        <f>SUM(T139:T141)</f>
        <v>1.875</v>
      </c>
      <c r="V139" s="262" t="str">
        <f>R139</f>
        <v>Yes, for some components</v>
      </c>
      <c r="W139" s="152">
        <f>IFERROR(VLOOKUP(V139,AnsMTBL,2,FALSE),0)</f>
        <v>0.25</v>
      </c>
      <c r="X139" s="257">
        <f>IFERROR(AVERAGE(W139,W143),0)</f>
        <v>0.625</v>
      </c>
      <c r="Y139" s="651">
        <f>SUM(X139:X141)</f>
        <v>1.875</v>
      </c>
    </row>
    <row r="140" spans="1:25" x14ac:dyDescent="0.15">
      <c r="A140" s="142" t="str">
        <f>Interview!A206</f>
        <v>O-EM-A-2-1</v>
      </c>
      <c r="B140" s="640"/>
      <c r="C140" s="231">
        <f>VLOOKUP(A140,'imp-questions'!A:H,5,FALSE)</f>
        <v>2</v>
      </c>
      <c r="D140" s="176" t="str">
        <f>VLOOKUP(A140,'imp-questions'!A:H,6,FALSE)</f>
        <v>Do you have hardening baselines for your components?</v>
      </c>
      <c r="E140" s="144" t="str">
        <f>CHAR(65+VLOOKUP(A140,'imp-questions'!A:H,8,FALSE))</f>
        <v>M</v>
      </c>
      <c r="F140" s="18" t="str">
        <f>Interview!F206</f>
        <v>Yes, for some components</v>
      </c>
      <c r="G140" s="152">
        <f>IFERROR(VLOOKUP(F140,AnsMTBL,2,FALSE),0)</f>
        <v>0.25</v>
      </c>
      <c r="H140" s="257">
        <f>IFERROR(AVERAGE(G140,G144),0)</f>
        <v>0.625</v>
      </c>
      <c r="I140" s="652"/>
      <c r="J140" s="262" t="str">
        <f>F140</f>
        <v>Yes, for some components</v>
      </c>
      <c r="K140" s="152">
        <f>IFERROR(VLOOKUP(J140,AnsMTBL,2,FALSE),0)</f>
        <v>0.25</v>
      </c>
      <c r="L140" s="257">
        <f>IFERROR(AVERAGE(K140,K144),0)</f>
        <v>0.625</v>
      </c>
      <c r="M140" s="652"/>
      <c r="N140" s="262" t="str">
        <f>J140</f>
        <v>Yes, for some components</v>
      </c>
      <c r="O140" s="152">
        <f>IFERROR(VLOOKUP(N140,AnsMTBL,2,FALSE),0)</f>
        <v>0.25</v>
      </c>
      <c r="P140" s="257">
        <f>IFERROR(AVERAGE(O140,O144),0)</f>
        <v>0.625</v>
      </c>
      <c r="Q140" s="652"/>
      <c r="R140" s="262" t="str">
        <f>N140</f>
        <v>Yes, for some components</v>
      </c>
      <c r="S140" s="152">
        <f>IFERROR(VLOOKUP(R140,AnsMTBL,2,FALSE),0)</f>
        <v>0.25</v>
      </c>
      <c r="T140" s="257">
        <f>IFERROR(AVERAGE(S140,S144),0)</f>
        <v>0.625</v>
      </c>
      <c r="U140" s="652"/>
      <c r="V140" s="262" t="str">
        <f>R140</f>
        <v>Yes, for some components</v>
      </c>
      <c r="W140" s="152">
        <f>IFERROR(VLOOKUP(V140,AnsMTBL,2,FALSE),0)</f>
        <v>0.25</v>
      </c>
      <c r="X140" s="257">
        <f>IFERROR(AVERAGE(W140,W144),0)</f>
        <v>0.625</v>
      </c>
      <c r="Y140" s="652"/>
    </row>
    <row r="141" spans="1:25" x14ac:dyDescent="0.15">
      <c r="A141" s="142" t="str">
        <f>Interview!A208</f>
        <v>O-EM-A-3-1</v>
      </c>
      <c r="B141" s="641"/>
      <c r="C141" s="231">
        <f>VLOOKUP(A141,'imp-questions'!A:H,5,FALSE)</f>
        <v>3</v>
      </c>
      <c r="D141" s="252" t="str">
        <f>VLOOKUP(A141,'imp-questions'!A:H,6,FALSE)</f>
        <v>Do you monitor and enforce conformity with hardening baselines?</v>
      </c>
      <c r="E141" s="144" t="str">
        <f>CHAR(65+VLOOKUP(A141,'imp-questions'!A:H,8,FALSE))</f>
        <v>M</v>
      </c>
      <c r="F141" s="169" t="str">
        <f>Interview!F208</f>
        <v>Yes, for some components</v>
      </c>
      <c r="G141" s="152">
        <f>IFERROR(VLOOKUP(F141,AnsMTBL,2,FALSE),0)</f>
        <v>0.25</v>
      </c>
      <c r="H141" s="257">
        <f>IFERROR(AVERAGE(G141,G145),0)</f>
        <v>0.625</v>
      </c>
      <c r="I141" s="652"/>
      <c r="J141" s="262" t="str">
        <f>F141</f>
        <v>Yes, for some components</v>
      </c>
      <c r="K141" s="152">
        <f>IFERROR(VLOOKUP(J141,AnsMTBL,2,FALSE),0)</f>
        <v>0.25</v>
      </c>
      <c r="L141" s="257">
        <f>IFERROR(AVERAGE(K141,K145),0)</f>
        <v>0.625</v>
      </c>
      <c r="M141" s="652"/>
      <c r="N141" s="262" t="str">
        <f>J141</f>
        <v>Yes, for some components</v>
      </c>
      <c r="O141" s="152">
        <f>IFERROR(VLOOKUP(N141,AnsMTBL,2,FALSE),0)</f>
        <v>0.25</v>
      </c>
      <c r="P141" s="257">
        <f>IFERROR(AVERAGE(O141,O145),0)</f>
        <v>0.625</v>
      </c>
      <c r="Q141" s="652"/>
      <c r="R141" s="262" t="str">
        <f>N141</f>
        <v>Yes, for some components</v>
      </c>
      <c r="S141" s="152">
        <f>IFERROR(VLOOKUP(R141,AnsMTBL,2,FALSE),0)</f>
        <v>0.25</v>
      </c>
      <c r="T141" s="257">
        <f>IFERROR(AVERAGE(S141,S145),0)</f>
        <v>0.625</v>
      </c>
      <c r="U141" s="652"/>
      <c r="V141" s="262" t="str">
        <f>R141</f>
        <v>Yes, for some components</v>
      </c>
      <c r="W141" s="152">
        <f>IFERROR(VLOOKUP(V141,AnsMTBL,2,FALSE),0)</f>
        <v>0.25</v>
      </c>
      <c r="X141" s="257">
        <f>IFERROR(AVERAGE(W141,W145),0)</f>
        <v>0.625</v>
      </c>
      <c r="Y141" s="652"/>
    </row>
    <row r="142" spans="1:25" ht="13" x14ac:dyDescent="0.15">
      <c r="A142" s="142"/>
      <c r="B142" s="236"/>
      <c r="C142" s="222"/>
      <c r="D142" s="204"/>
      <c r="E142" s="204"/>
      <c r="F142" s="204"/>
      <c r="G142" s="204"/>
      <c r="H142" s="204"/>
      <c r="I142" s="652"/>
      <c r="J142" s="204"/>
      <c r="K142" s="204"/>
      <c r="L142" s="204"/>
      <c r="M142" s="652"/>
      <c r="N142" s="204"/>
      <c r="O142" s="204"/>
      <c r="P142" s="204"/>
      <c r="Q142" s="652"/>
      <c r="R142" s="204"/>
      <c r="S142" s="204"/>
      <c r="T142" s="204"/>
      <c r="U142" s="652"/>
      <c r="V142" s="204"/>
      <c r="W142" s="204"/>
      <c r="X142" s="204"/>
      <c r="Y142" s="652"/>
    </row>
    <row r="143" spans="1:25" x14ac:dyDescent="0.15">
      <c r="A143" s="142" t="str">
        <f>Interview!A211</f>
        <v>O-EM-B-1-1</v>
      </c>
      <c r="B143" s="639" t="str">
        <f>VLOOKUP(A143,'imp-questions'!A:H,4,FALSE)</f>
        <v>Patching and Updating</v>
      </c>
      <c r="C143" s="231">
        <f>VLOOKUP(A143,'imp-questions'!A:H,5,FALSE)</f>
        <v>1</v>
      </c>
      <c r="D143" s="176" t="str">
        <f>VLOOKUP(A143,'imp-questions'!A:H,6,FALSE)</f>
        <v>Do you identify and patch vulnerable components?</v>
      </c>
      <c r="E143" s="144" t="str">
        <f>CHAR(65+VLOOKUP(A143,'imp-questions'!A:H,8,FALSE))</f>
        <v>M</v>
      </c>
      <c r="F143" s="254" t="str">
        <f>Interview!F211</f>
        <v>Yes, for most or all of the components</v>
      </c>
      <c r="G143" s="152">
        <f>IFERROR(VLOOKUP(F143,AnsMTBL,2,FALSE),0)</f>
        <v>1</v>
      </c>
      <c r="H143" s="122"/>
      <c r="I143" s="652"/>
      <c r="J143" s="262" t="str">
        <f>F143</f>
        <v>Yes, for most or all of the components</v>
      </c>
      <c r="K143" s="152">
        <f>IFERROR(VLOOKUP(J143,AnsMTBL,2,FALSE),0)</f>
        <v>1</v>
      </c>
      <c r="L143" s="122"/>
      <c r="M143" s="652"/>
      <c r="N143" s="262" t="str">
        <f>J143</f>
        <v>Yes, for most or all of the components</v>
      </c>
      <c r="O143" s="152">
        <f>IFERROR(VLOOKUP(N143,AnsMTBL,2,FALSE),0)</f>
        <v>1</v>
      </c>
      <c r="P143" s="122"/>
      <c r="Q143" s="652"/>
      <c r="R143" s="262" t="str">
        <f>N143</f>
        <v>Yes, for most or all of the components</v>
      </c>
      <c r="S143" s="152">
        <f>IFERROR(VLOOKUP(R143,AnsMTBL,2,FALSE),0)</f>
        <v>1</v>
      </c>
      <c r="T143" s="122"/>
      <c r="U143" s="652"/>
      <c r="V143" s="262" t="str">
        <f>R143</f>
        <v>Yes, for most or all of the components</v>
      </c>
      <c r="W143" s="152">
        <f>IFERROR(VLOOKUP(V143,AnsMTBL,2,FALSE),0)</f>
        <v>1</v>
      </c>
      <c r="X143" s="122"/>
      <c r="Y143" s="652"/>
    </row>
    <row r="144" spans="1:25" ht="28" x14ac:dyDescent="0.15">
      <c r="A144" s="142" t="str">
        <f>Interview!A213</f>
        <v>O-EM-B-2-1</v>
      </c>
      <c r="B144" s="640"/>
      <c r="C144" s="231">
        <f>VLOOKUP(A144,'imp-questions'!A:H,5,FALSE)</f>
        <v>2</v>
      </c>
      <c r="D144" s="176" t="str">
        <f>VLOOKUP(A144,'imp-questions'!A:H,6,FALSE)</f>
        <v>Do you follow an established process for updating components of your technology stacks?</v>
      </c>
      <c r="E144" s="144" t="str">
        <f>CHAR(65+VLOOKUP(A144,'imp-questions'!A:H,8,FALSE))</f>
        <v>M</v>
      </c>
      <c r="F144" s="173" t="str">
        <f>Interview!F213</f>
        <v>Yes, for most or all of the components</v>
      </c>
      <c r="G144" s="152">
        <f>IFERROR(VLOOKUP(F144,AnsMTBL,2,FALSE),0)</f>
        <v>1</v>
      </c>
      <c r="H144" s="122"/>
      <c r="I144" s="652"/>
      <c r="J144" s="262" t="str">
        <f>F144</f>
        <v>Yes, for most or all of the components</v>
      </c>
      <c r="K144" s="152">
        <f>IFERROR(VLOOKUP(J144,AnsMTBL,2,FALSE),0)</f>
        <v>1</v>
      </c>
      <c r="L144" s="122"/>
      <c r="M144" s="652"/>
      <c r="N144" s="262" t="str">
        <f>J144</f>
        <v>Yes, for most or all of the components</v>
      </c>
      <c r="O144" s="152">
        <f>IFERROR(VLOOKUP(N144,AnsMTBL,2,FALSE),0)</f>
        <v>1</v>
      </c>
      <c r="P144" s="122"/>
      <c r="Q144" s="652"/>
      <c r="R144" s="262" t="str">
        <f>N144</f>
        <v>Yes, for most or all of the components</v>
      </c>
      <c r="S144" s="152">
        <f>IFERROR(VLOOKUP(R144,AnsMTBL,2,FALSE),0)</f>
        <v>1</v>
      </c>
      <c r="T144" s="122"/>
      <c r="U144" s="652"/>
      <c r="V144" s="262" t="str">
        <f>R144</f>
        <v>Yes, for most or all of the components</v>
      </c>
      <c r="W144" s="152">
        <f>IFERROR(VLOOKUP(V144,AnsMTBL,2,FALSE),0)</f>
        <v>1</v>
      </c>
      <c r="X144" s="122"/>
      <c r="Y144" s="652"/>
    </row>
    <row r="145" spans="1:25" x14ac:dyDescent="0.15">
      <c r="A145" s="142" t="str">
        <f>Interview!A215</f>
        <v>O-EM-B-3-1</v>
      </c>
      <c r="B145" s="640"/>
      <c r="C145" s="231">
        <f>VLOOKUP(A145,'imp-questions'!A:H,5,FALSE)</f>
        <v>3</v>
      </c>
      <c r="D145" s="252" t="str">
        <f>VLOOKUP(A145,'imp-questions'!A:H,6,FALSE)</f>
        <v>Do you regularly evaluate components and review patch level status?</v>
      </c>
      <c r="E145" s="144" t="str">
        <f>CHAR(65+VLOOKUP(A145,'imp-questions'!A:H,8,FALSE))</f>
        <v>M</v>
      </c>
      <c r="F145" s="173" t="str">
        <f>Interview!F215</f>
        <v>Yes, for most or all of the components</v>
      </c>
      <c r="G145" s="152">
        <f>IFERROR(VLOOKUP(F145,AnsMTBL,2,FALSE),0)</f>
        <v>1</v>
      </c>
      <c r="H145" s="122"/>
      <c r="I145" s="653"/>
      <c r="J145" s="262" t="str">
        <f>F145</f>
        <v>Yes, for most or all of the components</v>
      </c>
      <c r="K145" s="152">
        <f>IFERROR(VLOOKUP(J145,AnsMTBL,2,FALSE),0)</f>
        <v>1</v>
      </c>
      <c r="L145" s="122"/>
      <c r="M145" s="653"/>
      <c r="N145" s="262" t="str">
        <f>J145</f>
        <v>Yes, for most or all of the components</v>
      </c>
      <c r="O145" s="152">
        <f>IFERROR(VLOOKUP(N145,AnsMTBL,2,FALSE),0)</f>
        <v>1</v>
      </c>
      <c r="P145" s="122"/>
      <c r="Q145" s="653"/>
      <c r="R145" s="262" t="str">
        <f>N145</f>
        <v>Yes, for most or all of the components</v>
      </c>
      <c r="S145" s="152">
        <f>IFERROR(VLOOKUP(R145,AnsMTBL,2,FALSE),0)</f>
        <v>1</v>
      </c>
      <c r="T145" s="122"/>
      <c r="U145" s="653"/>
      <c r="V145" s="262" t="str">
        <f>R145</f>
        <v>Yes, for most or all of the components</v>
      </c>
      <c r="W145" s="152">
        <f>IFERROR(VLOOKUP(V145,AnsMTBL,2,FALSE),0)</f>
        <v>1</v>
      </c>
      <c r="X145" s="122"/>
      <c r="Y145" s="653"/>
    </row>
    <row r="146" spans="1:25" ht="13" x14ac:dyDescent="0.15">
      <c r="A146" s="142"/>
      <c r="B146" s="236"/>
      <c r="C146" s="222"/>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row>
    <row r="147" spans="1:25" x14ac:dyDescent="0.15">
      <c r="A147" s="142"/>
      <c r="B147" s="238" t="s">
        <v>312</v>
      </c>
      <c r="C147" s="230" t="s">
        <v>313</v>
      </c>
      <c r="D147" s="251" t="s">
        <v>286</v>
      </c>
      <c r="E147" s="137"/>
      <c r="F147" s="76" t="s">
        <v>31</v>
      </c>
      <c r="G147" s="76"/>
      <c r="H147" s="115"/>
      <c r="I147" s="215" t="s">
        <v>29</v>
      </c>
      <c r="J147" s="76" t="s">
        <v>31</v>
      </c>
      <c r="K147" s="76"/>
      <c r="L147" s="115"/>
      <c r="M147" s="215" t="s">
        <v>29</v>
      </c>
      <c r="N147" s="76" t="s">
        <v>31</v>
      </c>
      <c r="O147" s="76"/>
      <c r="P147" s="115"/>
      <c r="Q147" s="215" t="s">
        <v>29</v>
      </c>
      <c r="R147" s="76" t="s">
        <v>31</v>
      </c>
      <c r="S147" s="76"/>
      <c r="T147" s="115"/>
      <c r="U147" s="215" t="s">
        <v>29</v>
      </c>
      <c r="V147" s="76" t="s">
        <v>31</v>
      </c>
      <c r="W147" s="76"/>
      <c r="X147" s="115"/>
      <c r="Y147" s="215" t="s">
        <v>29</v>
      </c>
    </row>
    <row r="148" spans="1:25" ht="28" x14ac:dyDescent="0.15">
      <c r="A148" s="142" t="str">
        <f>Interview!A218</f>
        <v>O-OM-A-1-1</v>
      </c>
      <c r="B148" s="639" t="str">
        <f>VLOOKUP(A148,'imp-questions'!A:H,4,FALSE)</f>
        <v>Data Protection</v>
      </c>
      <c r="C148" s="231">
        <f>VLOOKUP(A148,'imp-questions'!A:H,5,FALSE)</f>
        <v>1</v>
      </c>
      <c r="D148" s="176" t="str">
        <f>VLOOKUP(A148,'imp-questions'!A:H,6,FALSE)</f>
        <v>Do you protect and handle information according to protection requirements for data stored and processed on each application?</v>
      </c>
      <c r="E148" s="144" t="str">
        <f>CHAR(65+VLOOKUP(A148,'imp-questions'!A:H,8,FALSE))</f>
        <v>F</v>
      </c>
      <c r="F148" s="169" t="str">
        <f>Interview!F218</f>
        <v>Yes, for most or all of the applications</v>
      </c>
      <c r="G148" s="152">
        <f>IFERROR(VLOOKUP(F148,AnsFTBL,2,FALSE),0)</f>
        <v>1</v>
      </c>
      <c r="H148" s="257">
        <f>IFERROR(AVERAGE(G148,G152),0)</f>
        <v>1</v>
      </c>
      <c r="I148" s="651">
        <f>SUM(H148:H150)</f>
        <v>2.25</v>
      </c>
      <c r="J148" s="262" t="str">
        <f>F148</f>
        <v>Yes, for most or all of the applications</v>
      </c>
      <c r="K148" s="152">
        <f>IFERROR(VLOOKUP(J148,AnsFTBL,2,FALSE),0)</f>
        <v>1</v>
      </c>
      <c r="L148" s="257">
        <f>IFERROR(AVERAGE(K148,K152),0)</f>
        <v>1</v>
      </c>
      <c r="M148" s="651">
        <f>SUM(L148:L150)</f>
        <v>2.25</v>
      </c>
      <c r="N148" s="262" t="str">
        <f>J148</f>
        <v>Yes, for most or all of the applications</v>
      </c>
      <c r="O148" s="152">
        <f>IFERROR(VLOOKUP(N148,AnsFTBL,2,FALSE),0)</f>
        <v>1</v>
      </c>
      <c r="P148" s="257">
        <f>IFERROR(AVERAGE(O148,O152),0)</f>
        <v>1</v>
      </c>
      <c r="Q148" s="651">
        <f>SUM(P148:P150)</f>
        <v>2.25</v>
      </c>
      <c r="R148" s="262" t="str">
        <f>N148</f>
        <v>Yes, for most or all of the applications</v>
      </c>
      <c r="S148" s="152">
        <f>IFERROR(VLOOKUP(R148,AnsFTBL,2,FALSE),0)</f>
        <v>1</v>
      </c>
      <c r="T148" s="257">
        <f>IFERROR(AVERAGE(S148,S152),0)</f>
        <v>1</v>
      </c>
      <c r="U148" s="651">
        <f>SUM(T148:T150)</f>
        <v>2.25</v>
      </c>
      <c r="V148" s="262" t="str">
        <f>R148</f>
        <v>Yes, for most or all of the applications</v>
      </c>
      <c r="W148" s="152">
        <f>IFERROR(VLOOKUP(V148,AnsFTBL,2,FALSE),0)</f>
        <v>1</v>
      </c>
      <c r="X148" s="257">
        <f>IFERROR(AVERAGE(W148,W152),0)</f>
        <v>1</v>
      </c>
      <c r="Y148" s="651">
        <f>SUM(X148:X150)</f>
        <v>2.25</v>
      </c>
    </row>
    <row r="149" spans="1:25" ht="28" x14ac:dyDescent="0.15">
      <c r="A149" s="142" t="str">
        <f>Interview!A220</f>
        <v>O-OM-A-2-1</v>
      </c>
      <c r="B149" s="640"/>
      <c r="C149" s="231">
        <f>VLOOKUP(A149,'imp-questions'!A:H,5,FALSE)</f>
        <v>2</v>
      </c>
      <c r="D149" s="176" t="str">
        <f>VLOOKUP(A149,'imp-questions'!A:H,6,FALSE)</f>
        <v>Do you maintain a data catalog, including types, sensitivity levels, and processing and storage locations?</v>
      </c>
      <c r="E149" s="144" t="str">
        <f>CHAR(65+VLOOKUP(A149,'imp-questions'!A:H,8,FALSE))</f>
        <v>O</v>
      </c>
      <c r="F149" s="256" t="str">
        <f>Interview!F220</f>
        <v>Yes, for most or all of our data</v>
      </c>
      <c r="G149" s="152">
        <f>IFERROR(VLOOKUP(F149,AnsOTBL,2,FALSE),0)</f>
        <v>1</v>
      </c>
      <c r="H149" s="257">
        <f>IFERROR(AVERAGE(G149,G153),0)</f>
        <v>1</v>
      </c>
      <c r="I149" s="652"/>
      <c r="J149" s="262" t="str">
        <f>F149</f>
        <v>Yes, for most or all of our data</v>
      </c>
      <c r="K149" s="152">
        <f>IFERROR(VLOOKUP(J149,AnsOTBL,2,FALSE),0)</f>
        <v>1</v>
      </c>
      <c r="L149" s="257">
        <f>IFERROR(AVERAGE(K149,K153),0)</f>
        <v>1</v>
      </c>
      <c r="M149" s="652"/>
      <c r="N149" s="262" t="str">
        <f>J149</f>
        <v>Yes, for most or all of our data</v>
      </c>
      <c r="O149" s="152">
        <f>IFERROR(VLOOKUP(N149,AnsOTBL,2,FALSE),0)</f>
        <v>1</v>
      </c>
      <c r="P149" s="257">
        <f>IFERROR(AVERAGE(O149,O153),0)</f>
        <v>1</v>
      </c>
      <c r="Q149" s="652"/>
      <c r="R149" s="262" t="str">
        <f>N149</f>
        <v>Yes, for most or all of our data</v>
      </c>
      <c r="S149" s="152">
        <f>IFERROR(VLOOKUP(R149,AnsOTBL,2,FALSE),0)</f>
        <v>1</v>
      </c>
      <c r="T149" s="257">
        <f>IFERROR(AVERAGE(S149,S153),0)</f>
        <v>1</v>
      </c>
      <c r="U149" s="652"/>
      <c r="V149" s="262" t="str">
        <f>R149</f>
        <v>Yes, for most or all of our data</v>
      </c>
      <c r="W149" s="152">
        <f>IFERROR(VLOOKUP(V149,AnsOTBL,2,FALSE),0)</f>
        <v>1</v>
      </c>
      <c r="X149" s="257">
        <f>IFERROR(AVERAGE(W149,W153),0)</f>
        <v>1</v>
      </c>
      <c r="Y149" s="652"/>
    </row>
    <row r="150" spans="1:25" ht="28" x14ac:dyDescent="0.15">
      <c r="A150" s="142" t="str">
        <f>Interview!A222</f>
        <v>O-OM-A-3-1</v>
      </c>
      <c r="B150" s="641"/>
      <c r="C150" s="231">
        <f>VLOOKUP(A150,'imp-questions'!A:H,5,FALSE)</f>
        <v>3</v>
      </c>
      <c r="D150" s="252" t="str">
        <f>VLOOKUP(A150,'imp-questions'!A:H,6,FALSE)</f>
        <v>Do you regularly review and update the data catalog and your data protection policies and procedures?</v>
      </c>
      <c r="E150" s="144" t="str">
        <f>CHAR(65+VLOOKUP(A150,'imp-questions'!A:H,8,FALSE))</f>
        <v>P</v>
      </c>
      <c r="F150" s="173" t="str">
        <f>Interview!F222</f>
        <v>Yes, we do it when requested</v>
      </c>
      <c r="G150" s="152">
        <f>IFERROR(VLOOKUP(F150,AnsPTBL,2,FALSE),0)</f>
        <v>0.25</v>
      </c>
      <c r="H150" s="257">
        <f>IFERROR(AVERAGE(G150,G154),0)</f>
        <v>0.25</v>
      </c>
      <c r="I150" s="652"/>
      <c r="J150" s="262" t="str">
        <f>F150</f>
        <v>Yes, we do it when requested</v>
      </c>
      <c r="K150" s="152">
        <f>IFERROR(VLOOKUP(J150,AnsPTBL,2,FALSE),0)</f>
        <v>0.25</v>
      </c>
      <c r="L150" s="257">
        <f>IFERROR(AVERAGE(K150,K154),0)</f>
        <v>0.25</v>
      </c>
      <c r="M150" s="652"/>
      <c r="N150" s="262" t="str">
        <f>J150</f>
        <v>Yes, we do it when requested</v>
      </c>
      <c r="O150" s="152">
        <f>IFERROR(VLOOKUP(N150,AnsPTBL,2,FALSE),0)</f>
        <v>0.25</v>
      </c>
      <c r="P150" s="257">
        <f>IFERROR(AVERAGE(O150,O154),0)</f>
        <v>0.25</v>
      </c>
      <c r="Q150" s="652"/>
      <c r="R150" s="262" t="str">
        <f>N150</f>
        <v>Yes, we do it when requested</v>
      </c>
      <c r="S150" s="152">
        <f>IFERROR(VLOOKUP(R150,AnsPTBL,2,FALSE),0)</f>
        <v>0.25</v>
      </c>
      <c r="T150" s="257">
        <f>IFERROR(AVERAGE(S150,S154),0)</f>
        <v>0.25</v>
      </c>
      <c r="U150" s="652"/>
      <c r="V150" s="262" t="str">
        <f>R150</f>
        <v>Yes, we do it when requested</v>
      </c>
      <c r="W150" s="152">
        <f>IFERROR(VLOOKUP(V150,AnsPTBL,2,FALSE),0)</f>
        <v>0.25</v>
      </c>
      <c r="X150" s="257">
        <f>IFERROR(AVERAGE(W150,W154),0)</f>
        <v>0.25</v>
      </c>
      <c r="Y150" s="652"/>
    </row>
    <row r="151" spans="1:25" ht="13" x14ac:dyDescent="0.15">
      <c r="A151" s="142"/>
      <c r="B151" s="236"/>
      <c r="C151" s="222"/>
      <c r="D151" s="204"/>
      <c r="E151" s="204"/>
      <c r="F151" s="204"/>
      <c r="G151" s="204"/>
      <c r="H151" s="204"/>
      <c r="I151" s="652"/>
      <c r="J151" s="204"/>
      <c r="K151" s="204"/>
      <c r="L151" s="204"/>
      <c r="M151" s="652"/>
      <c r="N151" s="204"/>
      <c r="O151" s="204"/>
      <c r="P151" s="204"/>
      <c r="Q151" s="652"/>
      <c r="R151" s="204"/>
      <c r="S151" s="204"/>
      <c r="T151" s="204"/>
      <c r="U151" s="652"/>
      <c r="V151" s="204"/>
      <c r="W151" s="204"/>
      <c r="X151" s="204"/>
      <c r="Y151" s="652"/>
    </row>
    <row r="152" spans="1:25" ht="42" x14ac:dyDescent="0.15">
      <c r="A152" s="142" t="str">
        <f>Interview!A225</f>
        <v>O-OM-B-1-1</v>
      </c>
      <c r="B152" s="639" t="str">
        <f>VLOOKUP(A152,'imp-questions'!A:H,4,FALSE)</f>
        <v>System Decomissioning / Legacy Management</v>
      </c>
      <c r="C152" s="231">
        <f>VLOOKUP(A152,'imp-questions'!A:H,5,FALSE)</f>
        <v>1</v>
      </c>
      <c r="D152" s="176" t="str">
        <f>VLOOKUP(A152,'imp-questions'!A:H,6,FALSE)</f>
        <v>Do you identify and remove systems, applications, application dependencies, or services that are no longer used, have reached end of life, or are no longer actively developed or supported?</v>
      </c>
      <c r="E152" s="144" t="str">
        <f>CHAR(65+VLOOKUP(A152,'imp-questions'!A:H,8,FALSE))</f>
        <v>F</v>
      </c>
      <c r="F152" s="169" t="str">
        <f>Interview!F225</f>
        <v>Yes, for most or all of the applications</v>
      </c>
      <c r="G152" s="152">
        <f>IFERROR(VLOOKUP(F152,AnsFTBL,2,FALSE),0)</f>
        <v>1</v>
      </c>
      <c r="H152" s="122"/>
      <c r="I152" s="652"/>
      <c r="J152" s="262" t="str">
        <f>F152</f>
        <v>Yes, for most or all of the applications</v>
      </c>
      <c r="K152" s="152">
        <f>IFERROR(VLOOKUP(J152,AnsFTBL,2,FALSE),0)</f>
        <v>1</v>
      </c>
      <c r="L152" s="122"/>
      <c r="M152" s="652"/>
      <c r="N152" s="262" t="str">
        <f>J152</f>
        <v>Yes, for most or all of the applications</v>
      </c>
      <c r="O152" s="152">
        <f>IFERROR(VLOOKUP(N152,AnsFTBL,2,FALSE),0)</f>
        <v>1</v>
      </c>
      <c r="P152" s="122"/>
      <c r="Q152" s="652"/>
      <c r="R152" s="262" t="str">
        <f>N152</f>
        <v>Yes, for most or all of the applications</v>
      </c>
      <c r="S152" s="152">
        <f>IFERROR(VLOOKUP(R152,AnsFTBL,2,FALSE),0)</f>
        <v>1</v>
      </c>
      <c r="T152" s="122"/>
      <c r="U152" s="652"/>
      <c r="V152" s="262" t="str">
        <f>R152</f>
        <v>Yes, for most or all of the applications</v>
      </c>
      <c r="W152" s="152">
        <f>IFERROR(VLOOKUP(V152,AnsFTBL,2,FALSE),0)</f>
        <v>1</v>
      </c>
      <c r="X152" s="122"/>
      <c r="Y152" s="652"/>
    </row>
    <row r="153" spans="1:25" ht="42" x14ac:dyDescent="0.15">
      <c r="A153" s="142" t="str">
        <f>Interview!A227</f>
        <v>O-OM-B-2-1</v>
      </c>
      <c r="B153" s="640"/>
      <c r="C153" s="231">
        <f>VLOOKUP(A153,'imp-questions'!A:H,5,FALSE)</f>
        <v>2</v>
      </c>
      <c r="D153" s="176" t="str">
        <f>VLOOKUP(A153,'imp-questions'!A:H,6,FALSE)</f>
        <v>Do you follow an established process for removing all associated resources, as part of decommissioning of unused systems, applications, application dependencies, or services?</v>
      </c>
      <c r="E153" s="144" t="str">
        <f>CHAR(65+VLOOKUP(A153,'imp-questions'!A:H,8,FALSE))</f>
        <v>H</v>
      </c>
      <c r="F153" s="256" t="str">
        <f>Interview!F227</f>
        <v>Yes, most or all of the time</v>
      </c>
      <c r="G153" s="152">
        <f>IFERROR(VLOOKUP(F153,AnsHTBL,2,FALSE),0)</f>
        <v>1</v>
      </c>
      <c r="H153" s="122"/>
      <c r="I153" s="652"/>
      <c r="J153" s="262" t="str">
        <f>F153</f>
        <v>Yes, most or all of the time</v>
      </c>
      <c r="K153" s="152">
        <f>IFERROR(VLOOKUP(J153,AnsHTBL,2,FALSE),0)</f>
        <v>1</v>
      </c>
      <c r="L153" s="122"/>
      <c r="M153" s="652"/>
      <c r="N153" s="262" t="str">
        <f>J153</f>
        <v>Yes, most or all of the time</v>
      </c>
      <c r="O153" s="152">
        <f>IFERROR(VLOOKUP(N153,AnsHTBL,2,FALSE),0)</f>
        <v>1</v>
      </c>
      <c r="P153" s="122"/>
      <c r="Q153" s="652"/>
      <c r="R153" s="262" t="str">
        <f>N153</f>
        <v>Yes, most or all of the time</v>
      </c>
      <c r="S153" s="152">
        <f>IFERROR(VLOOKUP(R153,AnsHTBL,2,FALSE),0)</f>
        <v>1</v>
      </c>
      <c r="T153" s="122"/>
      <c r="U153" s="652"/>
      <c r="V153" s="262" t="str">
        <f>R153</f>
        <v>Yes, most or all of the time</v>
      </c>
      <c r="W153" s="152">
        <f>IFERROR(VLOOKUP(V153,AnsHTBL,2,FALSE),0)</f>
        <v>1</v>
      </c>
      <c r="X153" s="122"/>
      <c r="Y153" s="652"/>
    </row>
    <row r="154" spans="1:25" ht="42" x14ac:dyDescent="0.15">
      <c r="A154" s="142" t="str">
        <f>Interview!A229</f>
        <v>O-OM-B-3-1</v>
      </c>
      <c r="B154" s="647"/>
      <c r="C154" s="231">
        <f>VLOOKUP(A154,'imp-questions'!A:H,5,FALSE)</f>
        <v>3</v>
      </c>
      <c r="D154" s="252" t="str">
        <f>VLOOKUP(A154,'imp-questions'!A:H,6,FALSE)</f>
        <v>Do you regularly evaluate the lifecycle state and support status of every software asset and underlying infrastructure component, and estimate their end of life?</v>
      </c>
      <c r="E154" s="253" t="str">
        <f>CHAR(65+VLOOKUP(A154,'imp-questions'!A:H,8,FALSE))</f>
        <v>S</v>
      </c>
      <c r="F154" s="173" t="str">
        <f>Interview!F229</f>
        <v>Yes, for some of the assets</v>
      </c>
      <c r="G154" s="152">
        <f>IFERROR(VLOOKUP(F154,AnsSTBL,2,FALSE),0)</f>
        <v>0.25</v>
      </c>
      <c r="H154" s="122"/>
      <c r="I154" s="652"/>
      <c r="J154" s="262" t="str">
        <f>F154</f>
        <v>Yes, for some of the assets</v>
      </c>
      <c r="K154" s="152">
        <f>IFERROR(VLOOKUP(J154,AnsSTBL,2,FALSE),0)</f>
        <v>0.25</v>
      </c>
      <c r="L154" s="122"/>
      <c r="M154" s="652"/>
      <c r="N154" s="262" t="str">
        <f>J154</f>
        <v>Yes, for some of the assets</v>
      </c>
      <c r="O154" s="152">
        <f>IFERROR(VLOOKUP(N154,AnsSTBL,2,FALSE),0)</f>
        <v>0.25</v>
      </c>
      <c r="P154" s="122"/>
      <c r="Q154" s="652"/>
      <c r="R154" s="262" t="str">
        <f>N154</f>
        <v>Yes, for some of the assets</v>
      </c>
      <c r="S154" s="152">
        <f>IFERROR(VLOOKUP(R154,AnsSTBL,2,FALSE),0)</f>
        <v>0.25</v>
      </c>
      <c r="T154" s="122"/>
      <c r="U154" s="652"/>
      <c r="V154" s="262" t="str">
        <f>R154</f>
        <v>Yes, for some of the assets</v>
      </c>
      <c r="W154" s="152">
        <f>IFERROR(VLOOKUP(V154,AnsSTBL,2,FALSE),0)</f>
        <v>0.25</v>
      </c>
      <c r="X154" s="122"/>
      <c r="Y154" s="652"/>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L35" sqref="L35"/>
    </sheetView>
  </sheetViews>
  <sheetFormatPr baseColWidth="10" defaultColWidth="8.83203125" defaultRowHeight="13" x14ac:dyDescent="0.15"/>
  <cols>
    <col min="1" max="1" width="22.83203125" style="34" customWidth="1"/>
    <col min="2" max="2" width="11" style="34" customWidth="1"/>
    <col min="3" max="3" width="9.6640625" style="34" customWidth="1"/>
    <col min="4" max="4" width="1.83203125" style="34" customWidth="1"/>
    <col min="5" max="5" width="8.83203125" style="34"/>
    <col min="6" max="6" width="1.5" style="34" customWidth="1"/>
    <col min="7" max="7" width="8.83203125" style="34"/>
    <col min="8" max="8" width="1.5" style="34" customWidth="1"/>
    <col min="9" max="9" width="8.83203125" style="34"/>
    <col min="10" max="10" width="1.5" style="34" customWidth="1"/>
    <col min="11" max="11" width="21.5" style="34" customWidth="1"/>
    <col min="12" max="12" width="22.1640625" style="34" customWidth="1"/>
    <col min="13" max="13" width="3.83203125" style="34" customWidth="1"/>
    <col min="14" max="14" width="4.5" style="34" customWidth="1"/>
    <col min="15" max="22" width="9.6640625" style="34" customWidth="1"/>
    <col min="23" max="25" width="8.83203125" style="34"/>
    <col min="26" max="26" width="19" style="34" bestFit="1" customWidth="1"/>
    <col min="27" max="16384" width="8.83203125" style="34"/>
  </cols>
  <sheetData>
    <row r="1" spans="1:31" ht="69" customHeight="1" thickBot="1" x14ac:dyDescent="0.2">
      <c r="A1" s="589" t="s">
        <v>95</v>
      </c>
      <c r="B1" s="590"/>
      <c r="C1" s="590"/>
      <c r="D1" s="590"/>
      <c r="E1" s="590"/>
      <c r="F1" s="590"/>
      <c r="G1" s="590"/>
      <c r="H1" s="590"/>
      <c r="I1" s="590"/>
      <c r="J1" s="590"/>
      <c r="K1" s="591"/>
    </row>
    <row r="3" spans="1:31" ht="25" x14ac:dyDescent="0.25">
      <c r="A3" s="33" t="s">
        <v>34</v>
      </c>
      <c r="L3" s="33" t="str">
        <f>A3</f>
        <v>Software Assurance Maturity Model (SAMM) Roadmap</v>
      </c>
    </row>
    <row r="4" spans="1:31" s="35" customFormat="1" ht="14" x14ac:dyDescent="0.15">
      <c r="A4" s="35" t="s">
        <v>15</v>
      </c>
      <c r="B4" s="657" t="str">
        <f>IF(ISBLANK(Interview!D10),"",Interview!D10)</f>
        <v>COMPANY</v>
      </c>
      <c r="C4" s="657"/>
      <c r="L4" s="35" t="str">
        <f>B4</f>
        <v>COMPANY</v>
      </c>
      <c r="Y4" s="35">
        <v>1</v>
      </c>
      <c r="Z4" s="35">
        <v>1</v>
      </c>
      <c r="AA4" s="35">
        <v>1</v>
      </c>
    </row>
    <row r="5" spans="1:31" s="35" customFormat="1" ht="14" x14ac:dyDescent="0.15">
      <c r="A5" s="35" t="s">
        <v>310</v>
      </c>
      <c r="B5" s="657" t="str">
        <f>IF(ISBLANK(Interview!D11),"",Interview!D11)</f>
        <v/>
      </c>
      <c r="C5" s="657"/>
      <c r="L5" s="35" t="str">
        <f>B5</f>
        <v/>
      </c>
    </row>
    <row r="6" spans="1:31" s="35" customFormat="1" ht="14" x14ac:dyDescent="0.15">
      <c r="A6" s="35" t="s">
        <v>35</v>
      </c>
      <c r="B6" s="658" t="str">
        <f>IF(ISBLANK(Interview!D12),"",Interview!D12)</f>
        <v/>
      </c>
      <c r="C6" s="658"/>
      <c r="L6" s="275" t="str">
        <f>B6</f>
        <v/>
      </c>
    </row>
    <row r="7" spans="1:31" s="35" customFormat="1" ht="14" x14ac:dyDescent="0.15">
      <c r="A7" s="35" t="s">
        <v>318</v>
      </c>
      <c r="B7" s="658" t="str">
        <f>IF(ISBLANK(Interview!D13),"",Interview!D13)</f>
        <v/>
      </c>
      <c r="C7" s="658"/>
    </row>
    <row r="8" spans="1:31" s="35" customFormat="1" ht="14" x14ac:dyDescent="0.15">
      <c r="A8" s="35" t="s">
        <v>8</v>
      </c>
      <c r="B8" s="658" t="str">
        <f>IF(ISBLANK(Interview!D14),"",Interview!D14)</f>
        <v>3a6a54e4eb49d8ff90528dbc49e637eb</v>
      </c>
      <c r="C8" s="658"/>
      <c r="L8" s="127"/>
      <c r="M8" s="127"/>
      <c r="N8" s="127"/>
      <c r="O8" s="655"/>
      <c r="P8" s="655"/>
      <c r="Q8" s="655"/>
      <c r="R8" s="655"/>
      <c r="S8" s="655"/>
      <c r="T8" s="655"/>
      <c r="U8" s="655"/>
      <c r="V8" s="655"/>
    </row>
    <row r="9" spans="1:31" s="35" customFormat="1" ht="14" x14ac:dyDescent="0.15">
      <c r="L9" s="127"/>
      <c r="M9" s="127"/>
      <c r="N9" s="127"/>
      <c r="O9" s="655"/>
      <c r="P9" s="655"/>
      <c r="Q9" s="655"/>
      <c r="R9" s="655"/>
      <c r="S9" s="655"/>
      <c r="T9" s="655"/>
      <c r="U9" s="655"/>
      <c r="V9" s="655"/>
    </row>
    <row r="10" spans="1:31" s="35" customFormat="1" ht="15" thickBot="1" x14ac:dyDescent="0.2">
      <c r="A10" s="35" t="s">
        <v>36</v>
      </c>
      <c r="B10" s="36" t="s">
        <v>37</v>
      </c>
      <c r="I10" s="36" t="s">
        <v>38</v>
      </c>
      <c r="L10" s="128" t="s">
        <v>39</v>
      </c>
      <c r="M10" s="128"/>
      <c r="N10" s="128"/>
      <c r="O10" s="656"/>
      <c r="P10" s="656"/>
      <c r="Q10" s="656"/>
      <c r="R10" s="656"/>
      <c r="S10" s="656"/>
      <c r="T10" s="656"/>
      <c r="U10" s="656"/>
      <c r="V10" s="656"/>
    </row>
    <row r="11" spans="1:31" ht="14" thickBot="1" x14ac:dyDescent="0.2">
      <c r="A11" s="90" t="s">
        <v>40</v>
      </c>
      <c r="B11" s="91" t="s">
        <v>41</v>
      </c>
      <c r="C11" s="91" t="s">
        <v>89</v>
      </c>
      <c r="D11" s="92" t="s">
        <v>42</v>
      </c>
      <c r="E11" s="91" t="s">
        <v>90</v>
      </c>
      <c r="F11" s="92" t="s">
        <v>43</v>
      </c>
      <c r="G11" s="91" t="s">
        <v>91</v>
      </c>
      <c r="H11" s="92" t="s">
        <v>44</v>
      </c>
      <c r="I11" s="91" t="s">
        <v>92</v>
      </c>
      <c r="J11" s="37" t="s">
        <v>45</v>
      </c>
      <c r="K11" s="38" t="s">
        <v>46</v>
      </c>
      <c r="L11" s="129"/>
      <c r="M11" s="130"/>
      <c r="N11" s="130"/>
      <c r="O11" s="654" t="str">
        <f>C11</f>
        <v>Phase 1</v>
      </c>
      <c r="P11" s="654"/>
      <c r="Q11" s="654" t="str">
        <f>E11</f>
        <v>Phase 2</v>
      </c>
      <c r="R11" s="654"/>
      <c r="S11" s="654" t="str">
        <f>G11</f>
        <v>Phase 3</v>
      </c>
      <c r="T11" s="654"/>
      <c r="U11" s="654" t="str">
        <f>I11</f>
        <v>Phase 4</v>
      </c>
      <c r="V11" s="654"/>
      <c r="AA11" s="38" t="str">
        <f>I11</f>
        <v>Phase 4</v>
      </c>
      <c r="AB11" s="38" t="str">
        <f>G11</f>
        <v>Phase 3</v>
      </c>
      <c r="AC11" s="38" t="str">
        <f>E11</f>
        <v>Phase 2</v>
      </c>
      <c r="AD11" s="38" t="str">
        <f>C11</f>
        <v>Phase 1</v>
      </c>
      <c r="AE11" s="38" t="str">
        <f>B11</f>
        <v>Start</v>
      </c>
    </row>
    <row r="12" spans="1:31" ht="15" customHeight="1" x14ac:dyDescent="0.15">
      <c r="A12" s="87" t="s">
        <v>47</v>
      </c>
      <c r="B12" s="96">
        <f>IF(ISNUMBER(Interview!$J$18),Interview!$J$18,SUM(LEFT(Interview!$J$18),".5"))</f>
        <v>0.25</v>
      </c>
      <c r="C12" s="124">
        <f>Roadmap!M18</f>
        <v>0.375</v>
      </c>
      <c r="D12" s="39">
        <f>C12</f>
        <v>0.375</v>
      </c>
      <c r="E12" s="124">
        <f>Roadmap!Q18</f>
        <v>0.375</v>
      </c>
      <c r="F12" s="39">
        <f>E12</f>
        <v>0.375</v>
      </c>
      <c r="G12" s="124">
        <f>Roadmap!U18</f>
        <v>0.375</v>
      </c>
      <c r="H12" s="40">
        <f>G12</f>
        <v>0.375</v>
      </c>
      <c r="I12" s="124">
        <f>Roadmap!Y18</f>
        <v>0.375</v>
      </c>
      <c r="J12" s="40">
        <f>I12</f>
        <v>0.375</v>
      </c>
      <c r="K12" s="117">
        <f>IFERROR(I12-B12,I12-LEFT(B12,1))</f>
        <v>0.125</v>
      </c>
      <c r="L12" s="130"/>
      <c r="M12" s="130"/>
      <c r="N12" s="130"/>
      <c r="O12" s="130"/>
      <c r="P12" s="130"/>
      <c r="Q12" s="130"/>
      <c r="R12" s="130"/>
      <c r="S12" s="130"/>
      <c r="T12" s="130"/>
      <c r="U12" s="130"/>
      <c r="V12" s="130"/>
      <c r="Z12" s="34" t="str">
        <f>A12</f>
        <v>Strategy &amp; metrics</v>
      </c>
      <c r="AA12" s="118">
        <f>I12</f>
        <v>0.375</v>
      </c>
      <c r="AB12" s="118">
        <f>G12</f>
        <v>0.375</v>
      </c>
      <c r="AC12" s="118">
        <f>E12</f>
        <v>0.375</v>
      </c>
      <c r="AD12" s="118">
        <f>C12</f>
        <v>0.375</v>
      </c>
      <c r="AE12" s="118">
        <f>B12</f>
        <v>0.25</v>
      </c>
    </row>
    <row r="13" spans="1:31" ht="15" customHeight="1" x14ac:dyDescent="0.15">
      <c r="A13" s="88" t="s">
        <v>19</v>
      </c>
      <c r="B13" s="96">
        <f>IF(ISNUMBER(Interview!$J$32),Interview!$J$32,SUM(LEFT(Interview!$J$32),".5"))</f>
        <v>1.25</v>
      </c>
      <c r="C13" s="125">
        <f>Roadmap!M27</f>
        <v>1.25</v>
      </c>
      <c r="D13" s="39">
        <f>C13</f>
        <v>1.25</v>
      </c>
      <c r="E13" s="125">
        <f>Roadmap!Q27</f>
        <v>1.25</v>
      </c>
      <c r="F13" s="39">
        <f>E13</f>
        <v>1.25</v>
      </c>
      <c r="G13" s="125">
        <f>Roadmap!U27</f>
        <v>1.25</v>
      </c>
      <c r="H13" s="39">
        <f>G13</f>
        <v>1.25</v>
      </c>
      <c r="I13" s="125">
        <f>Roadmap!Y27</f>
        <v>1.25</v>
      </c>
      <c r="J13" s="39">
        <f>I13</f>
        <v>1.25</v>
      </c>
      <c r="K13" s="117">
        <f t="shared" ref="K13:K26" si="0">IFERROR(I13-B13,I13-LEFT(B13,1))</f>
        <v>0</v>
      </c>
      <c r="L13" s="130"/>
      <c r="M13" s="130"/>
      <c r="N13" s="130"/>
      <c r="O13" s="130"/>
      <c r="P13" s="130"/>
      <c r="Q13" s="130"/>
      <c r="R13" s="130"/>
      <c r="S13" s="130"/>
      <c r="T13" s="130"/>
      <c r="U13" s="130"/>
      <c r="V13" s="130"/>
      <c r="Z13" s="34" t="str">
        <f t="shared" ref="Z13:Z26" si="1">A13</f>
        <v>Policy &amp; Compliance</v>
      </c>
      <c r="AA13" s="118">
        <f t="shared" ref="AA13:AA26" si="2">I13</f>
        <v>1.25</v>
      </c>
      <c r="AB13" s="118">
        <f t="shared" ref="AB13:AB26" si="3">G13</f>
        <v>1.25</v>
      </c>
      <c r="AC13" s="118">
        <f t="shared" ref="AC13:AC26" si="4">E13</f>
        <v>1.25</v>
      </c>
      <c r="AD13" s="118">
        <f t="shared" ref="AD13:AD26" si="5">C13</f>
        <v>1.25</v>
      </c>
      <c r="AE13" s="118">
        <f t="shared" ref="AE13:AE26" si="6">B13</f>
        <v>1.25</v>
      </c>
    </row>
    <row r="14" spans="1:31" ht="15" customHeight="1" x14ac:dyDescent="0.15">
      <c r="A14" s="89" t="s">
        <v>20</v>
      </c>
      <c r="B14" s="97">
        <f>IF(ISNUMBER(Interview!$J$46),Interview!$J$46,SUM(LEFT(Interview!$J$46),".5"))</f>
        <v>0.75</v>
      </c>
      <c r="C14" s="125">
        <f>Roadmap!M36</f>
        <v>0.75</v>
      </c>
      <c r="D14" s="41">
        <f>C14</f>
        <v>0.75</v>
      </c>
      <c r="E14" s="125">
        <f>Roadmap!Q36</f>
        <v>0.75</v>
      </c>
      <c r="F14" s="41">
        <f>E14</f>
        <v>0.75</v>
      </c>
      <c r="G14" s="125">
        <f>Roadmap!U36</f>
        <v>0.75</v>
      </c>
      <c r="H14" s="41">
        <f>G14</f>
        <v>0.75</v>
      </c>
      <c r="I14" s="125">
        <f>Roadmap!Y36</f>
        <v>0.75</v>
      </c>
      <c r="J14" s="41">
        <f>I14</f>
        <v>0.75</v>
      </c>
      <c r="K14" s="117">
        <f t="shared" si="0"/>
        <v>0</v>
      </c>
      <c r="L14" s="130"/>
      <c r="M14" s="130"/>
      <c r="N14" s="130"/>
      <c r="O14" s="130"/>
      <c r="P14" s="130"/>
      <c r="Q14" s="130"/>
      <c r="R14" s="130"/>
      <c r="S14" s="130"/>
      <c r="T14" s="130"/>
      <c r="U14" s="130"/>
      <c r="V14" s="130"/>
      <c r="Z14" s="34" t="str">
        <f t="shared" si="1"/>
        <v>Education &amp; Guidance</v>
      </c>
      <c r="AA14" s="118">
        <f t="shared" si="2"/>
        <v>0.75</v>
      </c>
      <c r="AB14" s="118">
        <f t="shared" si="3"/>
        <v>0.75</v>
      </c>
      <c r="AC14" s="118">
        <f t="shared" si="4"/>
        <v>0.75</v>
      </c>
      <c r="AD14" s="118">
        <f t="shared" si="5"/>
        <v>0.75</v>
      </c>
      <c r="AE14" s="118">
        <f t="shared" si="6"/>
        <v>0.75</v>
      </c>
    </row>
    <row r="15" spans="1:31" ht="15" customHeight="1" x14ac:dyDescent="0.15">
      <c r="A15" s="84" t="s">
        <v>21</v>
      </c>
      <c r="B15" s="96">
        <f>IF(ISNUMBER(Interview!$J$61),Interview!$J$61,SUM(LEFT(Interview!$J$61),".5"))</f>
        <v>0.25</v>
      </c>
      <c r="C15" s="265">
        <f>Roadmap!M46</f>
        <v>0.25</v>
      </c>
      <c r="D15" s="42">
        <f>C15</f>
        <v>0.25</v>
      </c>
      <c r="E15" s="265">
        <f>Roadmap!Q46</f>
        <v>0.25</v>
      </c>
      <c r="F15" s="42">
        <f>E15</f>
        <v>0.25</v>
      </c>
      <c r="G15" s="265">
        <f>Roadmap!U46</f>
        <v>0.25</v>
      </c>
      <c r="H15" s="42">
        <f>G15</f>
        <v>0.25</v>
      </c>
      <c r="I15" s="265">
        <f>Roadmap!Y46</f>
        <v>0.25</v>
      </c>
      <c r="J15" s="42">
        <f>I15</f>
        <v>0.25</v>
      </c>
      <c r="K15" s="117">
        <f t="shared" si="0"/>
        <v>0</v>
      </c>
      <c r="L15" s="130"/>
      <c r="M15" s="130"/>
      <c r="N15" s="130"/>
      <c r="O15" s="130"/>
      <c r="P15" s="130"/>
      <c r="Q15" s="130"/>
      <c r="R15" s="130"/>
      <c r="S15" s="130"/>
      <c r="T15" s="130"/>
      <c r="U15" s="130"/>
      <c r="V15" s="130"/>
      <c r="Z15" s="34" t="str">
        <f t="shared" si="1"/>
        <v>Threat Assessment</v>
      </c>
      <c r="AA15" s="118">
        <f t="shared" si="2"/>
        <v>0.25</v>
      </c>
      <c r="AB15" s="118">
        <f t="shared" si="3"/>
        <v>0.25</v>
      </c>
      <c r="AC15" s="118">
        <f t="shared" si="4"/>
        <v>0.25</v>
      </c>
      <c r="AD15" s="118">
        <f t="shared" si="5"/>
        <v>0.25</v>
      </c>
      <c r="AE15" s="118">
        <f t="shared" si="6"/>
        <v>0.25</v>
      </c>
    </row>
    <row r="16" spans="1:31" ht="15" customHeight="1" x14ac:dyDescent="0.15">
      <c r="A16" s="85" t="s">
        <v>22</v>
      </c>
      <c r="B16" s="96">
        <f>IF(ISNUMBER(Interview!$J75),Interview!$J$75,SUM(LEFT(Interview!$J$75),".5"))</f>
        <v>1.25</v>
      </c>
      <c r="C16" s="125">
        <f>Roadmap!M55</f>
        <v>1.25</v>
      </c>
      <c r="D16" s="39">
        <f t="shared" ref="D16:D26" si="7">C16</f>
        <v>1.25</v>
      </c>
      <c r="E16" s="125">
        <f>Roadmap!Q55</f>
        <v>1.25</v>
      </c>
      <c r="F16" s="39">
        <f t="shared" ref="F16:F26" si="8">E16</f>
        <v>1.25</v>
      </c>
      <c r="G16" s="125">
        <f>Roadmap!U55</f>
        <v>1.25</v>
      </c>
      <c r="H16" s="39">
        <f t="shared" ref="H16:H26" si="9">G16</f>
        <v>1.25</v>
      </c>
      <c r="I16" s="125">
        <f>Roadmap!Y55</f>
        <v>1.25</v>
      </c>
      <c r="J16" s="39">
        <f t="shared" ref="J16:J26" si="10">I16</f>
        <v>1.25</v>
      </c>
      <c r="K16" s="117">
        <f t="shared" si="0"/>
        <v>0</v>
      </c>
      <c r="L16" s="130"/>
      <c r="M16" s="130"/>
      <c r="N16" s="130"/>
      <c r="O16" s="130"/>
      <c r="P16" s="130"/>
      <c r="Q16" s="130"/>
      <c r="R16" s="130"/>
      <c r="S16" s="130"/>
      <c r="T16" s="130"/>
      <c r="U16" s="130"/>
      <c r="V16" s="130"/>
      <c r="Z16" s="34" t="str">
        <f t="shared" si="1"/>
        <v>Security Requirements</v>
      </c>
      <c r="AA16" s="118">
        <f t="shared" si="2"/>
        <v>1.25</v>
      </c>
      <c r="AB16" s="118">
        <f t="shared" si="3"/>
        <v>1.25</v>
      </c>
      <c r="AC16" s="118">
        <f t="shared" si="4"/>
        <v>1.25</v>
      </c>
      <c r="AD16" s="118">
        <f t="shared" si="5"/>
        <v>1.25</v>
      </c>
      <c r="AE16" s="118">
        <f t="shared" si="6"/>
        <v>1.25</v>
      </c>
    </row>
    <row r="17" spans="1:31" x14ac:dyDescent="0.15">
      <c r="A17" s="86" t="s">
        <v>23</v>
      </c>
      <c r="B17" s="97">
        <f>IF(ISNUMBER(Interview!$J$89),Interview!$J$89,SUM(LEFT(Interview!$J$89),".5"))</f>
        <v>2.5</v>
      </c>
      <c r="C17" s="125">
        <f>Roadmap!M64</f>
        <v>2.5</v>
      </c>
      <c r="D17" s="41">
        <f t="shared" si="7"/>
        <v>2.5</v>
      </c>
      <c r="E17" s="125">
        <f>Roadmap!Q64</f>
        <v>2.5</v>
      </c>
      <c r="F17" s="41">
        <f t="shared" si="8"/>
        <v>2.5</v>
      </c>
      <c r="G17" s="125">
        <f>Roadmap!U64</f>
        <v>2.5</v>
      </c>
      <c r="H17" s="41">
        <f t="shared" si="9"/>
        <v>2.5</v>
      </c>
      <c r="I17" s="125">
        <f>Roadmap!Y64</f>
        <v>2.5</v>
      </c>
      <c r="J17" s="41">
        <f t="shared" si="10"/>
        <v>2.5</v>
      </c>
      <c r="K17" s="117">
        <f t="shared" si="0"/>
        <v>0</v>
      </c>
      <c r="L17" s="130" t="str">
        <f>A12</f>
        <v>Strategy &amp; metrics</v>
      </c>
      <c r="M17" s="130"/>
      <c r="N17" s="130"/>
      <c r="O17" s="130"/>
      <c r="P17" s="130"/>
      <c r="Q17" s="130"/>
      <c r="R17" s="130"/>
      <c r="S17" s="130"/>
      <c r="T17" s="130"/>
      <c r="U17" s="130"/>
      <c r="V17" s="130"/>
      <c r="Z17" s="34" t="str">
        <f t="shared" si="1"/>
        <v>Secure Architecture</v>
      </c>
      <c r="AA17" s="118">
        <f t="shared" si="2"/>
        <v>2.5</v>
      </c>
      <c r="AB17" s="118">
        <f t="shared" si="3"/>
        <v>2.5</v>
      </c>
      <c r="AC17" s="118">
        <f t="shared" si="4"/>
        <v>2.5</v>
      </c>
      <c r="AD17" s="118">
        <f t="shared" si="5"/>
        <v>2.5</v>
      </c>
      <c r="AE17" s="118">
        <f t="shared" si="6"/>
        <v>2.5</v>
      </c>
    </row>
    <row r="18" spans="1:31" x14ac:dyDescent="0.15">
      <c r="A18" s="293" t="s">
        <v>209</v>
      </c>
      <c r="B18" s="266">
        <f>IF(ISNUMBER(Interview!$J$104),Interview!$J$104,SUM(LEFT(Interview!$J$104),".5"))</f>
        <v>0.5</v>
      </c>
      <c r="C18" s="267">
        <f>Roadmap!M74</f>
        <v>0</v>
      </c>
      <c r="D18" s="39">
        <f>C18</f>
        <v>0</v>
      </c>
      <c r="E18" s="267">
        <f>Roadmap!Q74</f>
        <v>0</v>
      </c>
      <c r="F18" s="39">
        <f>E18</f>
        <v>0</v>
      </c>
      <c r="G18" s="267">
        <f>Roadmap!U74</f>
        <v>0</v>
      </c>
      <c r="H18" s="39">
        <f>G18</f>
        <v>0</v>
      </c>
      <c r="I18" s="267">
        <f>Roadmap!Y74</f>
        <v>0</v>
      </c>
      <c r="J18" s="39">
        <f>I18</f>
        <v>0</v>
      </c>
      <c r="K18" s="117">
        <f>IFERROR(I18-B18,I18-LEFT(B18,1))</f>
        <v>-0.5</v>
      </c>
      <c r="L18" s="130"/>
      <c r="M18" s="130"/>
      <c r="N18" s="130"/>
      <c r="O18" s="130"/>
      <c r="P18" s="130"/>
      <c r="Q18" s="130"/>
      <c r="R18" s="130"/>
      <c r="S18" s="130"/>
      <c r="T18" s="130"/>
      <c r="U18" s="130"/>
      <c r="V18" s="130"/>
      <c r="Z18" s="34" t="str">
        <f>A18</f>
        <v>Secure Build</v>
      </c>
      <c r="AA18" s="118">
        <f>I18</f>
        <v>0</v>
      </c>
      <c r="AB18" s="118">
        <f>G18</f>
        <v>0</v>
      </c>
      <c r="AC18" s="118">
        <f>E18</f>
        <v>0</v>
      </c>
      <c r="AD18" s="118">
        <f>C18</f>
        <v>0</v>
      </c>
      <c r="AE18" s="118">
        <f>B18</f>
        <v>0.5</v>
      </c>
    </row>
    <row r="19" spans="1:31" x14ac:dyDescent="0.15">
      <c r="A19" s="293" t="s">
        <v>219</v>
      </c>
      <c r="B19" s="266">
        <f>IF(ISNUMBER(Interview!$J$118),Interview!$J$118,SUM(LEFT(Interview!$J$118),".5"))</f>
        <v>1.75</v>
      </c>
      <c r="C19" s="125">
        <f>Roadmap!M83</f>
        <v>0</v>
      </c>
      <c r="D19" s="39">
        <f>C19</f>
        <v>0</v>
      </c>
      <c r="E19" s="125">
        <f>Roadmap!Q83</f>
        <v>0</v>
      </c>
      <c r="F19" s="39">
        <f>E19</f>
        <v>0</v>
      </c>
      <c r="G19" s="125">
        <f>Roadmap!U83</f>
        <v>0</v>
      </c>
      <c r="H19" s="39">
        <f>G19</f>
        <v>0</v>
      </c>
      <c r="I19" s="125">
        <f>Roadmap!Y83</f>
        <v>0</v>
      </c>
      <c r="J19" s="39">
        <f>I19</f>
        <v>0</v>
      </c>
      <c r="K19" s="117">
        <f>IFERROR(I19-B19,I19-LEFT(B19,1))</f>
        <v>-1.75</v>
      </c>
      <c r="L19" s="130"/>
      <c r="M19" s="130"/>
      <c r="N19" s="130"/>
      <c r="O19" s="130"/>
      <c r="P19" s="130"/>
      <c r="Q19" s="130"/>
      <c r="R19" s="130"/>
      <c r="S19" s="130"/>
      <c r="T19" s="130"/>
      <c r="U19" s="130"/>
      <c r="V19" s="130"/>
      <c r="Z19" s="34" t="str">
        <f>A19</f>
        <v>Secure Deployment</v>
      </c>
      <c r="AA19" s="118">
        <f>I19</f>
        <v>0</v>
      </c>
      <c r="AB19" s="118">
        <f>G19</f>
        <v>0</v>
      </c>
      <c r="AC19" s="118">
        <f>E19</f>
        <v>0</v>
      </c>
      <c r="AD19" s="118">
        <f>C19</f>
        <v>0</v>
      </c>
      <c r="AE19" s="118">
        <f>B19</f>
        <v>1.75</v>
      </c>
    </row>
    <row r="20" spans="1:31" x14ac:dyDescent="0.15">
      <c r="A20" s="293" t="s">
        <v>230</v>
      </c>
      <c r="B20" s="266">
        <f>IF(ISNUMBER(Interview!$J$132),Interview!$J$132,SUM(LEFT(Interview!$J$132),".5"))</f>
        <v>0.5</v>
      </c>
      <c r="C20" s="125">
        <f>Roadmap!M92</f>
        <v>0</v>
      </c>
      <c r="D20" s="39">
        <f>C20</f>
        <v>0</v>
      </c>
      <c r="E20" s="125">
        <f>Roadmap!Q92</f>
        <v>0</v>
      </c>
      <c r="F20" s="39">
        <f>E20</f>
        <v>0</v>
      </c>
      <c r="G20" s="125">
        <f>Roadmap!U92</f>
        <v>0</v>
      </c>
      <c r="H20" s="39">
        <f>G20</f>
        <v>0</v>
      </c>
      <c r="I20" s="125">
        <f>Roadmap!Y92</f>
        <v>0</v>
      </c>
      <c r="J20" s="39">
        <f>I20</f>
        <v>0</v>
      </c>
      <c r="K20" s="117">
        <f>IFERROR(I20-B20,I20-LEFT(B20,1))</f>
        <v>-0.5</v>
      </c>
      <c r="L20" s="130"/>
      <c r="M20" s="130"/>
      <c r="N20" s="130"/>
      <c r="O20" s="130"/>
      <c r="P20" s="130"/>
      <c r="Q20" s="130"/>
      <c r="R20" s="130"/>
      <c r="S20" s="130"/>
      <c r="T20" s="130"/>
      <c r="U20" s="130"/>
      <c r="V20" s="130"/>
      <c r="Z20" s="34" t="str">
        <f>A20</f>
        <v>Defect Management</v>
      </c>
      <c r="AA20" s="118">
        <f>I20</f>
        <v>0</v>
      </c>
      <c r="AB20" s="118">
        <f>G20</f>
        <v>0</v>
      </c>
      <c r="AC20" s="118">
        <f>E20</f>
        <v>0</v>
      </c>
      <c r="AD20" s="118">
        <f>C20</f>
        <v>0</v>
      </c>
      <c r="AE20" s="118">
        <f>B20</f>
        <v>0.5</v>
      </c>
    </row>
    <row r="21" spans="1:31" x14ac:dyDescent="0.15">
      <c r="A21" s="81" t="s">
        <v>237</v>
      </c>
      <c r="B21" s="268">
        <f>IF(ISNUMBER(Interview!$J$147),Interview!$J$147,SUM(LEFT(Interview!$J$147),".5"))</f>
        <v>0.125</v>
      </c>
      <c r="C21" s="267">
        <f>Roadmap!M102</f>
        <v>0.125</v>
      </c>
      <c r="D21" s="42">
        <f t="shared" si="7"/>
        <v>0.125</v>
      </c>
      <c r="E21" s="267">
        <f>Roadmap!Q102</f>
        <v>0.125</v>
      </c>
      <c r="F21" s="42">
        <f t="shared" si="8"/>
        <v>0.125</v>
      </c>
      <c r="G21" s="267">
        <f>Roadmap!U102</f>
        <v>0.125</v>
      </c>
      <c r="H21" s="42">
        <f t="shared" si="9"/>
        <v>0.125</v>
      </c>
      <c r="I21" s="267">
        <f>Roadmap!Y102</f>
        <v>0.125</v>
      </c>
      <c r="J21" s="42">
        <f t="shared" si="10"/>
        <v>0.125</v>
      </c>
      <c r="K21" s="117">
        <f t="shared" si="0"/>
        <v>0</v>
      </c>
      <c r="L21" s="130"/>
      <c r="M21" s="130"/>
      <c r="N21" s="130"/>
      <c r="O21" s="130"/>
      <c r="P21" s="130"/>
      <c r="Q21" s="130"/>
      <c r="R21" s="130"/>
      <c r="S21" s="130"/>
      <c r="T21" s="130"/>
      <c r="U21" s="130"/>
      <c r="V21" s="130"/>
      <c r="Z21" s="34" t="str">
        <f t="shared" si="1"/>
        <v>Architecture Assessment</v>
      </c>
      <c r="AA21" s="118">
        <f t="shared" si="2"/>
        <v>0.125</v>
      </c>
      <c r="AB21" s="118">
        <f t="shared" si="3"/>
        <v>0.125</v>
      </c>
      <c r="AC21" s="118">
        <f t="shared" si="4"/>
        <v>0.125</v>
      </c>
      <c r="AD21" s="118">
        <f t="shared" si="5"/>
        <v>0.125</v>
      </c>
      <c r="AE21" s="118">
        <f t="shared" si="6"/>
        <v>0.125</v>
      </c>
    </row>
    <row r="22" spans="1:31" x14ac:dyDescent="0.15">
      <c r="A22" s="82" t="s">
        <v>438</v>
      </c>
      <c r="B22" s="96">
        <f>IF(ISNUMBER(Interview!$J$161),Interview!$J$161,SUM(LEFT(Interview!$J$161),".5"))</f>
        <v>0</v>
      </c>
      <c r="C22" s="125">
        <f>Roadmap!M111</f>
        <v>0</v>
      </c>
      <c r="D22" s="39">
        <f t="shared" si="7"/>
        <v>0</v>
      </c>
      <c r="E22" s="125">
        <f>Roadmap!Q111</f>
        <v>0</v>
      </c>
      <c r="F22" s="39">
        <f t="shared" si="8"/>
        <v>0</v>
      </c>
      <c r="G22" s="125">
        <f>Roadmap!U111</f>
        <v>0</v>
      </c>
      <c r="H22" s="39">
        <f t="shared" si="9"/>
        <v>0</v>
      </c>
      <c r="I22" s="125">
        <f>Roadmap!Y111</f>
        <v>0</v>
      </c>
      <c r="J22" s="39">
        <f t="shared" si="10"/>
        <v>0</v>
      </c>
      <c r="K22" s="117">
        <f t="shared" si="0"/>
        <v>0</v>
      </c>
      <c r="L22" s="130"/>
      <c r="M22" s="130"/>
      <c r="N22" s="130"/>
      <c r="O22" s="130"/>
      <c r="P22" s="130"/>
      <c r="Q22" s="130"/>
      <c r="R22" s="130"/>
      <c r="S22" s="130"/>
      <c r="T22" s="130"/>
      <c r="U22" s="130"/>
      <c r="V22" s="130"/>
      <c r="Z22" s="34" t="str">
        <f t="shared" si="1"/>
        <v>Requirements Testing</v>
      </c>
      <c r="AA22" s="118">
        <f t="shared" si="2"/>
        <v>0</v>
      </c>
      <c r="AB22" s="118">
        <f t="shared" si="3"/>
        <v>0</v>
      </c>
      <c r="AC22" s="118">
        <f t="shared" si="4"/>
        <v>0</v>
      </c>
      <c r="AD22" s="118">
        <f t="shared" si="5"/>
        <v>0</v>
      </c>
      <c r="AE22" s="118">
        <f t="shared" si="6"/>
        <v>0</v>
      </c>
    </row>
    <row r="23" spans="1:31" x14ac:dyDescent="0.15">
      <c r="A23" s="83" t="s">
        <v>25</v>
      </c>
      <c r="B23" s="97">
        <f>IF(ISNUMBER(Interview!$J$175),Interview!$J$175,SUM(LEFT(Interview!$J$175),".5"))</f>
        <v>1</v>
      </c>
      <c r="C23" s="125">
        <f>Roadmap!M120</f>
        <v>1</v>
      </c>
      <c r="D23" s="41">
        <f t="shared" si="7"/>
        <v>1</v>
      </c>
      <c r="E23" s="125">
        <f>Roadmap!Q120</f>
        <v>1</v>
      </c>
      <c r="F23" s="41">
        <f t="shared" si="8"/>
        <v>1</v>
      </c>
      <c r="G23" s="125">
        <f>Roadmap!U120</f>
        <v>1</v>
      </c>
      <c r="H23" s="41">
        <f t="shared" si="9"/>
        <v>1</v>
      </c>
      <c r="I23" s="125">
        <f>Roadmap!Y120</f>
        <v>1</v>
      </c>
      <c r="J23" s="41">
        <f t="shared" si="10"/>
        <v>1</v>
      </c>
      <c r="K23" s="117">
        <f t="shared" si="0"/>
        <v>0</v>
      </c>
      <c r="L23" s="130"/>
      <c r="M23" s="130"/>
      <c r="N23" s="130"/>
      <c r="O23" s="130"/>
      <c r="P23" s="130"/>
      <c r="Q23" s="130"/>
      <c r="R23" s="130"/>
      <c r="S23" s="130"/>
      <c r="T23" s="130"/>
      <c r="U23" s="130"/>
      <c r="V23" s="130"/>
      <c r="Z23" s="34" t="str">
        <f t="shared" si="1"/>
        <v>Security Testing</v>
      </c>
      <c r="AA23" s="118">
        <f t="shared" si="2"/>
        <v>1</v>
      </c>
      <c r="AB23" s="118">
        <f t="shared" si="3"/>
        <v>1</v>
      </c>
      <c r="AC23" s="118">
        <f t="shared" si="4"/>
        <v>1</v>
      </c>
      <c r="AD23" s="118">
        <f t="shared" si="5"/>
        <v>1</v>
      </c>
      <c r="AE23" s="118">
        <f t="shared" si="6"/>
        <v>1</v>
      </c>
    </row>
    <row r="24" spans="1:31" x14ac:dyDescent="0.15">
      <c r="A24" s="78" t="s">
        <v>265</v>
      </c>
      <c r="B24" s="96">
        <f>IF(ISNUMBER(Interview!$J$190),Interview!$J$190,SUM(LEFT(Interview!$J$190),".5"))</f>
        <v>0.75</v>
      </c>
      <c r="C24" s="265">
        <f>Roadmap!M130</f>
        <v>0.75</v>
      </c>
      <c r="D24" s="42">
        <f t="shared" si="7"/>
        <v>0.75</v>
      </c>
      <c r="E24" s="265">
        <f>Roadmap!Q130</f>
        <v>0.75</v>
      </c>
      <c r="F24" s="42">
        <f t="shared" si="8"/>
        <v>0.75</v>
      </c>
      <c r="G24" s="265">
        <f>Roadmap!U130</f>
        <v>0.75</v>
      </c>
      <c r="H24" s="42">
        <f t="shared" si="9"/>
        <v>0.75</v>
      </c>
      <c r="I24" s="265">
        <f>Roadmap!Y130</f>
        <v>0.75</v>
      </c>
      <c r="J24" s="42">
        <f t="shared" si="10"/>
        <v>0.75</v>
      </c>
      <c r="K24" s="117">
        <f t="shared" si="0"/>
        <v>0</v>
      </c>
      <c r="L24" s="130"/>
      <c r="M24" s="130"/>
      <c r="N24" s="130"/>
      <c r="O24" s="130"/>
      <c r="P24" s="130"/>
      <c r="Q24" s="130"/>
      <c r="R24" s="130"/>
      <c r="S24" s="130"/>
      <c r="T24" s="130"/>
      <c r="U24" s="130"/>
      <c r="V24" s="130"/>
      <c r="Z24" s="34" t="str">
        <f t="shared" si="1"/>
        <v>Incident Management</v>
      </c>
      <c r="AA24" s="118">
        <f t="shared" si="2"/>
        <v>0.75</v>
      </c>
      <c r="AB24" s="118">
        <f t="shared" si="3"/>
        <v>0.75</v>
      </c>
      <c r="AC24" s="118">
        <f t="shared" si="4"/>
        <v>0.75</v>
      </c>
      <c r="AD24" s="118">
        <f t="shared" si="5"/>
        <v>0.75</v>
      </c>
      <c r="AE24" s="118">
        <f t="shared" si="6"/>
        <v>0.75</v>
      </c>
    </row>
    <row r="25" spans="1:31" x14ac:dyDescent="0.15">
      <c r="A25" s="79" t="s">
        <v>275</v>
      </c>
      <c r="B25" s="96">
        <f>IF(ISNUMBER(Interview!$J$204),Interview!$J$204,SUM(LEFT(Interview!$J$204),".5"))</f>
        <v>1.875</v>
      </c>
      <c r="C25" s="125">
        <f>Roadmap!M139</f>
        <v>1.875</v>
      </c>
      <c r="D25" s="39">
        <f t="shared" si="7"/>
        <v>1.875</v>
      </c>
      <c r="E25" s="125">
        <f>Roadmap!Q139</f>
        <v>1.875</v>
      </c>
      <c r="F25" s="39">
        <f t="shared" si="8"/>
        <v>1.875</v>
      </c>
      <c r="G25" s="125">
        <f>Roadmap!U139</f>
        <v>1.875</v>
      </c>
      <c r="H25" s="39">
        <f t="shared" si="9"/>
        <v>1.875</v>
      </c>
      <c r="I25" s="125">
        <f>Roadmap!Y139</f>
        <v>1.875</v>
      </c>
      <c r="J25" s="39">
        <f t="shared" si="10"/>
        <v>1.875</v>
      </c>
      <c r="K25" s="117">
        <f t="shared" si="0"/>
        <v>0</v>
      </c>
      <c r="L25" s="130"/>
      <c r="M25" s="130"/>
      <c r="N25" s="130"/>
      <c r="O25" s="130"/>
      <c r="P25" s="130"/>
      <c r="Q25" s="130"/>
      <c r="R25" s="130"/>
      <c r="S25" s="130"/>
      <c r="T25" s="130"/>
      <c r="U25" s="130"/>
      <c r="V25" s="130"/>
      <c r="Z25" s="34" t="str">
        <f t="shared" si="1"/>
        <v>Environment Management</v>
      </c>
      <c r="AA25" s="118">
        <f t="shared" si="2"/>
        <v>1.875</v>
      </c>
      <c r="AB25" s="118">
        <f t="shared" si="3"/>
        <v>1.875</v>
      </c>
      <c r="AC25" s="118">
        <f t="shared" si="4"/>
        <v>1.875</v>
      </c>
      <c r="AD25" s="118">
        <f t="shared" si="5"/>
        <v>1.875</v>
      </c>
      <c r="AE25" s="118">
        <f t="shared" si="6"/>
        <v>1.875</v>
      </c>
    </row>
    <row r="26" spans="1:31" ht="14" thickBot="1" x14ac:dyDescent="0.2">
      <c r="A26" s="80" t="s">
        <v>286</v>
      </c>
      <c r="B26" s="98">
        <f>IF(ISNUMBER(Interview!$J$218),Interview!$J$218,SUM(LEFT(Interview!$J$218),".5"))</f>
        <v>2.25</v>
      </c>
      <c r="C26" s="269">
        <f>Roadmap!M148</f>
        <v>2.25</v>
      </c>
      <c r="D26" s="43">
        <f t="shared" si="7"/>
        <v>2.25</v>
      </c>
      <c r="E26" s="269">
        <f>Roadmap!Q148</f>
        <v>2.25</v>
      </c>
      <c r="F26" s="43">
        <f t="shared" si="8"/>
        <v>2.25</v>
      </c>
      <c r="G26" s="269">
        <f>Roadmap!U148</f>
        <v>2.25</v>
      </c>
      <c r="H26" s="43">
        <f t="shared" si="9"/>
        <v>2.25</v>
      </c>
      <c r="I26" s="269">
        <f>Roadmap!Y148</f>
        <v>2.25</v>
      </c>
      <c r="J26" s="43">
        <f t="shared" si="10"/>
        <v>2.25</v>
      </c>
      <c r="K26" s="117">
        <f t="shared" si="0"/>
        <v>0</v>
      </c>
      <c r="L26" s="130"/>
      <c r="M26" s="130"/>
      <c r="N26" s="130"/>
      <c r="O26" s="130"/>
      <c r="P26" s="130"/>
      <c r="Q26" s="130"/>
      <c r="R26" s="130"/>
      <c r="S26" s="130"/>
      <c r="T26" s="130"/>
      <c r="U26" s="130"/>
      <c r="V26" s="130"/>
      <c r="Z26" s="34" t="str">
        <f t="shared" si="1"/>
        <v>Operational Management</v>
      </c>
      <c r="AA26" s="118">
        <f t="shared" si="2"/>
        <v>2.25</v>
      </c>
      <c r="AB26" s="118">
        <f t="shared" si="3"/>
        <v>2.25</v>
      </c>
      <c r="AC26" s="118">
        <f t="shared" si="4"/>
        <v>2.25</v>
      </c>
      <c r="AD26" s="118">
        <f t="shared" si="5"/>
        <v>2.25</v>
      </c>
      <c r="AE26" s="118">
        <f t="shared" si="6"/>
        <v>2.25</v>
      </c>
    </row>
    <row r="27" spans="1:31" x14ac:dyDescent="0.15">
      <c r="L27" s="130" t="str">
        <f>A13</f>
        <v>Policy &amp; Compliance</v>
      </c>
      <c r="M27" s="130"/>
      <c r="N27" s="130"/>
      <c r="O27" s="130"/>
      <c r="P27" s="130"/>
      <c r="Q27" s="130"/>
      <c r="R27" s="130"/>
      <c r="S27" s="130"/>
      <c r="T27" s="130"/>
      <c r="U27" s="130"/>
      <c r="V27" s="130"/>
    </row>
    <row r="28" spans="1:31" x14ac:dyDescent="0.15">
      <c r="B28" s="44" t="s">
        <v>48</v>
      </c>
      <c r="C28" s="118">
        <f>SUM(C12:C26)-SUM(B12:B26)</f>
        <v>-2.625</v>
      </c>
      <c r="D28" s="118"/>
      <c r="E28" s="118">
        <f>SUM(E12:E26)-SUM(C12:C26)</f>
        <v>0</v>
      </c>
      <c r="F28" s="118"/>
      <c r="G28" s="118">
        <f>SUM(G12:G26)-SUM(E12:E26)</f>
        <v>0</v>
      </c>
      <c r="H28" s="118"/>
      <c r="I28" s="118">
        <f>SUM(I12:I26)-SUM(G12:G26)</f>
        <v>0</v>
      </c>
      <c r="J28" s="118"/>
      <c r="K28" s="117">
        <f>SUM(K12:K26)</f>
        <v>-2.625</v>
      </c>
      <c r="L28" s="130"/>
      <c r="M28" s="130"/>
      <c r="N28" s="130"/>
      <c r="O28" s="130"/>
      <c r="P28" s="130"/>
      <c r="Q28" s="130"/>
      <c r="R28" s="130"/>
      <c r="S28" s="130"/>
      <c r="T28" s="130"/>
      <c r="U28" s="130"/>
      <c r="V28" s="130"/>
    </row>
    <row r="29" spans="1:31" x14ac:dyDescent="0.15">
      <c r="B29" s="44"/>
      <c r="C29" s="45">
        <f>C28/$K$28</f>
        <v>1</v>
      </c>
      <c r="E29" s="45">
        <f>E28/$K$28</f>
        <v>0</v>
      </c>
      <c r="G29" s="45">
        <f>G28/$K$28</f>
        <v>0</v>
      </c>
      <c r="I29" s="45">
        <f>I28/$K$28</f>
        <v>0</v>
      </c>
      <c r="K29" s="46">
        <f>1-K28/24</f>
        <v>1.109375</v>
      </c>
      <c r="L29" s="130"/>
      <c r="M29" s="130"/>
      <c r="N29" s="130"/>
      <c r="O29" s="130"/>
      <c r="P29" s="130"/>
      <c r="Q29" s="130"/>
      <c r="R29" s="130"/>
      <c r="S29" s="130"/>
      <c r="T29" s="130"/>
      <c r="U29" s="130"/>
      <c r="V29" s="130"/>
    </row>
    <row r="30" spans="1:31" x14ac:dyDescent="0.15">
      <c r="B30" s="44"/>
      <c r="L30" s="130"/>
      <c r="M30" s="130"/>
      <c r="N30" s="130"/>
      <c r="O30" s="130"/>
      <c r="P30" s="130"/>
      <c r="Q30" s="130"/>
      <c r="R30" s="130"/>
      <c r="S30" s="130"/>
      <c r="T30" s="130"/>
      <c r="U30" s="130"/>
      <c r="V30" s="130"/>
    </row>
    <row r="31" spans="1:31" ht="14" thickBot="1" x14ac:dyDescent="0.2">
      <c r="L31" s="130"/>
      <c r="M31" s="130"/>
      <c r="N31" s="130"/>
      <c r="O31" s="130"/>
      <c r="P31" s="130"/>
      <c r="Q31" s="130"/>
      <c r="R31" s="130"/>
      <c r="S31" s="130"/>
      <c r="T31" s="130"/>
      <c r="U31" s="130"/>
      <c r="V31" s="130"/>
    </row>
    <row r="32" spans="1:31" x14ac:dyDescent="0.15">
      <c r="A32" s="47" t="s">
        <v>49</v>
      </c>
      <c r="B32" s="48">
        <v>0</v>
      </c>
      <c r="L32" s="130"/>
      <c r="M32" s="130"/>
      <c r="N32" s="130"/>
      <c r="O32" s="130"/>
      <c r="P32" s="130"/>
      <c r="Q32" s="130"/>
      <c r="R32" s="130"/>
      <c r="S32" s="130"/>
      <c r="T32" s="130"/>
      <c r="U32" s="130"/>
      <c r="V32" s="130"/>
    </row>
    <row r="33" spans="1:22" x14ac:dyDescent="0.15">
      <c r="B33" s="38">
        <v>0.5</v>
      </c>
      <c r="L33" s="130"/>
      <c r="M33" s="130"/>
      <c r="N33" s="130"/>
      <c r="O33" s="130"/>
      <c r="P33" s="130"/>
      <c r="Q33" s="130"/>
      <c r="R33" s="130"/>
      <c r="S33" s="130"/>
      <c r="T33" s="130"/>
      <c r="U33" s="130"/>
      <c r="V33" s="130"/>
    </row>
    <row r="34" spans="1:22" x14ac:dyDescent="0.15">
      <c r="B34" s="38">
        <v>1</v>
      </c>
      <c r="L34" s="130" t="str">
        <f>A14</f>
        <v>Education &amp; Guidance</v>
      </c>
      <c r="M34" s="130"/>
      <c r="N34" s="130"/>
      <c r="O34" s="130"/>
      <c r="P34" s="130"/>
      <c r="Q34" s="130"/>
      <c r="R34" s="130"/>
      <c r="S34" s="130"/>
      <c r="T34" s="130"/>
      <c r="U34" s="130"/>
      <c r="V34" s="130"/>
    </row>
    <row r="35" spans="1:22" x14ac:dyDescent="0.15">
      <c r="B35" s="38">
        <v>1.5</v>
      </c>
      <c r="L35" s="130"/>
      <c r="M35" s="130"/>
      <c r="N35" s="130"/>
      <c r="O35" s="130"/>
      <c r="P35" s="130"/>
      <c r="Q35" s="130"/>
      <c r="R35" s="130"/>
      <c r="S35" s="130"/>
      <c r="T35" s="130"/>
      <c r="U35" s="130"/>
      <c r="V35" s="130"/>
    </row>
    <row r="36" spans="1:22" x14ac:dyDescent="0.15">
      <c r="B36" s="38">
        <v>2</v>
      </c>
      <c r="L36" s="130"/>
      <c r="M36" s="130"/>
      <c r="N36" s="130"/>
      <c r="O36" s="130"/>
      <c r="P36" s="130"/>
      <c r="Q36" s="130"/>
      <c r="R36" s="130"/>
      <c r="S36" s="130"/>
      <c r="T36" s="130"/>
      <c r="U36" s="130"/>
      <c r="V36" s="130"/>
    </row>
    <row r="37" spans="1:22" x14ac:dyDescent="0.15">
      <c r="B37" s="38">
        <v>2.5</v>
      </c>
      <c r="L37" s="130"/>
      <c r="M37" s="130"/>
      <c r="N37" s="130"/>
      <c r="O37" s="130"/>
      <c r="P37" s="130"/>
      <c r="Q37" s="130"/>
      <c r="R37" s="130"/>
      <c r="S37" s="130"/>
      <c r="T37" s="130"/>
      <c r="U37" s="130"/>
      <c r="V37" s="130"/>
    </row>
    <row r="38" spans="1:22" ht="14" thickBot="1" x14ac:dyDescent="0.2">
      <c r="A38" s="49"/>
      <c r="B38" s="50">
        <v>3</v>
      </c>
      <c r="L38" s="130"/>
      <c r="M38" s="130"/>
      <c r="N38" s="130"/>
      <c r="O38" s="130"/>
      <c r="P38" s="130"/>
      <c r="Q38" s="130"/>
      <c r="R38" s="130"/>
      <c r="S38" s="130"/>
      <c r="T38" s="130"/>
      <c r="U38" s="130"/>
      <c r="V38" s="130"/>
    </row>
    <row r="39" spans="1:22" x14ac:dyDescent="0.15">
      <c r="L39" s="130"/>
      <c r="M39" s="130"/>
      <c r="N39" s="130"/>
      <c r="O39" s="130"/>
      <c r="P39" s="130"/>
      <c r="Q39" s="130"/>
      <c r="R39" s="130"/>
      <c r="S39" s="130"/>
      <c r="T39" s="130"/>
      <c r="U39" s="130"/>
      <c r="V39" s="130"/>
    </row>
    <row r="40" spans="1:22" x14ac:dyDescent="0.15">
      <c r="L40" s="130"/>
      <c r="M40" s="130"/>
      <c r="N40" s="130"/>
      <c r="O40" s="130"/>
      <c r="P40" s="130"/>
      <c r="Q40" s="130"/>
      <c r="R40" s="130"/>
      <c r="S40" s="130"/>
      <c r="T40" s="130"/>
      <c r="U40" s="130"/>
      <c r="V40" s="130"/>
    </row>
    <row r="41" spans="1:22" x14ac:dyDescent="0.15">
      <c r="L41" s="130" t="str">
        <f>A15</f>
        <v>Threat Assessment</v>
      </c>
      <c r="M41" s="130"/>
      <c r="N41" s="130"/>
      <c r="O41" s="130"/>
      <c r="P41" s="130"/>
      <c r="Q41" s="130"/>
      <c r="R41" s="130"/>
      <c r="S41" s="130"/>
      <c r="T41" s="130"/>
      <c r="U41" s="130"/>
      <c r="V41" s="130"/>
    </row>
    <row r="42" spans="1:22" x14ac:dyDescent="0.15">
      <c r="L42" s="130"/>
      <c r="M42" s="130"/>
      <c r="N42" s="130"/>
      <c r="O42" s="130"/>
      <c r="P42" s="130"/>
      <c r="Q42" s="130"/>
      <c r="R42" s="130"/>
      <c r="S42" s="130"/>
      <c r="T42" s="130"/>
      <c r="U42" s="130"/>
      <c r="V42" s="130"/>
    </row>
    <row r="43" spans="1:22" x14ac:dyDescent="0.15">
      <c r="L43" s="130"/>
      <c r="M43" s="130"/>
      <c r="N43" s="130"/>
      <c r="O43" s="130"/>
      <c r="P43" s="130"/>
      <c r="Q43" s="130"/>
      <c r="R43" s="130"/>
      <c r="S43" s="130"/>
      <c r="T43" s="130"/>
      <c r="U43" s="130"/>
      <c r="V43" s="130"/>
    </row>
    <row r="44" spans="1:22" x14ac:dyDescent="0.15">
      <c r="L44" s="130"/>
      <c r="M44" s="130"/>
      <c r="N44" s="130"/>
      <c r="O44" s="130"/>
      <c r="P44" s="130"/>
      <c r="Q44" s="130"/>
      <c r="R44" s="130"/>
      <c r="S44" s="130"/>
      <c r="T44" s="130"/>
      <c r="U44" s="130"/>
      <c r="V44" s="130"/>
    </row>
    <row r="45" spans="1:22" x14ac:dyDescent="0.15">
      <c r="L45" s="130"/>
      <c r="M45" s="130"/>
      <c r="N45" s="130"/>
      <c r="O45" s="130"/>
      <c r="P45" s="130"/>
      <c r="Q45" s="130"/>
      <c r="R45" s="130"/>
      <c r="S45" s="130"/>
      <c r="T45" s="130"/>
      <c r="U45" s="130"/>
      <c r="V45" s="130"/>
    </row>
    <row r="46" spans="1:22" x14ac:dyDescent="0.15">
      <c r="L46" s="130"/>
      <c r="M46" s="130"/>
      <c r="N46" s="130"/>
      <c r="O46" s="130"/>
      <c r="P46" s="130"/>
      <c r="Q46" s="130"/>
      <c r="R46" s="130"/>
      <c r="S46" s="130"/>
      <c r="T46" s="130"/>
      <c r="U46" s="130"/>
      <c r="V46" s="130"/>
    </row>
    <row r="47" spans="1:22" x14ac:dyDescent="0.15">
      <c r="L47" s="130"/>
      <c r="M47" s="130"/>
      <c r="N47" s="130"/>
      <c r="O47" s="130"/>
      <c r="P47" s="130"/>
      <c r="Q47" s="130"/>
      <c r="R47" s="130"/>
      <c r="S47" s="130"/>
      <c r="T47" s="130"/>
      <c r="U47" s="130"/>
      <c r="V47" s="130"/>
    </row>
    <row r="48" spans="1:22" x14ac:dyDescent="0.15">
      <c r="L48" s="130" t="str">
        <f>A16</f>
        <v>Security Requirements</v>
      </c>
      <c r="M48" s="130"/>
      <c r="N48" s="130"/>
      <c r="O48" s="130"/>
      <c r="P48" s="130"/>
      <c r="Q48" s="130"/>
      <c r="R48" s="130"/>
      <c r="S48" s="130"/>
      <c r="T48" s="130"/>
      <c r="U48" s="130"/>
      <c r="V48" s="130"/>
    </row>
    <row r="49" spans="12:22" x14ac:dyDescent="0.15">
      <c r="L49" s="130"/>
      <c r="M49" s="130"/>
      <c r="N49" s="130"/>
      <c r="O49" s="130"/>
      <c r="P49" s="130"/>
      <c r="Q49" s="130"/>
      <c r="R49" s="130"/>
      <c r="S49" s="130"/>
      <c r="T49" s="130"/>
      <c r="U49" s="130"/>
      <c r="V49" s="130"/>
    </row>
    <row r="50" spans="12:22" x14ac:dyDescent="0.15">
      <c r="L50" s="130"/>
      <c r="M50" s="130"/>
      <c r="N50" s="130"/>
      <c r="O50" s="130"/>
      <c r="P50" s="130"/>
      <c r="Q50" s="130"/>
      <c r="R50" s="130"/>
      <c r="S50" s="130"/>
      <c r="T50" s="130"/>
      <c r="U50" s="130"/>
      <c r="V50" s="130"/>
    </row>
    <row r="51" spans="12:22" x14ac:dyDescent="0.15">
      <c r="L51" s="130"/>
      <c r="M51" s="130"/>
      <c r="N51" s="130"/>
      <c r="O51" s="130"/>
      <c r="P51" s="130"/>
      <c r="Q51" s="130"/>
      <c r="R51" s="130"/>
      <c r="S51" s="130"/>
      <c r="T51" s="130"/>
      <c r="U51" s="130"/>
      <c r="V51" s="130"/>
    </row>
    <row r="52" spans="12:22" x14ac:dyDescent="0.15">
      <c r="L52" s="130"/>
      <c r="M52" s="130"/>
      <c r="N52" s="130"/>
      <c r="O52" s="130"/>
      <c r="P52" s="130"/>
      <c r="Q52" s="130"/>
      <c r="R52" s="130"/>
      <c r="S52" s="130"/>
      <c r="T52" s="130"/>
      <c r="U52" s="130"/>
      <c r="V52" s="130"/>
    </row>
    <row r="53" spans="12:22" x14ac:dyDescent="0.15">
      <c r="L53" s="130"/>
      <c r="M53" s="130"/>
      <c r="N53" s="130"/>
      <c r="O53" s="130"/>
      <c r="P53" s="130"/>
      <c r="Q53" s="130"/>
      <c r="R53" s="130"/>
      <c r="S53" s="130"/>
      <c r="T53" s="130"/>
      <c r="U53" s="130"/>
      <c r="V53" s="130"/>
    </row>
    <row r="54" spans="12:22" x14ac:dyDescent="0.15">
      <c r="L54" s="130"/>
      <c r="M54" s="130"/>
      <c r="N54" s="130"/>
      <c r="O54" s="130"/>
      <c r="P54" s="130"/>
      <c r="Q54" s="130"/>
      <c r="R54" s="130"/>
      <c r="S54" s="130"/>
      <c r="T54" s="130"/>
      <c r="U54" s="130"/>
      <c r="V54" s="130"/>
    </row>
    <row r="55" spans="12:22" x14ac:dyDescent="0.15">
      <c r="L55" s="130"/>
      <c r="M55" s="130"/>
      <c r="N55" s="130"/>
      <c r="O55" s="130"/>
      <c r="P55" s="130"/>
      <c r="Q55" s="130"/>
      <c r="R55" s="130"/>
      <c r="S55" s="130"/>
      <c r="T55" s="130"/>
      <c r="U55" s="130"/>
      <c r="V55" s="130"/>
    </row>
    <row r="56" spans="12:22" x14ac:dyDescent="0.15">
      <c r="L56" s="130" t="str">
        <f>A17</f>
        <v>Secure Architecture</v>
      </c>
    </row>
    <row r="63" spans="12:22" x14ac:dyDescent="0.15">
      <c r="L63" s="34" t="s">
        <v>209</v>
      </c>
    </row>
    <row r="70" spans="12:22" x14ac:dyDescent="0.15">
      <c r="L70" s="34" t="s">
        <v>219</v>
      </c>
    </row>
    <row r="77" spans="12:22" x14ac:dyDescent="0.15">
      <c r="L77" s="34" t="s">
        <v>230</v>
      </c>
    </row>
    <row r="80" spans="12:22" x14ac:dyDescent="0.15">
      <c r="M80" s="130"/>
      <c r="N80" s="130"/>
      <c r="O80" s="130"/>
      <c r="P80" s="130"/>
      <c r="Q80" s="130"/>
      <c r="R80" s="130"/>
      <c r="S80" s="130"/>
      <c r="T80" s="130"/>
      <c r="U80" s="130"/>
      <c r="V80" s="130"/>
    </row>
    <row r="81" spans="12:22" x14ac:dyDescent="0.15">
      <c r="L81" s="130"/>
      <c r="M81" s="130"/>
      <c r="N81" s="130"/>
      <c r="O81" s="130"/>
      <c r="P81" s="130"/>
      <c r="Q81" s="130"/>
      <c r="R81" s="130"/>
      <c r="S81" s="130"/>
      <c r="T81" s="130"/>
      <c r="U81" s="130"/>
      <c r="V81" s="130"/>
    </row>
    <row r="82" spans="12:22" x14ac:dyDescent="0.15">
      <c r="L82" s="130"/>
      <c r="M82" s="130"/>
      <c r="N82" s="130"/>
      <c r="O82" s="130"/>
      <c r="P82" s="130"/>
      <c r="Q82" s="130"/>
      <c r="R82" s="130"/>
      <c r="S82" s="130"/>
      <c r="T82" s="130"/>
      <c r="U82" s="130"/>
      <c r="V82" s="130"/>
    </row>
    <row r="83" spans="12:22" x14ac:dyDescent="0.15">
      <c r="L83" s="130"/>
      <c r="M83" s="130"/>
      <c r="N83" s="130"/>
      <c r="O83" s="130"/>
      <c r="P83" s="130"/>
      <c r="Q83" s="130"/>
      <c r="R83" s="130"/>
      <c r="S83" s="130"/>
      <c r="T83" s="130"/>
      <c r="U83" s="130"/>
      <c r="V83" s="130"/>
    </row>
    <row r="84" spans="12:22" x14ac:dyDescent="0.15">
      <c r="L84" s="130"/>
      <c r="M84" s="130"/>
      <c r="N84" s="130"/>
      <c r="O84" s="130"/>
      <c r="P84" s="130"/>
      <c r="Q84" s="130"/>
      <c r="R84" s="130"/>
      <c r="S84" s="130"/>
      <c r="T84" s="130"/>
      <c r="U84" s="130"/>
      <c r="V84" s="130"/>
    </row>
    <row r="85" spans="12:22" x14ac:dyDescent="0.15">
      <c r="L85" s="130"/>
      <c r="M85" s="130"/>
      <c r="N85" s="130"/>
      <c r="O85" s="130"/>
      <c r="P85" s="130"/>
      <c r="Q85" s="130"/>
      <c r="R85" s="130"/>
      <c r="S85" s="130"/>
      <c r="T85" s="130"/>
      <c r="U85" s="130"/>
      <c r="V85" s="130"/>
    </row>
    <row r="86" spans="12:22" x14ac:dyDescent="0.15">
      <c r="L86" s="130"/>
      <c r="M86" s="130"/>
      <c r="N86" s="130"/>
      <c r="O86" s="130"/>
      <c r="P86" s="130"/>
      <c r="Q86" s="130"/>
      <c r="R86" s="130"/>
      <c r="S86" s="130"/>
      <c r="T86" s="130"/>
      <c r="U86" s="130"/>
      <c r="V86" s="130"/>
    </row>
    <row r="87" spans="12:22" x14ac:dyDescent="0.15">
      <c r="L87" s="130"/>
      <c r="M87" s="130"/>
      <c r="N87" s="130"/>
      <c r="O87" s="130"/>
      <c r="P87" s="130"/>
      <c r="Q87" s="130"/>
      <c r="R87" s="130"/>
      <c r="S87" s="130"/>
      <c r="T87" s="130"/>
      <c r="U87" s="130"/>
      <c r="V87" s="130"/>
    </row>
    <row r="88" spans="12:22" x14ac:dyDescent="0.15">
      <c r="L88" s="130" t="str">
        <f>A21</f>
        <v>Architecture Assessment</v>
      </c>
      <c r="M88" s="130"/>
      <c r="N88" s="130"/>
      <c r="O88" s="130"/>
      <c r="P88" s="130"/>
      <c r="Q88" s="130"/>
      <c r="R88" s="130"/>
      <c r="S88" s="130"/>
      <c r="T88" s="130"/>
      <c r="U88" s="130"/>
      <c r="V88" s="130"/>
    </row>
    <row r="89" spans="12:22" x14ac:dyDescent="0.15">
      <c r="L89" s="130"/>
      <c r="M89" s="130"/>
      <c r="N89" s="130"/>
      <c r="O89" s="130"/>
      <c r="P89" s="130"/>
      <c r="Q89" s="130"/>
      <c r="R89" s="130"/>
      <c r="S89" s="130"/>
      <c r="T89" s="130"/>
      <c r="U89" s="130"/>
      <c r="V89" s="130"/>
    </row>
    <row r="90" spans="12:22" x14ac:dyDescent="0.15">
      <c r="L90" s="130"/>
      <c r="M90" s="130"/>
      <c r="N90" s="130"/>
      <c r="O90" s="130"/>
      <c r="P90" s="130"/>
      <c r="Q90" s="130"/>
      <c r="R90" s="130"/>
      <c r="S90" s="130"/>
      <c r="T90" s="130"/>
      <c r="U90" s="130"/>
      <c r="V90" s="130"/>
    </row>
    <row r="91" spans="12:22" x14ac:dyDescent="0.15">
      <c r="L91" s="130"/>
      <c r="M91" s="130"/>
      <c r="N91" s="130"/>
      <c r="O91" s="130"/>
      <c r="P91" s="130"/>
      <c r="Q91" s="130"/>
      <c r="R91" s="130"/>
      <c r="S91" s="130"/>
      <c r="T91" s="130"/>
      <c r="U91" s="130"/>
      <c r="V91" s="130"/>
    </row>
    <row r="92" spans="12:22" x14ac:dyDescent="0.15">
      <c r="L92" s="130"/>
      <c r="M92" s="130"/>
      <c r="N92" s="130"/>
      <c r="O92" s="130"/>
      <c r="P92" s="130"/>
      <c r="Q92" s="130"/>
      <c r="R92" s="130"/>
      <c r="S92" s="130"/>
      <c r="T92" s="130"/>
      <c r="U92" s="130"/>
      <c r="V92" s="130"/>
    </row>
    <row r="93" spans="12:22" x14ac:dyDescent="0.15">
      <c r="L93" s="130"/>
      <c r="M93" s="130"/>
      <c r="N93" s="130"/>
      <c r="O93" s="130"/>
      <c r="P93" s="130"/>
      <c r="Q93" s="130"/>
      <c r="R93" s="130"/>
      <c r="S93" s="130"/>
      <c r="T93" s="130"/>
      <c r="U93" s="130"/>
      <c r="V93" s="130"/>
    </row>
    <row r="94" spans="12:22" x14ac:dyDescent="0.15">
      <c r="L94" s="130"/>
      <c r="M94" s="130"/>
      <c r="N94" s="130"/>
      <c r="O94" s="130"/>
      <c r="P94" s="130"/>
      <c r="Q94" s="130"/>
      <c r="R94" s="130"/>
      <c r="S94" s="130"/>
      <c r="T94" s="130"/>
      <c r="U94" s="130"/>
      <c r="V94" s="130"/>
    </row>
    <row r="95" spans="12:22" x14ac:dyDescent="0.15">
      <c r="L95" s="130"/>
      <c r="M95" s="130"/>
      <c r="N95" s="130"/>
      <c r="O95" s="130"/>
      <c r="P95" s="130"/>
      <c r="Q95" s="130"/>
      <c r="R95" s="130"/>
      <c r="S95" s="130"/>
      <c r="T95" s="130"/>
      <c r="U95" s="130"/>
      <c r="V95" s="130"/>
    </row>
    <row r="96" spans="12:22" x14ac:dyDescent="0.15">
      <c r="L96" s="130" t="str">
        <f>A22</f>
        <v>Requirements Testing</v>
      </c>
      <c r="M96" s="130"/>
      <c r="N96" s="130"/>
      <c r="O96" s="130"/>
      <c r="P96" s="130"/>
      <c r="Q96" s="130"/>
      <c r="R96" s="130"/>
      <c r="S96" s="130"/>
      <c r="T96" s="130"/>
      <c r="U96" s="130"/>
      <c r="V96" s="130"/>
    </row>
    <row r="97" spans="12:22" x14ac:dyDescent="0.15">
      <c r="L97" s="130"/>
      <c r="M97" s="130"/>
      <c r="N97" s="130"/>
      <c r="O97" s="130"/>
      <c r="P97" s="130"/>
      <c r="Q97" s="130"/>
      <c r="R97" s="130"/>
      <c r="S97" s="130"/>
      <c r="T97" s="130"/>
      <c r="U97" s="130"/>
      <c r="V97" s="130"/>
    </row>
    <row r="98" spans="12:22" x14ac:dyDescent="0.15">
      <c r="L98" s="130"/>
      <c r="M98" s="130"/>
      <c r="N98" s="130"/>
      <c r="O98" s="130"/>
      <c r="P98" s="130"/>
      <c r="Q98" s="130"/>
      <c r="R98" s="130"/>
      <c r="S98" s="130"/>
      <c r="T98" s="130"/>
      <c r="U98" s="130"/>
      <c r="V98" s="130"/>
    </row>
    <row r="99" spans="12:22" x14ac:dyDescent="0.15">
      <c r="L99" s="130"/>
      <c r="M99" s="130"/>
      <c r="N99" s="130"/>
      <c r="O99" s="130"/>
      <c r="P99" s="130"/>
      <c r="Q99" s="130"/>
      <c r="R99" s="130"/>
      <c r="S99" s="130"/>
      <c r="T99" s="130"/>
      <c r="U99" s="130"/>
      <c r="V99" s="130"/>
    </row>
    <row r="100" spans="12:22" x14ac:dyDescent="0.15">
      <c r="L100" s="130"/>
      <c r="M100" s="130"/>
      <c r="N100" s="130"/>
      <c r="O100" s="130"/>
      <c r="P100" s="130"/>
      <c r="Q100" s="130"/>
      <c r="R100" s="130"/>
      <c r="S100" s="130"/>
      <c r="T100" s="130"/>
      <c r="U100" s="130"/>
      <c r="V100" s="130"/>
    </row>
    <row r="101" spans="12:22" x14ac:dyDescent="0.15">
      <c r="L101" s="130"/>
      <c r="M101" s="130"/>
      <c r="N101" s="130"/>
      <c r="O101" s="130"/>
      <c r="P101" s="130"/>
      <c r="Q101" s="130"/>
      <c r="R101" s="130"/>
      <c r="S101" s="130"/>
      <c r="T101" s="130"/>
      <c r="U101" s="130"/>
      <c r="V101" s="130"/>
    </row>
    <row r="102" spans="12:22" x14ac:dyDescent="0.15">
      <c r="L102" s="130"/>
      <c r="M102" s="130"/>
      <c r="N102" s="130"/>
      <c r="O102" s="130"/>
      <c r="P102" s="130"/>
      <c r="Q102" s="130"/>
      <c r="R102" s="130"/>
      <c r="S102" s="130"/>
      <c r="T102" s="130"/>
      <c r="U102" s="130"/>
      <c r="V102" s="130"/>
    </row>
    <row r="103" spans="12:22" x14ac:dyDescent="0.15">
      <c r="L103" s="130"/>
      <c r="M103" s="130"/>
      <c r="N103" s="130"/>
      <c r="O103" s="130"/>
      <c r="P103" s="130"/>
      <c r="Q103" s="130"/>
      <c r="R103" s="130"/>
      <c r="S103" s="130"/>
      <c r="T103" s="130"/>
      <c r="U103" s="130"/>
      <c r="V103" s="130"/>
    </row>
    <row r="104" spans="12:22" x14ac:dyDescent="0.15">
      <c r="L104" s="130" t="str">
        <f>A23</f>
        <v>Security Testing</v>
      </c>
      <c r="M104" s="130"/>
      <c r="N104" s="130"/>
      <c r="O104" s="130"/>
      <c r="P104" s="130"/>
      <c r="Q104" s="130"/>
      <c r="R104" s="130"/>
      <c r="S104" s="130"/>
      <c r="T104" s="130"/>
      <c r="U104" s="130"/>
      <c r="V104" s="130"/>
    </row>
    <row r="105" spans="12:22" x14ac:dyDescent="0.15">
      <c r="L105" s="130"/>
      <c r="M105" s="130"/>
      <c r="N105" s="130"/>
      <c r="O105" s="130"/>
      <c r="P105" s="130"/>
      <c r="Q105" s="130"/>
      <c r="R105" s="130"/>
      <c r="S105" s="130"/>
      <c r="T105" s="130"/>
      <c r="U105" s="130"/>
      <c r="V105" s="130"/>
    </row>
    <row r="106" spans="12:22" x14ac:dyDescent="0.15">
      <c r="L106" s="130"/>
      <c r="M106" s="130"/>
      <c r="N106" s="130"/>
      <c r="O106" s="130"/>
      <c r="P106" s="130"/>
      <c r="Q106" s="130"/>
      <c r="R106" s="130"/>
      <c r="S106" s="130"/>
      <c r="T106" s="130"/>
      <c r="U106" s="130"/>
      <c r="V106" s="130"/>
    </row>
    <row r="107" spans="12:22" x14ac:dyDescent="0.15">
      <c r="L107" s="130"/>
      <c r="M107" s="130"/>
      <c r="N107" s="130"/>
      <c r="O107" s="130"/>
      <c r="P107" s="130"/>
      <c r="Q107" s="130"/>
      <c r="R107" s="130"/>
      <c r="S107" s="130"/>
      <c r="T107" s="130"/>
      <c r="U107" s="130"/>
      <c r="V107" s="130"/>
    </row>
    <row r="108" spans="12:22" x14ac:dyDescent="0.15">
      <c r="L108" s="130"/>
      <c r="M108" s="130"/>
      <c r="N108" s="130"/>
      <c r="O108" s="130"/>
      <c r="P108" s="130"/>
      <c r="Q108" s="130"/>
      <c r="R108" s="130"/>
      <c r="S108" s="130"/>
      <c r="T108" s="130"/>
      <c r="U108" s="130"/>
      <c r="V108" s="130"/>
    </row>
    <row r="109" spans="12:22" x14ac:dyDescent="0.15">
      <c r="L109" s="130"/>
      <c r="M109" s="130"/>
      <c r="N109" s="130"/>
      <c r="O109" s="130"/>
      <c r="P109" s="130"/>
      <c r="Q109" s="130"/>
      <c r="R109" s="130"/>
      <c r="S109" s="130"/>
      <c r="T109" s="130"/>
      <c r="U109" s="130"/>
      <c r="V109" s="130"/>
    </row>
    <row r="110" spans="12:22" x14ac:dyDescent="0.15">
      <c r="L110" s="130"/>
      <c r="M110" s="130"/>
      <c r="N110" s="130"/>
      <c r="O110" s="130"/>
      <c r="P110" s="130"/>
      <c r="Q110" s="130"/>
      <c r="R110" s="130"/>
      <c r="S110" s="130"/>
      <c r="T110" s="130"/>
      <c r="U110" s="130"/>
      <c r="V110" s="130"/>
    </row>
    <row r="111" spans="12:22" x14ac:dyDescent="0.15">
      <c r="L111" s="130"/>
      <c r="M111" s="130"/>
      <c r="N111" s="130"/>
      <c r="O111" s="130"/>
      <c r="P111" s="130"/>
      <c r="Q111" s="130"/>
      <c r="R111" s="130"/>
      <c r="S111" s="130"/>
      <c r="T111" s="130"/>
      <c r="U111" s="130"/>
      <c r="V111" s="130"/>
    </row>
    <row r="112" spans="12:22" x14ac:dyDescent="0.15">
      <c r="L112" s="130" t="str">
        <f>A24</f>
        <v>Incident Management</v>
      </c>
      <c r="M112" s="130"/>
      <c r="N112" s="130"/>
      <c r="O112" s="130"/>
      <c r="P112" s="130"/>
      <c r="Q112" s="130"/>
      <c r="R112" s="130"/>
      <c r="S112" s="130"/>
      <c r="T112" s="130"/>
      <c r="U112" s="130"/>
      <c r="V112" s="130"/>
    </row>
    <row r="113" spans="12:22" x14ac:dyDescent="0.15">
      <c r="L113" s="130"/>
      <c r="M113" s="130"/>
      <c r="N113" s="130"/>
      <c r="O113" s="130"/>
      <c r="P113" s="130"/>
      <c r="Q113" s="130"/>
      <c r="R113" s="130"/>
      <c r="S113" s="130"/>
      <c r="T113" s="130"/>
      <c r="U113" s="130"/>
      <c r="V113" s="130"/>
    </row>
    <row r="114" spans="12:22" x14ac:dyDescent="0.15">
      <c r="L114" s="130"/>
      <c r="M114" s="130"/>
      <c r="N114" s="130"/>
      <c r="O114" s="130"/>
      <c r="P114" s="130"/>
      <c r="Q114" s="130"/>
      <c r="R114" s="130"/>
      <c r="S114" s="130"/>
      <c r="T114" s="130"/>
      <c r="U114" s="130"/>
      <c r="V114" s="130"/>
    </row>
    <row r="115" spans="12:22" x14ac:dyDescent="0.15">
      <c r="L115" s="130"/>
      <c r="M115" s="130"/>
      <c r="N115" s="130"/>
      <c r="O115" s="130"/>
      <c r="P115" s="130"/>
      <c r="Q115" s="130"/>
      <c r="R115" s="130"/>
      <c r="S115" s="130"/>
      <c r="T115" s="130"/>
      <c r="U115" s="130"/>
      <c r="V115" s="130"/>
    </row>
    <row r="116" spans="12:22" x14ac:dyDescent="0.15">
      <c r="L116" s="130"/>
      <c r="M116" s="130"/>
      <c r="N116" s="130"/>
      <c r="O116" s="130"/>
      <c r="P116" s="130"/>
      <c r="Q116" s="130"/>
      <c r="R116" s="130"/>
      <c r="S116" s="130"/>
      <c r="T116" s="130"/>
      <c r="U116" s="130"/>
      <c r="V116" s="130"/>
    </row>
    <row r="117" spans="12:22" x14ac:dyDescent="0.15">
      <c r="L117" s="130"/>
      <c r="M117" s="130"/>
      <c r="N117" s="130"/>
      <c r="O117" s="130"/>
      <c r="P117" s="130"/>
      <c r="Q117" s="130"/>
      <c r="R117" s="130"/>
      <c r="S117" s="130"/>
      <c r="T117" s="130"/>
      <c r="U117" s="130"/>
      <c r="V117" s="130"/>
    </row>
    <row r="118" spans="12:22" x14ac:dyDescent="0.15">
      <c r="L118" s="130"/>
      <c r="M118" s="130"/>
      <c r="N118" s="130"/>
      <c r="O118" s="130"/>
      <c r="P118" s="130"/>
      <c r="Q118" s="130"/>
      <c r="R118" s="130"/>
      <c r="S118" s="130"/>
      <c r="T118" s="130"/>
      <c r="U118" s="130"/>
      <c r="V118" s="130"/>
    </row>
    <row r="119" spans="12:22" x14ac:dyDescent="0.15">
      <c r="L119" s="130"/>
      <c r="M119" s="130"/>
      <c r="N119" s="130"/>
      <c r="O119" s="130"/>
      <c r="P119" s="130"/>
      <c r="Q119" s="130"/>
      <c r="R119" s="130"/>
      <c r="S119" s="130"/>
      <c r="T119" s="130"/>
      <c r="U119" s="130"/>
      <c r="V119" s="130"/>
    </row>
    <row r="120" spans="12:22" x14ac:dyDescent="0.15">
      <c r="L120" s="130" t="str">
        <f>A25</f>
        <v>Environment Management</v>
      </c>
      <c r="M120" s="130"/>
      <c r="N120" s="130"/>
      <c r="O120" s="130"/>
      <c r="P120" s="130"/>
      <c r="Q120" s="130"/>
      <c r="R120" s="130"/>
      <c r="S120" s="130"/>
      <c r="T120" s="130"/>
      <c r="U120" s="130"/>
      <c r="V120" s="130"/>
    </row>
    <row r="121" spans="12:22" x14ac:dyDescent="0.15">
      <c r="L121" s="130"/>
      <c r="M121" s="130"/>
      <c r="N121" s="130"/>
      <c r="O121" s="130"/>
      <c r="P121" s="130"/>
      <c r="Q121" s="130"/>
      <c r="R121" s="130"/>
      <c r="S121" s="130"/>
      <c r="T121" s="130"/>
      <c r="U121" s="130"/>
      <c r="V121" s="130"/>
    </row>
    <row r="122" spans="12:22" x14ac:dyDescent="0.15">
      <c r="L122" s="130"/>
      <c r="M122" s="130"/>
      <c r="N122" s="130"/>
      <c r="O122" s="130"/>
      <c r="P122" s="130"/>
      <c r="Q122" s="130"/>
      <c r="R122" s="130"/>
      <c r="S122" s="130"/>
      <c r="T122" s="130"/>
      <c r="U122" s="130"/>
      <c r="V122" s="130"/>
    </row>
    <row r="123" spans="12:22" x14ac:dyDescent="0.15">
      <c r="L123" s="130"/>
      <c r="M123" s="130"/>
      <c r="N123" s="130"/>
      <c r="O123" s="130"/>
      <c r="P123" s="130"/>
      <c r="Q123" s="130"/>
      <c r="R123" s="130"/>
      <c r="S123" s="130"/>
      <c r="T123" s="130"/>
      <c r="U123" s="130"/>
      <c r="V123" s="130"/>
    </row>
    <row r="124" spans="12:22" x14ac:dyDescent="0.15">
      <c r="L124" s="130"/>
      <c r="M124" s="130"/>
      <c r="N124" s="130"/>
      <c r="O124" s="130"/>
      <c r="P124" s="130"/>
      <c r="Q124" s="130"/>
      <c r="R124" s="130"/>
      <c r="S124" s="130"/>
      <c r="T124" s="130"/>
      <c r="U124" s="130"/>
      <c r="V124" s="130"/>
    </row>
    <row r="125" spans="12:22" x14ac:dyDescent="0.15">
      <c r="L125" s="130"/>
      <c r="M125" s="130"/>
      <c r="N125" s="130"/>
      <c r="O125" s="130"/>
      <c r="P125" s="130"/>
      <c r="Q125" s="130"/>
      <c r="R125" s="130"/>
      <c r="S125" s="130"/>
      <c r="T125" s="130"/>
      <c r="U125" s="130"/>
      <c r="V125" s="130"/>
    </row>
    <row r="126" spans="12:22" x14ac:dyDescent="0.15">
      <c r="L126" s="130"/>
      <c r="M126" s="130"/>
      <c r="N126" s="130"/>
      <c r="O126" s="130"/>
      <c r="P126" s="130"/>
      <c r="Q126" s="130"/>
      <c r="R126" s="130"/>
      <c r="S126" s="130"/>
      <c r="T126" s="130"/>
      <c r="U126" s="130"/>
      <c r="V126" s="130"/>
    </row>
    <row r="127" spans="12:22" x14ac:dyDescent="0.15">
      <c r="L127" s="130"/>
      <c r="M127" s="130"/>
      <c r="N127" s="130"/>
      <c r="O127" s="130"/>
      <c r="P127" s="130"/>
      <c r="Q127" s="130"/>
      <c r="R127" s="130"/>
      <c r="S127" s="130"/>
      <c r="T127" s="130"/>
      <c r="U127" s="130"/>
      <c r="V127" s="130"/>
    </row>
    <row r="128" spans="12:22" x14ac:dyDescent="0.15">
      <c r="L128" s="130" t="str">
        <f>A26</f>
        <v>Operational Management</v>
      </c>
      <c r="M128" s="130"/>
      <c r="N128" s="130"/>
      <c r="O128" s="130"/>
      <c r="P128" s="130"/>
      <c r="Q128" s="130"/>
      <c r="R128" s="130"/>
      <c r="S128" s="130"/>
      <c r="T128" s="130"/>
      <c r="U128" s="130"/>
      <c r="V128" s="130"/>
    </row>
    <row r="129" spans="12:22" x14ac:dyDescent="0.15">
      <c r="L129" s="130"/>
      <c r="M129" s="130"/>
      <c r="N129" s="130"/>
      <c r="O129" s="130"/>
      <c r="P129" s="130"/>
      <c r="Q129" s="130"/>
      <c r="R129" s="130"/>
      <c r="S129" s="130"/>
      <c r="T129" s="130"/>
      <c r="U129" s="130"/>
      <c r="V129" s="130"/>
    </row>
    <row r="130" spans="12:22" x14ac:dyDescent="0.15">
      <c r="L130" s="130"/>
      <c r="M130" s="130"/>
      <c r="N130" s="130"/>
      <c r="O130" s="130"/>
      <c r="P130" s="130"/>
      <c r="Q130" s="130"/>
      <c r="R130" s="130"/>
      <c r="S130" s="130"/>
      <c r="T130" s="130"/>
      <c r="U130" s="130"/>
      <c r="V130" s="130"/>
    </row>
    <row r="131" spans="12:22" x14ac:dyDescent="0.15">
      <c r="L131" s="130"/>
      <c r="M131" s="130"/>
      <c r="N131" s="130"/>
      <c r="O131" s="130"/>
      <c r="P131" s="130"/>
      <c r="Q131" s="130"/>
      <c r="R131" s="130"/>
      <c r="S131" s="130"/>
      <c r="T131" s="130"/>
      <c r="U131" s="130"/>
      <c r="V131" s="130"/>
    </row>
    <row r="132" spans="12:22" ht="14" thickBot="1" x14ac:dyDescent="0.2">
      <c r="L132" s="130"/>
      <c r="M132" s="131"/>
      <c r="N132" s="131"/>
      <c r="O132" s="131"/>
      <c r="P132" s="131"/>
      <c r="Q132" s="131"/>
      <c r="R132" s="131"/>
      <c r="S132" s="131"/>
      <c r="T132" s="131"/>
      <c r="U132" s="131"/>
      <c r="V132" s="131"/>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2" customWidth="1"/>
    <col min="10" max="10" width="35.1640625" customWidth="1"/>
    <col min="15" max="15" width="21.83203125" customWidth="1"/>
    <col min="16" max="16" width="29.1640625" customWidth="1"/>
  </cols>
  <sheetData>
    <row r="1" spans="1:17" ht="66" customHeight="1" thickBot="1" x14ac:dyDescent="0.3">
      <c r="A1" s="589" t="s">
        <v>98</v>
      </c>
      <c r="B1" s="590"/>
      <c r="C1" s="590"/>
      <c r="D1" s="590"/>
      <c r="E1" s="590"/>
      <c r="F1" s="590"/>
      <c r="G1" s="590"/>
      <c r="H1" s="590"/>
      <c r="I1" s="590"/>
      <c r="J1" s="590"/>
      <c r="K1" s="591"/>
      <c r="M1" s="168" t="str">
        <f>IF(M2=M3,"OK","Problem")</f>
        <v>OK</v>
      </c>
    </row>
    <row r="2" spans="1:17" x14ac:dyDescent="0.15">
      <c r="M2">
        <f>COUNTA(M4:M200)</f>
        <v>25</v>
      </c>
    </row>
    <row r="3" spans="1:17" x14ac:dyDescent="0.15">
      <c r="A3" s="28" t="s">
        <v>31</v>
      </c>
      <c r="B3" s="27"/>
      <c r="C3" s="661" t="s">
        <v>32</v>
      </c>
      <c r="D3" s="661"/>
      <c r="E3" s="661"/>
      <c r="F3" s="27"/>
      <c r="G3" s="27"/>
      <c r="H3" s="27"/>
      <c r="I3" s="26"/>
      <c r="M3">
        <f>COUNTA('imp-answers'!A2:A200)</f>
        <v>25</v>
      </c>
    </row>
    <row r="4" spans="1:17" x14ac:dyDescent="0.15">
      <c r="A4" s="29" t="s">
        <v>30</v>
      </c>
      <c r="C4" s="30">
        <v>3</v>
      </c>
      <c r="D4" s="30">
        <v>3</v>
      </c>
      <c r="E4" s="30">
        <v>3</v>
      </c>
      <c r="F4" s="30">
        <v>6</v>
      </c>
      <c r="G4" s="103"/>
      <c r="H4" s="659" t="s">
        <v>67</v>
      </c>
      <c r="I4" s="104">
        <v>1</v>
      </c>
      <c r="J4" t="s">
        <v>27</v>
      </c>
      <c r="K4">
        <v>0</v>
      </c>
      <c r="M4" s="659" t="str">
        <f>CHAR(65+N4)</f>
        <v>A</v>
      </c>
      <c r="N4" s="659">
        <v>0</v>
      </c>
      <c r="O4" s="104"/>
      <c r="P4" s="141" t="str">
        <f>VLOOKUP(N4,'imp-answers'!$A$2:$I$50,2,FALSE)</f>
        <v>No</v>
      </c>
      <c r="Q4" s="141">
        <f>VLOOKUP(N4,'imp-answers'!$A$2:$I$50,6,FALSE)</f>
        <v>0</v>
      </c>
    </row>
    <row r="5" spans="1:17" x14ac:dyDescent="0.15">
      <c r="A5" s="29" t="s">
        <v>27</v>
      </c>
      <c r="B5" s="13"/>
      <c r="C5" s="30">
        <v>2.0099999999999998</v>
      </c>
      <c r="D5" s="30">
        <v>2.99</v>
      </c>
      <c r="E5" s="31" t="s">
        <v>4</v>
      </c>
      <c r="F5" s="32">
        <v>5</v>
      </c>
      <c r="G5" s="22"/>
      <c r="H5" s="659"/>
      <c r="I5" s="99"/>
      <c r="J5" t="s">
        <v>56</v>
      </c>
      <c r="K5">
        <v>0.2</v>
      </c>
      <c r="M5" s="660"/>
      <c r="N5" s="660"/>
      <c r="O5" s="99"/>
      <c r="P5" s="141" t="str">
        <f>VLOOKUP(N4,'imp-answers'!$A$2:$I$50,3,FALSE)</f>
        <v>Yes, some content</v>
      </c>
      <c r="Q5" s="141">
        <f>VLOOKUP(N4,'imp-answers'!$A$2:$I$50,7,FALSE)</f>
        <v>0.25</v>
      </c>
    </row>
    <row r="6" spans="1:17" x14ac:dyDescent="0.15">
      <c r="C6" s="30">
        <v>2</v>
      </c>
      <c r="D6" s="30">
        <v>2</v>
      </c>
      <c r="E6" s="30">
        <v>2</v>
      </c>
      <c r="F6" s="30">
        <v>4</v>
      </c>
      <c r="G6" s="103"/>
      <c r="H6" s="659"/>
      <c r="I6" s="101"/>
      <c r="J6" t="s">
        <v>87</v>
      </c>
      <c r="K6">
        <v>0.5</v>
      </c>
      <c r="M6" s="660"/>
      <c r="N6" s="660"/>
      <c r="O6" s="139"/>
      <c r="P6" s="141" t="str">
        <f>VLOOKUP(N4,'imp-answers'!$A$2:$I$50,4,FALSE)</f>
        <v>Yes, at least half of the content</v>
      </c>
      <c r="Q6" s="141">
        <f>VLOOKUP(N4,'imp-answers'!$A$2:$I$50,8,FALSE)</f>
        <v>0.5</v>
      </c>
    </row>
    <row r="7" spans="1:17" x14ac:dyDescent="0.15">
      <c r="C7" s="30">
        <v>1.01</v>
      </c>
      <c r="D7" s="30">
        <v>1.99</v>
      </c>
      <c r="E7" s="31" t="s">
        <v>3</v>
      </c>
      <c r="F7" s="32">
        <v>3</v>
      </c>
      <c r="G7" s="22"/>
      <c r="H7" s="659"/>
      <c r="I7" s="102">
        <v>2</v>
      </c>
      <c r="J7" t="s">
        <v>88</v>
      </c>
      <c r="K7">
        <v>1</v>
      </c>
      <c r="M7" s="660"/>
      <c r="N7" s="660"/>
      <c r="O7" s="101"/>
      <c r="P7" s="141" t="str">
        <f>VLOOKUP(N4,'imp-answers'!$A$2:$I$50,5,FALSE)</f>
        <v>Yes, most or all of the content</v>
      </c>
      <c r="Q7" s="141">
        <f>VLOOKUP(N4,'imp-answers'!$A$2:$I$50,9,FALSE)</f>
        <v>1</v>
      </c>
    </row>
    <row r="8" spans="1:17" x14ac:dyDescent="0.15">
      <c r="C8" s="30">
        <v>1</v>
      </c>
      <c r="D8" s="30">
        <v>1</v>
      </c>
      <c r="E8" s="30">
        <v>1</v>
      </c>
      <c r="F8" s="30">
        <v>2</v>
      </c>
      <c r="G8" s="103"/>
      <c r="M8" s="660"/>
      <c r="N8" s="660"/>
      <c r="O8" s="138"/>
    </row>
    <row r="9" spans="1:17" x14ac:dyDescent="0.15">
      <c r="C9" s="30">
        <v>0.01</v>
      </c>
      <c r="D9" s="30">
        <v>0.99</v>
      </c>
      <c r="E9" s="31" t="s">
        <v>2</v>
      </c>
      <c r="F9" s="32">
        <v>1</v>
      </c>
      <c r="G9" s="22"/>
      <c r="H9" s="659" t="s">
        <v>68</v>
      </c>
      <c r="I9" s="100" t="s">
        <v>62</v>
      </c>
      <c r="J9" t="s">
        <v>27</v>
      </c>
      <c r="K9">
        <v>0</v>
      </c>
    </row>
    <row r="10" spans="1:17" x14ac:dyDescent="0.15">
      <c r="C10" s="30">
        <v>0</v>
      </c>
      <c r="D10" s="30">
        <v>0</v>
      </c>
      <c r="E10" s="30">
        <v>0</v>
      </c>
      <c r="F10" s="30">
        <v>0</v>
      </c>
      <c r="G10" s="103"/>
      <c r="H10" s="659"/>
      <c r="I10" s="99">
        <v>5</v>
      </c>
      <c r="J10" t="s">
        <v>57</v>
      </c>
      <c r="K10">
        <v>0.2</v>
      </c>
      <c r="M10" s="659" t="str">
        <f>CHAR(65+N10)</f>
        <v>B</v>
      </c>
      <c r="N10" s="659">
        <v>1</v>
      </c>
      <c r="O10" s="104"/>
      <c r="P10" s="141" t="str">
        <f>VLOOKUP(N10,'imp-answers'!$A$2:$I$50,2,FALSE)</f>
        <v>No</v>
      </c>
      <c r="Q10" s="141">
        <f>VLOOKUP(N10,'imp-answers'!$A$2:$I$50,6,FALSE)</f>
        <v>0</v>
      </c>
    </row>
    <row r="11" spans="1:17" x14ac:dyDescent="0.15">
      <c r="H11" s="659"/>
      <c r="I11" s="101" t="s">
        <v>81</v>
      </c>
      <c r="J11" t="s">
        <v>79</v>
      </c>
      <c r="K11">
        <v>0.5</v>
      </c>
      <c r="M11" s="660"/>
      <c r="N11" s="660"/>
      <c r="O11" s="99"/>
      <c r="P11" s="141" t="str">
        <f>VLOOKUP(N10,'imp-answers'!$A$2:$I$50,3,FALSE)</f>
        <v>Yes, for some of the metrics</v>
      </c>
      <c r="Q11" s="141">
        <f>VLOOKUP(N10,'imp-answers'!$A$2:$I$50,7,FALSE)</f>
        <v>0.25</v>
      </c>
    </row>
    <row r="12" spans="1:17" x14ac:dyDescent="0.15">
      <c r="H12" s="659"/>
      <c r="I12" s="102" t="s">
        <v>84</v>
      </c>
      <c r="J12" t="s">
        <v>58</v>
      </c>
      <c r="K12">
        <v>1</v>
      </c>
      <c r="M12" s="660"/>
      <c r="N12" s="660"/>
      <c r="O12" s="139"/>
      <c r="P12" s="141" t="str">
        <f>VLOOKUP(N10,'imp-answers'!$A$2:$I$50,4,FALSE)</f>
        <v>Yes, for at least half of the metrics</v>
      </c>
      <c r="Q12" s="141">
        <f>VLOOKUP(N10,'imp-answers'!$A$2:$I$50,8,FALSE)</f>
        <v>0.5</v>
      </c>
    </row>
    <row r="13" spans="1:17" x14ac:dyDescent="0.15">
      <c r="M13" s="660"/>
      <c r="N13" s="660"/>
      <c r="O13" s="101"/>
      <c r="P13" s="141" t="str">
        <f>VLOOKUP(N10,'imp-answers'!$A$2:$I$50,5,FALSE)</f>
        <v>Yes, for most or all of the metrics</v>
      </c>
      <c r="Q13" s="141">
        <f>VLOOKUP(N10,'imp-answers'!$A$2:$I$50,9,FALSE)</f>
        <v>1</v>
      </c>
    </row>
    <row r="14" spans="1:17" x14ac:dyDescent="0.15">
      <c r="H14" s="659" t="s">
        <v>69</v>
      </c>
      <c r="I14" s="100" t="s">
        <v>115</v>
      </c>
      <c r="J14" t="s">
        <v>27</v>
      </c>
      <c r="K14">
        <v>0</v>
      </c>
      <c r="M14" s="660"/>
      <c r="N14" s="660"/>
      <c r="O14" s="138"/>
    </row>
    <row r="15" spans="1:17" x14ac:dyDescent="0.15">
      <c r="H15" s="659"/>
      <c r="I15" s="99" t="s">
        <v>109</v>
      </c>
      <c r="J15" t="s">
        <v>110</v>
      </c>
      <c r="K15">
        <v>0.2</v>
      </c>
    </row>
    <row r="16" spans="1:17" x14ac:dyDescent="0.15">
      <c r="H16" s="659"/>
      <c r="I16" s="101" t="s">
        <v>82</v>
      </c>
      <c r="J16" t="s">
        <v>111</v>
      </c>
      <c r="K16">
        <v>0.5</v>
      </c>
      <c r="M16" s="659" t="str">
        <f>CHAR(65+N16)</f>
        <v>C</v>
      </c>
      <c r="N16" s="659">
        <v>2</v>
      </c>
      <c r="O16" s="104"/>
      <c r="P16" s="141" t="str">
        <f>VLOOKUP(N16,'imp-answers'!$A$2:$I$50,2,FALSE)</f>
        <v>No</v>
      </c>
      <c r="Q16" s="141">
        <f>VLOOKUP(N16,'imp-answers'!$A$2:$I$50,6,FALSE)</f>
        <v>0</v>
      </c>
    </row>
    <row r="17" spans="8:17" x14ac:dyDescent="0.15">
      <c r="H17" s="659"/>
      <c r="I17" s="102" t="s">
        <v>113</v>
      </c>
      <c r="J17" t="s">
        <v>112</v>
      </c>
      <c r="K17">
        <v>1</v>
      </c>
      <c r="M17" s="660"/>
      <c r="N17" s="660"/>
      <c r="O17" s="99"/>
      <c r="P17" s="141" t="str">
        <f>VLOOKUP(N16,'imp-answers'!$A$2:$I$50,3,FALSE)</f>
        <v>Yes, some of them</v>
      </c>
      <c r="Q17" s="141">
        <f>VLOOKUP(N16,'imp-answers'!$A$2:$I$50,7,FALSE)</f>
        <v>0.25</v>
      </c>
    </row>
    <row r="18" spans="8:17" x14ac:dyDescent="0.15">
      <c r="M18" s="660"/>
      <c r="N18" s="660"/>
      <c r="O18" s="139"/>
      <c r="P18" s="141" t="str">
        <f>VLOOKUP(N16,'imp-answers'!$A$2:$I$50,4,FALSE)</f>
        <v>Yes, at least half of them</v>
      </c>
      <c r="Q18" s="141">
        <f>VLOOKUP(N16,'imp-answers'!$A$2:$I$50,8,FALSE)</f>
        <v>0.5</v>
      </c>
    </row>
    <row r="19" spans="8:17" x14ac:dyDescent="0.15">
      <c r="H19" s="659" t="s">
        <v>70</v>
      </c>
      <c r="I19" s="100" t="s">
        <v>66</v>
      </c>
      <c r="J19" t="s">
        <v>27</v>
      </c>
      <c r="K19">
        <v>0</v>
      </c>
      <c r="M19" s="660"/>
      <c r="N19" s="660"/>
      <c r="O19" s="101"/>
      <c r="P19" s="141" t="str">
        <f>VLOOKUP(N16,'imp-answers'!$A$2:$I$50,5,FALSE)</f>
        <v>Yes, most or all of them</v>
      </c>
      <c r="Q19" s="141">
        <f>VLOOKUP(N16,'imp-answers'!$A$2:$I$50,9,FALSE)</f>
        <v>1</v>
      </c>
    </row>
    <row r="20" spans="8:17" x14ac:dyDescent="0.15">
      <c r="H20" s="659"/>
      <c r="I20" s="99">
        <v>13</v>
      </c>
      <c r="J20" t="s">
        <v>59</v>
      </c>
      <c r="K20">
        <v>0.2</v>
      </c>
      <c r="M20" s="660"/>
      <c r="N20" s="660"/>
      <c r="O20" s="138"/>
    </row>
    <row r="21" spans="8:17" x14ac:dyDescent="0.15">
      <c r="H21" s="659"/>
      <c r="I21" s="101"/>
      <c r="J21" t="s">
        <v>60</v>
      </c>
      <c r="K21">
        <v>0.5</v>
      </c>
    </row>
    <row r="22" spans="8:17" x14ac:dyDescent="0.15">
      <c r="H22" s="659"/>
      <c r="I22" s="102">
        <v>18</v>
      </c>
      <c r="J22" t="s">
        <v>61</v>
      </c>
      <c r="K22">
        <v>1</v>
      </c>
      <c r="M22" s="659" t="str">
        <f>CHAR(65+N22)</f>
        <v>D</v>
      </c>
      <c r="N22" s="659">
        <v>3</v>
      </c>
      <c r="O22" s="104"/>
      <c r="P22" s="141" t="str">
        <f>VLOOKUP(N22,'imp-answers'!$A$2:$I$50,2,FALSE)</f>
        <v>No</v>
      </c>
      <c r="Q22" s="141">
        <f>VLOOKUP(N22,'imp-answers'!$A$2:$I$50,6,FALSE)</f>
        <v>0</v>
      </c>
    </row>
    <row r="23" spans="8:17" x14ac:dyDescent="0.15">
      <c r="M23" s="660"/>
      <c r="N23" s="660"/>
      <c r="O23" s="99"/>
      <c r="P23" s="141" t="str">
        <f>VLOOKUP(N22,'imp-answers'!$A$2:$I$50,3,FALSE)</f>
        <v>Yes, for some obligations</v>
      </c>
      <c r="Q23" s="141">
        <f>VLOOKUP(N22,'imp-answers'!$A$2:$I$50,7,FALSE)</f>
        <v>0.25</v>
      </c>
    </row>
    <row r="24" spans="8:17" x14ac:dyDescent="0.15">
      <c r="H24" s="659" t="s">
        <v>71</v>
      </c>
      <c r="I24" s="100">
        <v>10</v>
      </c>
      <c r="J24" t="s">
        <v>27</v>
      </c>
      <c r="K24">
        <v>0</v>
      </c>
      <c r="M24" s="660"/>
      <c r="N24" s="660"/>
      <c r="O24" s="139"/>
      <c r="P24" s="141" t="str">
        <f>VLOOKUP(N22,'imp-answers'!$A$2:$I$50,4,FALSE)</f>
        <v>Yes, for at least half of the obligations</v>
      </c>
      <c r="Q24" s="141">
        <f>VLOOKUP(N22,'imp-answers'!$A$2:$I$50,8,FALSE)</f>
        <v>0.5</v>
      </c>
    </row>
    <row r="25" spans="8:17" x14ac:dyDescent="0.15">
      <c r="H25" s="659"/>
      <c r="I25" s="99"/>
      <c r="J25" t="s">
        <v>80</v>
      </c>
      <c r="K25">
        <v>1</v>
      </c>
      <c r="M25" s="660"/>
      <c r="N25" s="660"/>
      <c r="O25" s="101"/>
      <c r="P25" s="141" t="str">
        <f>VLOOKUP(N22,'imp-answers'!$A$2:$I$50,5,FALSE)</f>
        <v>Yes, for most or all of the obligations</v>
      </c>
      <c r="Q25" s="141">
        <f>VLOOKUP(N22,'imp-answers'!$A$2:$I$50,9,FALSE)</f>
        <v>1</v>
      </c>
    </row>
    <row r="26" spans="8:17" x14ac:dyDescent="0.15">
      <c r="H26" s="659"/>
      <c r="I26" s="101"/>
      <c r="J26" t="s">
        <v>63</v>
      </c>
      <c r="K26">
        <v>0.5</v>
      </c>
      <c r="M26" s="660"/>
      <c r="N26" s="660"/>
      <c r="O26" s="138"/>
    </row>
    <row r="27" spans="8:17" x14ac:dyDescent="0.15">
      <c r="H27" s="659"/>
      <c r="I27" s="102">
        <v>19</v>
      </c>
      <c r="J27" t="s">
        <v>30</v>
      </c>
      <c r="K27">
        <v>1</v>
      </c>
    </row>
    <row r="28" spans="8:17" x14ac:dyDescent="0.15">
      <c r="M28" s="659" t="str">
        <f>CHAR(65+N28)</f>
        <v>E</v>
      </c>
      <c r="N28" s="659">
        <v>4</v>
      </c>
      <c r="O28" s="104"/>
      <c r="P28" s="141" t="str">
        <f>VLOOKUP(N28,'imp-answers'!$A$2:$I$50,2,FALSE)</f>
        <v>No</v>
      </c>
      <c r="Q28" s="141">
        <f>VLOOKUP(N28,'imp-answers'!$A$2:$I$50,6,FALSE)</f>
        <v>0</v>
      </c>
    </row>
    <row r="29" spans="8:17" x14ac:dyDescent="0.15">
      <c r="H29" s="659" t="s">
        <v>72</v>
      </c>
      <c r="I29" s="100" t="s">
        <v>107</v>
      </c>
      <c r="J29" t="s">
        <v>27</v>
      </c>
      <c r="K29">
        <v>0</v>
      </c>
      <c r="M29" s="660"/>
      <c r="N29" s="660"/>
      <c r="O29" s="99"/>
      <c r="P29" s="141" t="str">
        <f>VLOOKUP(N28,'imp-answers'!$A$2:$I$50,3,FALSE)</f>
        <v>Yes, but reporting is ad-hoc</v>
      </c>
      <c r="Q29" s="141">
        <f>VLOOKUP(N28,'imp-answers'!$A$2:$I$50,7,FALSE)</f>
        <v>0.25</v>
      </c>
    </row>
    <row r="30" spans="8:17" x14ac:dyDescent="0.15">
      <c r="H30" s="659"/>
      <c r="I30" s="99" t="s">
        <v>108</v>
      </c>
      <c r="J30" t="s">
        <v>114</v>
      </c>
      <c r="K30">
        <v>0.2</v>
      </c>
      <c r="M30" s="660"/>
      <c r="N30" s="660"/>
      <c r="O30" s="139"/>
      <c r="P30" s="141" t="str">
        <f>VLOOKUP(N28,'imp-answers'!$A$2:$I$50,4,FALSE)</f>
        <v>Yes, we report at regular times</v>
      </c>
      <c r="Q30" s="141">
        <f>VLOOKUP(N28,'imp-answers'!$A$2:$I$50,8,FALSE)</f>
        <v>0.5</v>
      </c>
    </row>
    <row r="31" spans="8:17" x14ac:dyDescent="0.15">
      <c r="H31" s="659"/>
      <c r="I31" s="101"/>
      <c r="J31" t="s">
        <v>64</v>
      </c>
      <c r="K31">
        <v>0.5</v>
      </c>
      <c r="M31" s="660"/>
      <c r="N31" s="660"/>
      <c r="O31" s="101"/>
      <c r="P31" s="141" t="str">
        <f>VLOOKUP(N28,'imp-answers'!$A$2:$I$50,5,FALSE)</f>
        <v>Yes, we report at least annually</v>
      </c>
      <c r="Q31" s="141">
        <f>VLOOKUP(N28,'imp-answers'!$A$2:$I$50,9,FALSE)</f>
        <v>1</v>
      </c>
    </row>
    <row r="32" spans="8:17" x14ac:dyDescent="0.15">
      <c r="H32" s="659"/>
      <c r="I32" s="102"/>
      <c r="J32" t="s">
        <v>65</v>
      </c>
      <c r="K32">
        <v>1</v>
      </c>
      <c r="M32" s="660"/>
      <c r="N32" s="660"/>
      <c r="O32" s="138"/>
    </row>
    <row r="34" spans="8:17" x14ac:dyDescent="0.15">
      <c r="H34" s="659" t="s">
        <v>73</v>
      </c>
      <c r="I34" s="100"/>
      <c r="J34" t="s">
        <v>27</v>
      </c>
      <c r="K34">
        <v>0</v>
      </c>
      <c r="M34" s="659" t="str">
        <f>CHAR(65+N34)</f>
        <v>F</v>
      </c>
      <c r="N34" s="659">
        <v>5</v>
      </c>
      <c r="O34" s="104"/>
      <c r="P34" s="141" t="str">
        <f>VLOOKUP(N34,'imp-answers'!$A$2:$I$50,2,FALSE)</f>
        <v>No</v>
      </c>
      <c r="Q34" s="141">
        <f>VLOOKUP(N34,'imp-answers'!$A$2:$I$50,6,FALSE)</f>
        <v>0</v>
      </c>
    </row>
    <row r="35" spans="8:17" x14ac:dyDescent="0.15">
      <c r="H35" s="659"/>
      <c r="I35" s="99" t="s">
        <v>78</v>
      </c>
      <c r="J35" t="s">
        <v>75</v>
      </c>
      <c r="K35">
        <v>0.2</v>
      </c>
      <c r="M35" s="660"/>
      <c r="N35" s="660"/>
      <c r="O35" s="99"/>
      <c r="P35" s="141" t="str">
        <f>VLOOKUP(N34,'imp-answers'!$A$2:$I$50,3,FALSE)</f>
        <v>Yes, for some applications</v>
      </c>
      <c r="Q35" s="141">
        <f>VLOOKUP(N34,'imp-answers'!$A$2:$I$50,7,FALSE)</f>
        <v>0.25</v>
      </c>
    </row>
    <row r="36" spans="8:17" x14ac:dyDescent="0.15">
      <c r="H36" s="659"/>
      <c r="I36" s="101" t="s">
        <v>83</v>
      </c>
      <c r="J36" t="s">
        <v>77</v>
      </c>
      <c r="K36">
        <v>0.5</v>
      </c>
      <c r="M36" s="660"/>
      <c r="N36" s="660"/>
      <c r="O36" s="139"/>
      <c r="P36" s="141" t="str">
        <f>VLOOKUP(N34,'imp-answers'!$A$2:$I$50,4,FALSE)</f>
        <v>Yes, for at least half of the applications</v>
      </c>
      <c r="Q36" s="141">
        <f>VLOOKUP(N34,'imp-answers'!$A$2:$I$50,8,FALSE)</f>
        <v>0.5</v>
      </c>
    </row>
    <row r="37" spans="8:17" x14ac:dyDescent="0.15">
      <c r="H37" s="659"/>
      <c r="I37" s="102" t="s">
        <v>85</v>
      </c>
      <c r="J37" t="s">
        <v>76</v>
      </c>
      <c r="K37">
        <v>1</v>
      </c>
      <c r="M37" s="660"/>
      <c r="N37" s="660"/>
      <c r="O37" s="101"/>
      <c r="P37" s="141" t="str">
        <f>VLOOKUP(N34,'imp-answers'!$A$2:$I$50,5,FALSE)</f>
        <v>Yes, for most or all of the applications</v>
      </c>
      <c r="Q37" s="141">
        <f>VLOOKUP(N34,'imp-answers'!$A$2:$I$50,9,FALSE)</f>
        <v>1</v>
      </c>
    </row>
    <row r="38" spans="8:17" x14ac:dyDescent="0.15">
      <c r="M38" s="660"/>
      <c r="N38" s="660"/>
      <c r="O38" s="138"/>
    </row>
    <row r="39" spans="8:17" x14ac:dyDescent="0.15">
      <c r="H39" s="659" t="s">
        <v>74</v>
      </c>
      <c r="I39" s="100"/>
    </row>
    <row r="40" spans="8:17" x14ac:dyDescent="0.15">
      <c r="H40" s="659"/>
      <c r="I40" s="99"/>
      <c r="M40" s="659" t="str">
        <f>CHAR(65+N40)</f>
        <v>G</v>
      </c>
      <c r="N40" s="659">
        <v>6</v>
      </c>
      <c r="O40" s="104"/>
      <c r="P40" s="141" t="str">
        <f>VLOOKUP(N40,'imp-answers'!$A$2:$I$50,2,FALSE)</f>
        <v>No</v>
      </c>
      <c r="Q40" s="141">
        <f>VLOOKUP(N40,'imp-answers'!$A$2:$I$50,6,FALSE)</f>
        <v>0</v>
      </c>
    </row>
    <row r="41" spans="8:17" x14ac:dyDescent="0.15">
      <c r="H41" s="659"/>
      <c r="I41" s="101"/>
      <c r="M41" s="660"/>
      <c r="N41" s="660"/>
      <c r="O41" s="99"/>
      <c r="P41" s="141" t="str">
        <f>VLOOKUP(N40,'imp-answers'!$A$2:$I$50,3,FALSE)</f>
        <v>Yes, sporadically</v>
      </c>
      <c r="Q41" s="141">
        <f>VLOOKUP(N40,'imp-answers'!$A$2:$I$50,7,FALSE)</f>
        <v>0.25</v>
      </c>
    </row>
    <row r="42" spans="8:17" x14ac:dyDescent="0.15">
      <c r="H42" s="659"/>
      <c r="I42" s="102"/>
      <c r="M42" s="660"/>
      <c r="N42" s="660"/>
      <c r="O42" s="139"/>
      <c r="P42" s="141" t="str">
        <f>VLOOKUP(N40,'imp-answers'!$A$2:$I$50,4,FALSE)</f>
        <v>Yes, upon change of the application</v>
      </c>
      <c r="Q42" s="141">
        <f>VLOOKUP(N40,'imp-answers'!$A$2:$I$50,8,FALSE)</f>
        <v>0.5</v>
      </c>
    </row>
    <row r="43" spans="8:17" x14ac:dyDescent="0.15">
      <c r="M43" s="660"/>
      <c r="N43" s="660"/>
      <c r="O43" s="101"/>
      <c r="P43" s="141" t="str">
        <f>VLOOKUP(N40,'imp-answers'!$A$2:$I$50,5,FALSE)</f>
        <v>Yes, at least annually</v>
      </c>
      <c r="Q43" s="141">
        <f>VLOOKUP(N40,'imp-answers'!$A$2:$I$50,9,FALSE)</f>
        <v>1</v>
      </c>
    </row>
    <row r="44" spans="8:17" x14ac:dyDescent="0.15">
      <c r="M44" s="660"/>
      <c r="N44" s="660"/>
      <c r="O44" s="138"/>
    </row>
    <row r="46" spans="8:17" x14ac:dyDescent="0.15">
      <c r="M46" s="659" t="str">
        <f>CHAR(65+N46)</f>
        <v>H</v>
      </c>
      <c r="N46" s="659">
        <v>7</v>
      </c>
      <c r="O46" s="104"/>
      <c r="P46" s="141" t="str">
        <f>VLOOKUP(N46,'imp-answers'!$A$2:$I$50,2,FALSE)</f>
        <v>No</v>
      </c>
      <c r="Q46" s="141">
        <f>VLOOKUP(N46,'imp-answers'!$A$2:$I$50,6,FALSE)</f>
        <v>0</v>
      </c>
    </row>
    <row r="47" spans="8:17" x14ac:dyDescent="0.15">
      <c r="M47" s="660"/>
      <c r="N47" s="660"/>
      <c r="O47" s="99"/>
      <c r="P47" s="141" t="str">
        <f>VLOOKUP(N46,'imp-answers'!$A$2:$I$50,3,FALSE)</f>
        <v>Yes, some of the time</v>
      </c>
      <c r="Q47" s="141">
        <f>VLOOKUP(N46,'imp-answers'!$A$2:$I$50,7,FALSE)</f>
        <v>0.25</v>
      </c>
    </row>
    <row r="48" spans="8:17" x14ac:dyDescent="0.15">
      <c r="M48" s="660"/>
      <c r="N48" s="660"/>
      <c r="O48" s="139"/>
      <c r="P48" s="141" t="str">
        <f>VLOOKUP(N46,'imp-answers'!$A$2:$I$50,4,FALSE)</f>
        <v>Yes, at least half of the time</v>
      </c>
      <c r="Q48" s="141">
        <f>VLOOKUP(N46,'imp-answers'!$A$2:$I$50,8,FALSE)</f>
        <v>0.5</v>
      </c>
    </row>
    <row r="49" spans="13:17" x14ac:dyDescent="0.15">
      <c r="M49" s="660"/>
      <c r="N49" s="660"/>
      <c r="O49" s="101"/>
      <c r="P49" s="141" t="str">
        <f>VLOOKUP(N46,'imp-answers'!$A$2:$I$50,5,FALSE)</f>
        <v>Yes, most or all of the time</v>
      </c>
      <c r="Q49" s="141">
        <f>VLOOKUP(N46,'imp-answers'!$A$2:$I$50,9,FALSE)</f>
        <v>1</v>
      </c>
    </row>
    <row r="50" spans="13:17" x14ac:dyDescent="0.15">
      <c r="M50" s="660"/>
      <c r="N50" s="660"/>
      <c r="O50" s="138"/>
    </row>
    <row r="52" spans="13:17" x14ac:dyDescent="0.15">
      <c r="M52" s="659" t="str">
        <f>CHAR(65+N52)</f>
        <v>I</v>
      </c>
      <c r="N52" s="659">
        <v>8</v>
      </c>
      <c r="O52" s="104"/>
      <c r="P52" s="141" t="str">
        <f>VLOOKUP(N52,'imp-answers'!$A$2:$I$50,2,FALSE)</f>
        <v>No</v>
      </c>
      <c r="Q52" s="141">
        <f>VLOOKUP(N52,'imp-answers'!$A$2:$I$50,6,FALSE)</f>
        <v>0</v>
      </c>
    </row>
    <row r="53" spans="13:17" x14ac:dyDescent="0.15">
      <c r="M53" s="660"/>
      <c r="N53" s="660"/>
      <c r="O53" s="99"/>
      <c r="P53" s="141" t="str">
        <f>VLOOKUP(N52,'imp-answers'!$A$2:$I$50,3,FALSE)</f>
        <v>Yes, for some of the training</v>
      </c>
      <c r="Q53" s="141">
        <f>VLOOKUP(N52,'imp-answers'!$A$2:$I$50,7,FALSE)</f>
        <v>0.25</v>
      </c>
    </row>
    <row r="54" spans="13:17" x14ac:dyDescent="0.15">
      <c r="M54" s="660"/>
      <c r="N54" s="660"/>
      <c r="O54" s="139"/>
      <c r="P54" s="141" t="str">
        <f>VLOOKUP(N52,'imp-answers'!$A$2:$I$50,4,FALSE)</f>
        <v>Yes, for at least half of the training</v>
      </c>
      <c r="Q54" s="141">
        <f>VLOOKUP(N52,'imp-answers'!$A$2:$I$50,8,FALSE)</f>
        <v>0.5</v>
      </c>
    </row>
    <row r="55" spans="13:17" x14ac:dyDescent="0.15">
      <c r="M55" s="660"/>
      <c r="N55" s="660"/>
      <c r="O55" s="101"/>
      <c r="P55" s="141" t="str">
        <f>VLOOKUP(N52,'imp-answers'!$A$2:$I$50,5,FALSE)</f>
        <v>Yes, for most or all of the training</v>
      </c>
      <c r="Q55" s="141">
        <f>VLOOKUP(N52,'imp-answers'!$A$2:$I$50,9,FALSE)</f>
        <v>1</v>
      </c>
    </row>
    <row r="56" spans="13:17" x14ac:dyDescent="0.15">
      <c r="M56" s="660"/>
      <c r="N56" s="660"/>
      <c r="O56" s="138"/>
    </row>
    <row r="58" spans="13:17" x14ac:dyDescent="0.15">
      <c r="M58" s="659" t="str">
        <f>CHAR(65+N58)</f>
        <v>J</v>
      </c>
      <c r="N58" s="659">
        <v>9</v>
      </c>
      <c r="O58" s="104"/>
      <c r="P58" s="141" t="str">
        <f>VLOOKUP(N58,'imp-answers'!$A$2:$I$50,2,FALSE)</f>
        <v>No</v>
      </c>
      <c r="Q58" s="141">
        <f>VLOOKUP(N58,'imp-answers'!$A$2:$I$50,6,FALSE)</f>
        <v>0</v>
      </c>
    </row>
    <row r="59" spans="13:17" x14ac:dyDescent="0.15">
      <c r="M59" s="660"/>
      <c r="N59" s="660"/>
      <c r="O59" s="99"/>
      <c r="P59" s="141" t="str">
        <f>VLOOKUP(N58,'imp-answers'!$A$2:$I$50,3,FALSE)</f>
        <v>Yes, for some of the policies and standards</v>
      </c>
      <c r="Q59" s="141">
        <f>VLOOKUP(N58,'imp-answers'!$A$2:$I$50,7,FALSE)</f>
        <v>0.25</v>
      </c>
    </row>
    <row r="60" spans="13:17" x14ac:dyDescent="0.15">
      <c r="M60" s="660"/>
      <c r="N60" s="660"/>
      <c r="O60" s="139"/>
      <c r="P60" s="141" t="str">
        <f>VLOOKUP(N58,'imp-answers'!$A$2:$I$50,4,FALSE)</f>
        <v>Yes, for at least half of the policies and standards</v>
      </c>
      <c r="Q60" s="141">
        <f>VLOOKUP(N58,'imp-answers'!$A$2:$I$50,8,FALSE)</f>
        <v>0.5</v>
      </c>
    </row>
    <row r="61" spans="13:17" x14ac:dyDescent="0.15">
      <c r="M61" s="660"/>
      <c r="N61" s="660"/>
      <c r="O61" s="101"/>
      <c r="P61" s="141" t="str">
        <f>VLOOKUP(N58,'imp-answers'!$A$2:$I$50,5,FALSE)</f>
        <v>Yes, for most or all of the policies and standards</v>
      </c>
      <c r="Q61" s="141">
        <f>VLOOKUP(N58,'imp-answers'!$A$2:$I$50,9,FALSE)</f>
        <v>1</v>
      </c>
    </row>
    <row r="62" spans="13:17" x14ac:dyDescent="0.15">
      <c r="M62" s="660"/>
      <c r="N62" s="660"/>
      <c r="O62" s="138"/>
    </row>
    <row r="64" spans="13:17" x14ac:dyDescent="0.15">
      <c r="M64" s="659" t="str">
        <f>CHAR(65+N64)</f>
        <v>K</v>
      </c>
      <c r="N64" s="659">
        <v>10</v>
      </c>
      <c r="O64" s="104"/>
      <c r="P64" s="141" t="str">
        <f>VLOOKUP(N64,'imp-answers'!$A$2:$I$50,2,FALSE)</f>
        <v>No</v>
      </c>
      <c r="Q64" s="141">
        <f>VLOOKUP(N64,'imp-answers'!$A$2:$I$50,6,FALSE)</f>
        <v>0</v>
      </c>
    </row>
    <row r="65" spans="13:17" x14ac:dyDescent="0.15">
      <c r="M65" s="660"/>
      <c r="N65" s="660"/>
      <c r="O65" s="99"/>
      <c r="P65" s="141" t="str">
        <f>VLOOKUP(N64,'imp-answers'!$A$2:$I$50,3,FALSE)</f>
        <v>Yes, for one metrics category</v>
      </c>
      <c r="Q65" s="141">
        <f>VLOOKUP(N64,'imp-answers'!$A$2:$I$50,7,FALSE)</f>
        <v>0.25</v>
      </c>
    </row>
    <row r="66" spans="13:17" x14ac:dyDescent="0.15">
      <c r="M66" s="660"/>
      <c r="N66" s="660"/>
      <c r="O66" s="139"/>
      <c r="P66" s="141" t="str">
        <f>VLOOKUP(N64,'imp-answers'!$A$2:$I$50,4,FALSE)</f>
        <v>Yes, for two metrics categories</v>
      </c>
      <c r="Q66" s="141">
        <f>VLOOKUP(N64,'imp-answers'!$A$2:$I$50,8,FALSE)</f>
        <v>0.5</v>
      </c>
    </row>
    <row r="67" spans="13:17" x14ac:dyDescent="0.15">
      <c r="M67" s="660"/>
      <c r="N67" s="660"/>
      <c r="O67" s="101"/>
      <c r="P67" s="141" t="str">
        <f>VLOOKUP(N64,'imp-answers'!$A$2:$I$50,5,FALSE)</f>
        <v>Yes, for all three metrics categories</v>
      </c>
      <c r="Q67" s="141">
        <f>VLOOKUP(N64,'imp-answers'!$A$2:$I$50,9,FALSE)</f>
        <v>1</v>
      </c>
    </row>
    <row r="68" spans="13:17" x14ac:dyDescent="0.15">
      <c r="M68" s="660"/>
      <c r="N68" s="660"/>
      <c r="O68" s="138"/>
    </row>
    <row r="70" spans="13:17" x14ac:dyDescent="0.15">
      <c r="M70" s="659" t="str">
        <f>CHAR(65+N70)</f>
        <v>L</v>
      </c>
      <c r="N70" s="659">
        <v>11</v>
      </c>
      <c r="O70" s="104"/>
      <c r="P70" s="141" t="str">
        <f>VLOOKUP(N70,'imp-answers'!$A$2:$I$50,2,FALSE)</f>
        <v>No</v>
      </c>
      <c r="Q70" s="141">
        <f>VLOOKUP(N70,'imp-answers'!$A$2:$I$50,6,FALSE)</f>
        <v>0</v>
      </c>
    </row>
    <row r="71" spans="13:17" x14ac:dyDescent="0.15">
      <c r="M71" s="660"/>
      <c r="N71" s="660"/>
      <c r="O71" s="99"/>
      <c r="P71" s="141" t="str">
        <f>VLOOKUP(N70,'imp-answers'!$A$2:$I$50,3,FALSE)</f>
        <v>Yes, we started implementing it</v>
      </c>
      <c r="Q71" s="141">
        <f>VLOOKUP(N70,'imp-answers'!$A$2:$I$50,7,FALSE)</f>
        <v>0.25</v>
      </c>
    </row>
    <row r="72" spans="13:17" x14ac:dyDescent="0.15">
      <c r="M72" s="660"/>
      <c r="N72" s="660"/>
      <c r="O72" s="139"/>
      <c r="P72" s="141" t="str">
        <f>VLOOKUP(N70,'imp-answers'!$A$2:$I$50,4,FALSE)</f>
        <v>Yes, for part of the organization</v>
      </c>
      <c r="Q72" s="141">
        <f>VLOOKUP(N70,'imp-answers'!$A$2:$I$50,8,FALSE)</f>
        <v>0.5</v>
      </c>
    </row>
    <row r="73" spans="13:17" x14ac:dyDescent="0.15">
      <c r="M73" s="660"/>
      <c r="N73" s="660"/>
      <c r="O73" s="101"/>
      <c r="P73" s="141" t="str">
        <f>VLOOKUP(N70,'imp-answers'!$A$2:$I$50,5,FALSE)</f>
        <v>Yes, for the entire organization</v>
      </c>
      <c r="Q73" s="141">
        <f>VLOOKUP(N70,'imp-answers'!$A$2:$I$50,9,FALSE)</f>
        <v>1</v>
      </c>
    </row>
    <row r="74" spans="13:17" x14ac:dyDescent="0.15">
      <c r="M74" s="660"/>
      <c r="N74" s="660"/>
      <c r="O74" s="138"/>
    </row>
    <row r="76" spans="13:17" x14ac:dyDescent="0.15">
      <c r="M76" s="659" t="str">
        <f>CHAR(65+N76)</f>
        <v>M</v>
      </c>
      <c r="N76" s="659">
        <v>12</v>
      </c>
      <c r="O76" s="104"/>
      <c r="P76" s="141" t="str">
        <f>VLOOKUP(N76,'imp-answers'!$A$2:$I$50,2,FALSE)</f>
        <v>No</v>
      </c>
      <c r="Q76" s="141">
        <f>VLOOKUP(N76,'imp-answers'!$A$2:$I$50,6,FALSE)</f>
        <v>0</v>
      </c>
    </row>
    <row r="77" spans="13:17" x14ac:dyDescent="0.15">
      <c r="M77" s="660"/>
      <c r="N77" s="660"/>
      <c r="O77" s="99"/>
      <c r="P77" s="141" t="str">
        <f>VLOOKUP(N76,'imp-answers'!$A$2:$I$50,3,FALSE)</f>
        <v>Yes, for some components</v>
      </c>
      <c r="Q77" s="141">
        <f>VLOOKUP(N76,'imp-answers'!$A$2:$I$50,7,FALSE)</f>
        <v>0.25</v>
      </c>
    </row>
    <row r="78" spans="13:17" x14ac:dyDescent="0.15">
      <c r="M78" s="660"/>
      <c r="N78" s="660"/>
      <c r="O78" s="139"/>
      <c r="P78" s="141" t="str">
        <f>VLOOKUP(N76,'imp-answers'!$A$2:$I$50,4,FALSE)</f>
        <v>Yes, for at least half of the components</v>
      </c>
      <c r="Q78" s="141">
        <f>VLOOKUP(N76,'imp-answers'!$A$2:$I$50,8,FALSE)</f>
        <v>0.5</v>
      </c>
    </row>
    <row r="79" spans="13:17" x14ac:dyDescent="0.15">
      <c r="M79" s="660"/>
      <c r="N79" s="660"/>
      <c r="O79" s="101"/>
      <c r="P79" s="141" t="str">
        <f>VLOOKUP(N76,'imp-answers'!$A$2:$I$50,5,FALSE)</f>
        <v>Yes, for most or all of the components</v>
      </c>
      <c r="Q79" s="141">
        <f>VLOOKUP(N76,'imp-answers'!$A$2:$I$50,9,FALSE)</f>
        <v>1</v>
      </c>
    </row>
    <row r="80" spans="13:17" x14ac:dyDescent="0.15">
      <c r="M80" s="660"/>
      <c r="N80" s="660"/>
      <c r="O80" s="138"/>
    </row>
    <row r="82" spans="13:17" x14ac:dyDescent="0.15">
      <c r="M82" s="659" t="str">
        <f>CHAR(65+N82)</f>
        <v>N</v>
      </c>
      <c r="N82" s="659">
        <v>13</v>
      </c>
      <c r="O82" s="104"/>
      <c r="P82" s="141" t="str">
        <f>VLOOKUP(N82,'imp-answers'!$A$2:$I$50,2,FALSE)</f>
        <v>No</v>
      </c>
      <c r="Q82" s="141">
        <f>VLOOKUP(N82,'imp-answers'!$A$2:$I$50,6,FALSE)</f>
        <v>0</v>
      </c>
    </row>
    <row r="83" spans="13:17" x14ac:dyDescent="0.15">
      <c r="M83" s="660"/>
      <c r="N83" s="660"/>
      <c r="O83" s="99"/>
      <c r="P83" s="141" t="str">
        <f>VLOOKUP(N82,'imp-answers'!$A$2:$I$50,3,FALSE)</f>
        <v>Yes, but review is ad-hoc</v>
      </c>
      <c r="Q83" s="141">
        <f>VLOOKUP(N82,'imp-answers'!$A$2:$I$50,7,FALSE)</f>
        <v>0.25</v>
      </c>
    </row>
    <row r="84" spans="13:17" x14ac:dyDescent="0.15">
      <c r="M84" s="660"/>
      <c r="N84" s="660"/>
      <c r="O84" s="139"/>
      <c r="P84" s="141" t="str">
        <f>VLOOKUP(N82,'imp-answers'!$A$2:$I$50,4,FALSE)</f>
        <v>Yes, we review it at regular times</v>
      </c>
      <c r="Q84" s="141">
        <f>VLOOKUP(N82,'imp-answers'!$A$2:$I$50,8,FALSE)</f>
        <v>0.5</v>
      </c>
    </row>
    <row r="85" spans="13:17" x14ac:dyDescent="0.15">
      <c r="M85" s="660"/>
      <c r="N85" s="660"/>
      <c r="O85" s="101"/>
      <c r="P85" s="141" t="str">
        <f>VLOOKUP(N82,'imp-answers'!$A$2:$I$50,5,FALSE)</f>
        <v>Yes, we review it at least annually</v>
      </c>
      <c r="Q85" s="141">
        <f>VLOOKUP(N82,'imp-answers'!$A$2:$I$50,9,FALSE)</f>
        <v>1</v>
      </c>
    </row>
    <row r="86" spans="13:17" x14ac:dyDescent="0.15">
      <c r="M86" s="660"/>
      <c r="N86" s="660"/>
      <c r="O86" s="138"/>
    </row>
    <row r="88" spans="13:17" x14ac:dyDescent="0.15">
      <c r="M88" s="659" t="str">
        <f>CHAR(65+N88)</f>
        <v>O</v>
      </c>
      <c r="N88" s="659">
        <v>14</v>
      </c>
      <c r="O88" s="104"/>
      <c r="P88" s="141" t="str">
        <f>VLOOKUP(N88,'imp-answers'!$A$2:$I$50,2,FALSE)</f>
        <v>No</v>
      </c>
      <c r="Q88" s="141">
        <f>VLOOKUP(N88,'imp-answers'!$A$2:$I$50,6,FALSE)</f>
        <v>0</v>
      </c>
    </row>
    <row r="89" spans="13:17" x14ac:dyDescent="0.15">
      <c r="M89" s="660"/>
      <c r="N89" s="660"/>
      <c r="O89" s="99"/>
      <c r="P89" s="141" t="str">
        <f>VLOOKUP(N88,'imp-answers'!$A$2:$I$50,3,FALSE)</f>
        <v>Yes, for some of our data</v>
      </c>
      <c r="Q89" s="141">
        <f>VLOOKUP(N88,'imp-answers'!$A$2:$I$50,7,FALSE)</f>
        <v>0.25</v>
      </c>
    </row>
    <row r="90" spans="13:17" x14ac:dyDescent="0.15">
      <c r="M90" s="660"/>
      <c r="N90" s="660"/>
      <c r="O90" s="139"/>
      <c r="P90" s="141" t="str">
        <f>VLOOKUP(N88,'imp-answers'!$A$2:$I$50,4,FALSE)</f>
        <v>Yes, for at least half of our data</v>
      </c>
      <c r="Q90" s="141">
        <f>VLOOKUP(N88,'imp-answers'!$A$2:$I$50,8,FALSE)</f>
        <v>0.5</v>
      </c>
    </row>
    <row r="91" spans="13:17" x14ac:dyDescent="0.15">
      <c r="M91" s="660"/>
      <c r="N91" s="660"/>
      <c r="O91" s="101"/>
      <c r="P91" s="141" t="str">
        <f>VLOOKUP(N88,'imp-answers'!$A$2:$I$50,5,FALSE)</f>
        <v>Yes, for most or all of our data</v>
      </c>
      <c r="Q91" s="141">
        <f>VLOOKUP(N88,'imp-answers'!$A$2:$I$50,9,FALSE)</f>
        <v>1</v>
      </c>
    </row>
    <row r="92" spans="13:17" x14ac:dyDescent="0.15">
      <c r="M92" s="660"/>
      <c r="N92" s="660"/>
      <c r="O92" s="138"/>
    </row>
    <row r="94" spans="13:17" x14ac:dyDescent="0.15">
      <c r="M94" s="659" t="str">
        <f>CHAR(65+N94)</f>
        <v>P</v>
      </c>
      <c r="N94" s="659">
        <v>15</v>
      </c>
      <c r="O94" s="104"/>
      <c r="P94" s="141" t="str">
        <f>VLOOKUP(N94,'imp-answers'!$A$2:$I$50,2,FALSE)</f>
        <v>No</v>
      </c>
      <c r="Q94" s="141">
        <f>VLOOKUP(N94,'imp-answers'!$A$2:$I$50,6,FALSE)</f>
        <v>0</v>
      </c>
    </row>
    <row r="95" spans="13:17" x14ac:dyDescent="0.15">
      <c r="M95" s="660"/>
      <c r="N95" s="660"/>
      <c r="O95" s="99"/>
      <c r="P95" s="141" t="str">
        <f>VLOOKUP(N94,'imp-answers'!$A$2:$I$50,3,FALSE)</f>
        <v>Yes, we do it when requested</v>
      </c>
      <c r="Q95" s="141">
        <f>VLOOKUP(N94,'imp-answers'!$A$2:$I$50,7,FALSE)</f>
        <v>0.25</v>
      </c>
    </row>
    <row r="96" spans="13:17" x14ac:dyDescent="0.15">
      <c r="M96" s="660"/>
      <c r="N96" s="660"/>
      <c r="O96" s="139"/>
      <c r="P96" s="141" t="str">
        <f>VLOOKUP(N94,'imp-answers'!$A$2:$I$50,4,FALSE)</f>
        <v>Yes, we do it every few years</v>
      </c>
      <c r="Q96" s="141">
        <f>VLOOKUP(N94,'imp-answers'!$A$2:$I$50,8,FALSE)</f>
        <v>0.5</v>
      </c>
    </row>
    <row r="97" spans="13:17" x14ac:dyDescent="0.15">
      <c r="M97" s="660"/>
      <c r="N97" s="660"/>
      <c r="O97" s="101"/>
      <c r="P97" s="141" t="str">
        <f>VLOOKUP(N94,'imp-answers'!$A$2:$I$50,5,FALSE)</f>
        <v>Yes, we do it at least annually</v>
      </c>
      <c r="Q97" s="141">
        <f>VLOOKUP(N94,'imp-answers'!$A$2:$I$50,9,FALSE)</f>
        <v>1</v>
      </c>
    </row>
    <row r="98" spans="13:17" x14ac:dyDescent="0.15">
      <c r="M98" s="660"/>
      <c r="N98" s="660"/>
      <c r="O98" s="138"/>
    </row>
    <row r="100" spans="13:17" x14ac:dyDescent="0.15">
      <c r="M100" s="659" t="str">
        <f>CHAR(65+N100)</f>
        <v>Q</v>
      </c>
      <c r="N100" s="659">
        <v>16</v>
      </c>
      <c r="O100" s="104"/>
      <c r="P100" s="141" t="str">
        <f>VLOOKUP(N100,'imp-answers'!$A$2:$I$50,2,FALSE)</f>
        <v>No</v>
      </c>
      <c r="Q100" s="141">
        <f>VLOOKUP(N100,'imp-answers'!$A$2:$I$50,6,FALSE)</f>
        <v>0</v>
      </c>
    </row>
    <row r="101" spans="13:17" x14ac:dyDescent="0.15">
      <c r="M101" s="660"/>
      <c r="N101" s="660"/>
      <c r="O101" s="99"/>
      <c r="P101" s="141" t="str">
        <f>VLOOKUP(N100,'imp-answers'!$A$2:$I$50,3,FALSE)</f>
        <v>Yes, for some incident types</v>
      </c>
      <c r="Q101" s="141">
        <f>VLOOKUP(N100,'imp-answers'!$A$2:$I$50,7,FALSE)</f>
        <v>0.25</v>
      </c>
    </row>
    <row r="102" spans="13:17" x14ac:dyDescent="0.15">
      <c r="M102" s="660"/>
      <c r="N102" s="660"/>
      <c r="O102" s="139"/>
      <c r="P102" s="141" t="str">
        <f>VLOOKUP(N100,'imp-answers'!$A$2:$I$50,4,FALSE)</f>
        <v>Yes, for at least half of the incident types</v>
      </c>
      <c r="Q102" s="141">
        <f>VLOOKUP(N100,'imp-answers'!$A$2:$I$50,8,FALSE)</f>
        <v>0.5</v>
      </c>
    </row>
    <row r="103" spans="13:17" x14ac:dyDescent="0.15">
      <c r="M103" s="660"/>
      <c r="N103" s="660"/>
      <c r="O103" s="101"/>
      <c r="P103" s="141" t="str">
        <f>VLOOKUP(N100,'imp-answers'!$A$2:$I$50,5,FALSE)</f>
        <v>Yes, for most or all of the incident types</v>
      </c>
      <c r="Q103" s="141">
        <f>VLOOKUP(N100,'imp-answers'!$A$2:$I$50,9,FALSE)</f>
        <v>1</v>
      </c>
    </row>
    <row r="104" spans="13:17" x14ac:dyDescent="0.15">
      <c r="M104" s="660"/>
      <c r="N104" s="660"/>
      <c r="O104" s="138"/>
    </row>
    <row r="106" spans="13:17" x14ac:dyDescent="0.15">
      <c r="M106" s="659" t="str">
        <f>CHAR(65+N106)</f>
        <v>R</v>
      </c>
      <c r="N106" s="659">
        <v>17</v>
      </c>
      <c r="O106" s="104"/>
      <c r="P106" s="141" t="str">
        <f>VLOOKUP(N106,'imp-answers'!$A$2:$I$50,2,FALSE)</f>
        <v>No</v>
      </c>
      <c r="Q106" s="141">
        <f>VLOOKUP(N106,'imp-answers'!$A$2:$I$50,6,FALSE)</f>
        <v>0</v>
      </c>
    </row>
    <row r="107" spans="13:17" x14ac:dyDescent="0.15">
      <c r="M107" s="660"/>
      <c r="N107" s="660"/>
      <c r="O107" s="99"/>
      <c r="P107" s="141" t="str">
        <f>VLOOKUP(N106,'imp-answers'!$A$2:$I$50,3,FALSE)</f>
        <v>Yes, for some incidents</v>
      </c>
      <c r="Q107" s="141">
        <f>VLOOKUP(N106,'imp-answers'!$A$2:$I$50,7,FALSE)</f>
        <v>0.25</v>
      </c>
    </row>
    <row r="108" spans="13:17" x14ac:dyDescent="0.15">
      <c r="M108" s="660"/>
      <c r="N108" s="660"/>
      <c r="O108" s="139"/>
      <c r="P108" s="141" t="str">
        <f>VLOOKUP(N106,'imp-answers'!$A$2:$I$50,4,FALSE)</f>
        <v>Yes, for at least half of the incidents</v>
      </c>
      <c r="Q108" s="141">
        <f>VLOOKUP(N106,'imp-answers'!$A$2:$I$50,8,FALSE)</f>
        <v>0.5</v>
      </c>
    </row>
    <row r="109" spans="13:17" x14ac:dyDescent="0.15">
      <c r="M109" s="660"/>
      <c r="N109" s="660"/>
      <c r="O109" s="101"/>
      <c r="P109" s="141" t="str">
        <f>VLOOKUP(N106,'imp-answers'!$A$2:$I$50,5,FALSE)</f>
        <v>Yes, for most or all of the incidents</v>
      </c>
      <c r="Q109" s="141">
        <f>VLOOKUP(N106,'imp-answers'!$A$2:$I$50,9,FALSE)</f>
        <v>1</v>
      </c>
    </row>
    <row r="110" spans="13:17" x14ac:dyDescent="0.15">
      <c r="M110" s="660"/>
      <c r="N110" s="660"/>
      <c r="O110" s="138"/>
    </row>
    <row r="112" spans="13:17" x14ac:dyDescent="0.15">
      <c r="M112" s="659" t="str">
        <f>CHAR(65+N112)</f>
        <v>S</v>
      </c>
      <c r="N112" s="659">
        <v>18</v>
      </c>
      <c r="O112" s="104"/>
      <c r="P112" s="141" t="str">
        <f>VLOOKUP(N112,'imp-answers'!$A$2:$I$50,2,FALSE)</f>
        <v>No</v>
      </c>
      <c r="Q112" s="141">
        <f>VLOOKUP(N112,'imp-answers'!$A$2:$I$50,6,FALSE)</f>
        <v>0</v>
      </c>
    </row>
    <row r="113" spans="13:17" x14ac:dyDescent="0.15">
      <c r="M113" s="660"/>
      <c r="N113" s="660"/>
      <c r="O113" s="99"/>
      <c r="P113" s="141" t="str">
        <f>VLOOKUP(N112,'imp-answers'!$A$2:$I$50,3,FALSE)</f>
        <v>Yes, for some of the assets</v>
      </c>
      <c r="Q113" s="141">
        <f>VLOOKUP(N112,'imp-answers'!$A$2:$I$50,7,FALSE)</f>
        <v>0.25</v>
      </c>
    </row>
    <row r="114" spans="13:17" x14ac:dyDescent="0.15">
      <c r="M114" s="660"/>
      <c r="N114" s="660"/>
      <c r="O114" s="139"/>
      <c r="P114" s="141" t="str">
        <f>VLOOKUP(N112,'imp-answers'!$A$2:$I$50,4,FALSE)</f>
        <v>Yes, for at least half of the assets</v>
      </c>
      <c r="Q114" s="141">
        <f>VLOOKUP(N112,'imp-answers'!$A$2:$I$50,8,FALSE)</f>
        <v>0.5</v>
      </c>
    </row>
    <row r="115" spans="13:17" x14ac:dyDescent="0.15">
      <c r="M115" s="660"/>
      <c r="N115" s="660"/>
      <c r="O115" s="101"/>
      <c r="P115" s="141" t="str">
        <f>VLOOKUP(N112,'imp-answers'!$A$2:$I$50,5,FALSE)</f>
        <v>Yes, for most or all of the assets</v>
      </c>
      <c r="Q115" s="141">
        <f>VLOOKUP(N112,'imp-answers'!$A$2:$I$50,9,FALSE)</f>
        <v>1</v>
      </c>
    </row>
    <row r="116" spans="13:17" x14ac:dyDescent="0.15">
      <c r="M116" s="660"/>
      <c r="N116" s="660"/>
      <c r="O116" s="138"/>
    </row>
    <row r="118" spans="13:17" x14ac:dyDescent="0.15">
      <c r="M118" s="659" t="str">
        <f>CHAR(65+N118)</f>
        <v>T</v>
      </c>
      <c r="N118" s="659">
        <v>19</v>
      </c>
      <c r="O118" s="104"/>
      <c r="P118" s="141" t="str">
        <f>VLOOKUP(N118,'imp-answers'!$A$2:$I$50,2,FALSE)</f>
        <v>No</v>
      </c>
      <c r="Q118" s="141">
        <f>VLOOKUP(N118,'imp-answers'!$A$2:$I$50,6,FALSE)</f>
        <v>0</v>
      </c>
    </row>
    <row r="119" spans="13:17" x14ac:dyDescent="0.15">
      <c r="M119" s="660"/>
      <c r="N119" s="660"/>
      <c r="O119" s="99"/>
      <c r="P119" s="141" t="str">
        <f>VLOOKUP(N118,'imp-answers'!$A$2:$I$50,3,FALSE)</f>
        <v>Yes, but we improve it ad-hoc</v>
      </c>
      <c r="Q119" s="141">
        <f>VLOOKUP(N118,'imp-answers'!$A$2:$I$50,7,FALSE)</f>
        <v>0.25</v>
      </c>
    </row>
    <row r="120" spans="13:17" x14ac:dyDescent="0.15">
      <c r="M120" s="660"/>
      <c r="N120" s="660"/>
      <c r="O120" s="139"/>
      <c r="P120" s="141" t="str">
        <f>VLOOKUP(N118,'imp-answers'!$A$2:$I$50,4,FALSE)</f>
        <v>Yes, we we improve it at regular times</v>
      </c>
      <c r="Q120" s="141">
        <f>VLOOKUP(N118,'imp-answers'!$A$2:$I$50,8,FALSE)</f>
        <v>0.5</v>
      </c>
    </row>
    <row r="121" spans="13:17" x14ac:dyDescent="0.15">
      <c r="M121" s="660"/>
      <c r="N121" s="660"/>
      <c r="O121" s="101"/>
      <c r="P121" s="141" t="str">
        <f>VLOOKUP(N118,'imp-answers'!$A$2:$I$50,5,FALSE)</f>
        <v>Yes, we improve it at least annually</v>
      </c>
      <c r="Q121" s="141">
        <f>VLOOKUP(N118,'imp-answers'!$A$2:$I$50,9,FALSE)</f>
        <v>1</v>
      </c>
    </row>
    <row r="122" spans="13:17" x14ac:dyDescent="0.15">
      <c r="M122" s="660"/>
      <c r="N122" s="660"/>
      <c r="O122" s="138"/>
    </row>
    <row r="124" spans="13:17" x14ac:dyDescent="0.15">
      <c r="M124" s="659" t="str">
        <f>CHAR(65+N124)</f>
        <v>U</v>
      </c>
      <c r="N124" s="659">
        <v>20</v>
      </c>
      <c r="O124" s="104"/>
      <c r="P124" s="141" t="str">
        <f>VLOOKUP(N124,'imp-answers'!$A$2:$I$50,2,FALSE)</f>
        <v>No</v>
      </c>
      <c r="Q124" s="141">
        <f>VLOOKUP(N124,'imp-answers'!$A$2:$I$50,6,FALSE)</f>
        <v>0</v>
      </c>
    </row>
    <row r="125" spans="13:17" x14ac:dyDescent="0.15">
      <c r="M125" s="660"/>
      <c r="N125" s="660"/>
      <c r="O125" s="99"/>
      <c r="P125" s="141" t="str">
        <f>VLOOKUP(N124,'imp-answers'!$A$2:$I$50,3,FALSE)</f>
        <v>Yes, for some of the technology domains</v>
      </c>
      <c r="Q125" s="141">
        <f>VLOOKUP(N124,'imp-answers'!$A$2:$I$50,7,FALSE)</f>
        <v>0.25</v>
      </c>
    </row>
    <row r="126" spans="13:17" x14ac:dyDescent="0.15">
      <c r="M126" s="660"/>
      <c r="N126" s="660"/>
      <c r="O126" s="139"/>
      <c r="P126" s="141" t="str">
        <f>VLOOKUP(N124,'imp-answers'!$A$2:$I$50,4,FALSE)</f>
        <v>Yes, for at least half of the technology domains</v>
      </c>
      <c r="Q126" s="141">
        <f>VLOOKUP(N124,'imp-answers'!$A$2:$I$50,8,FALSE)</f>
        <v>0.5</v>
      </c>
    </row>
    <row r="127" spans="13:17" x14ac:dyDescent="0.15">
      <c r="M127" s="660"/>
      <c r="N127" s="660"/>
      <c r="O127" s="101"/>
      <c r="P127" s="141" t="str">
        <f>VLOOKUP(N124,'imp-answers'!$A$2:$I$50,5,FALSE)</f>
        <v>Yes, for most or all of the technology domains</v>
      </c>
      <c r="Q127" s="141">
        <f>VLOOKUP(N124,'imp-answers'!$A$2:$I$50,9,FALSE)</f>
        <v>1</v>
      </c>
    </row>
    <row r="128" spans="13:17" x14ac:dyDescent="0.15">
      <c r="M128" s="660"/>
      <c r="N128" s="660"/>
      <c r="O128" s="138"/>
    </row>
    <row r="130" spans="13:17" x14ac:dyDescent="0.15">
      <c r="M130" s="659" t="str">
        <f>CHAR(65+N130)</f>
        <v>V</v>
      </c>
      <c r="N130" s="659">
        <v>21</v>
      </c>
      <c r="O130" s="104"/>
      <c r="P130" s="141" t="str">
        <f>VLOOKUP(N130,'imp-answers'!$A$2:$I$50,2,FALSE)</f>
        <v>No</v>
      </c>
      <c r="Q130" s="141">
        <f>VLOOKUP(N130,'imp-answers'!$A$2:$I$50,6,FALSE)</f>
        <v>0</v>
      </c>
    </row>
    <row r="131" spans="13:17" x14ac:dyDescent="0.15">
      <c r="M131" s="660"/>
      <c r="N131" s="660"/>
      <c r="O131" s="99"/>
      <c r="P131" s="141" t="str">
        <f>VLOOKUP(N130,'imp-answers'!$A$2:$I$50,3,FALSE)</f>
        <v>Yes, we review it annually</v>
      </c>
      <c r="Q131" s="141">
        <f>VLOOKUP(N130,'imp-answers'!$A$2:$I$50,7,FALSE)</f>
        <v>0.25</v>
      </c>
    </row>
    <row r="132" spans="13:17" x14ac:dyDescent="0.15">
      <c r="M132" s="660"/>
      <c r="N132" s="660"/>
      <c r="O132" s="139"/>
      <c r="P132" s="141" t="str">
        <f>VLOOKUP(N130,'imp-answers'!$A$2:$I$50,4,FALSE)</f>
        <v>Yes, we consult the plan before making significant decisions</v>
      </c>
      <c r="Q132" s="141">
        <f>VLOOKUP(N130,'imp-answers'!$A$2:$I$50,8,FALSE)</f>
        <v>0.5</v>
      </c>
    </row>
    <row r="133" spans="13:17" x14ac:dyDescent="0.15">
      <c r="M133" s="660"/>
      <c r="N133" s="660"/>
      <c r="O133" s="101"/>
      <c r="P133" s="141" t="str">
        <f>VLOOKUP(N130,'imp-answers'!$A$2:$I$50,5,FALSE)</f>
        <v>Yes, we consult the plan often, and it is aligned with our application security strategy</v>
      </c>
      <c r="Q133" s="141">
        <f>VLOOKUP(N130,'imp-answers'!$A$2:$I$50,9,FALSE)</f>
        <v>1</v>
      </c>
    </row>
    <row r="134" spans="13:17" x14ac:dyDescent="0.15">
      <c r="M134" s="660"/>
      <c r="N134" s="660"/>
      <c r="O134" s="138"/>
    </row>
    <row r="136" spans="13:17" x14ac:dyDescent="0.15">
      <c r="M136" s="659" t="str">
        <f>CHAR(65+N136)</f>
        <v>W</v>
      </c>
      <c r="N136" s="659">
        <v>22</v>
      </c>
      <c r="O136" s="104"/>
      <c r="P136" s="141" t="str">
        <f>VLOOKUP(N136,'imp-answers'!$A$2:$I$50,2,FALSE)</f>
        <v>No</v>
      </c>
      <c r="Q136" s="141">
        <f>VLOOKUP(N136,'imp-answers'!$A$2:$I$50,6,FALSE)</f>
        <v>0</v>
      </c>
    </row>
    <row r="137" spans="13:17" x14ac:dyDescent="0.15">
      <c r="M137" s="660"/>
      <c r="N137" s="660"/>
      <c r="O137" s="99"/>
      <c r="P137" s="141" t="str">
        <f>VLOOKUP(N136,'imp-answers'!$A$2:$I$50,3,FALSE)</f>
        <v>Yes, for some teams</v>
      </c>
      <c r="Q137" s="141">
        <f>VLOOKUP(N136,'imp-answers'!$A$2:$I$50,7,FALSE)</f>
        <v>0.25</v>
      </c>
    </row>
    <row r="138" spans="13:17" x14ac:dyDescent="0.15">
      <c r="M138" s="660"/>
      <c r="N138" s="660"/>
      <c r="O138" s="139"/>
      <c r="P138" s="141" t="str">
        <f>VLOOKUP(N136,'imp-answers'!$A$2:$I$50,4,FALSE)</f>
        <v>Yes, for at least half of the teams</v>
      </c>
      <c r="Q138" s="141">
        <f>VLOOKUP(N136,'imp-answers'!$A$2:$I$50,8,FALSE)</f>
        <v>0.5</v>
      </c>
    </row>
    <row r="139" spans="13:17" x14ac:dyDescent="0.15">
      <c r="M139" s="660"/>
      <c r="N139" s="660"/>
      <c r="O139" s="101"/>
      <c r="P139" s="141" t="str">
        <f>VLOOKUP(N136,'imp-answers'!$A$2:$I$50,5,FALSE)</f>
        <v>Yes, for most or all of the teams</v>
      </c>
      <c r="Q139" s="141">
        <f>VLOOKUP(N136,'imp-answers'!$A$2:$I$50,9,FALSE)</f>
        <v>1</v>
      </c>
    </row>
    <row r="140" spans="13:17" x14ac:dyDescent="0.15">
      <c r="M140" s="660"/>
      <c r="N140" s="660"/>
      <c r="O140" s="138"/>
    </row>
    <row r="142" spans="13:17" x14ac:dyDescent="0.15">
      <c r="M142" s="659" t="str">
        <f>CHAR(65+N142)</f>
        <v>X</v>
      </c>
      <c r="N142" s="659">
        <v>23</v>
      </c>
      <c r="O142" s="104"/>
      <c r="P142" s="141" t="str">
        <f>VLOOKUP(N142,'imp-answers'!$A$2:$I$50,2,FALSE)</f>
        <v>No</v>
      </c>
      <c r="Q142" s="141">
        <f>VLOOKUP(N142,'imp-answers'!$A$2:$I$50,6,FALSE)</f>
        <v>0</v>
      </c>
    </row>
    <row r="143" spans="13:17" x14ac:dyDescent="0.15">
      <c r="M143" s="660"/>
      <c r="N143" s="660"/>
      <c r="O143" s="99"/>
      <c r="P143" s="141" t="str">
        <f>VLOOKUP(N142,'imp-answers'!$A$2:$I$50,3,FALSE)</f>
        <v>Yes, some of it</v>
      </c>
      <c r="Q143" s="141">
        <f>VLOOKUP(N142,'imp-answers'!$A$2:$I$50,7,FALSE)</f>
        <v>0.25</v>
      </c>
    </row>
    <row r="144" spans="13:17" x14ac:dyDescent="0.15">
      <c r="M144" s="660"/>
      <c r="N144" s="660"/>
      <c r="O144" s="139"/>
      <c r="P144" s="141" t="str">
        <f>VLOOKUP(N142,'imp-answers'!$A$2:$I$50,4,FALSE)</f>
        <v>Yes, at least half of it</v>
      </c>
      <c r="Q144" s="141">
        <f>VLOOKUP(N142,'imp-answers'!$A$2:$I$50,8,FALSE)</f>
        <v>0.5</v>
      </c>
    </row>
    <row r="145" spans="13:17" x14ac:dyDescent="0.15">
      <c r="M145" s="660"/>
      <c r="N145" s="660"/>
      <c r="O145" s="101"/>
      <c r="P145" s="141" t="str">
        <f>VLOOKUP(N142,'imp-answers'!$A$2:$I$50,5,FALSE)</f>
        <v>Yes, most or all of it</v>
      </c>
      <c r="Q145" s="141">
        <f>VLOOKUP(N142,'imp-answers'!$A$2:$I$50,9,FALSE)</f>
        <v>1</v>
      </c>
    </row>
    <row r="146" spans="13:17" x14ac:dyDescent="0.15">
      <c r="M146" s="660"/>
      <c r="N146" s="660"/>
      <c r="O146" s="138"/>
    </row>
    <row r="148" spans="13:17" x14ac:dyDescent="0.15">
      <c r="M148" s="659" t="str">
        <f>CHAR(65+N148)</f>
        <v>Y</v>
      </c>
      <c r="N148" s="659">
        <v>24</v>
      </c>
      <c r="O148" s="104"/>
      <c r="P148" s="141" t="str">
        <f>VLOOKUP(N148,'imp-answers'!$A$2:$I$50,2,FALSE)</f>
        <v>No</v>
      </c>
      <c r="Q148" s="141">
        <f>VLOOKUP(N148,'imp-answers'!$A$2:$I$50,6,FALSE)</f>
        <v>0</v>
      </c>
    </row>
    <row r="149" spans="13:17" x14ac:dyDescent="0.15">
      <c r="M149" s="660"/>
      <c r="N149" s="660"/>
      <c r="O149" s="99"/>
      <c r="P149" s="141" t="str">
        <f>VLOOKUP(N148,'imp-answers'!$A$2:$I$50,3,FALSE)</f>
        <v>Yes, it covers general risks</v>
      </c>
      <c r="Q149" s="141">
        <f>VLOOKUP(N148,'imp-answers'!$A$2:$I$50,7,FALSE)</f>
        <v>0.25</v>
      </c>
    </row>
    <row r="150" spans="13:17" x14ac:dyDescent="0.15">
      <c r="M150" s="660"/>
      <c r="N150" s="660"/>
      <c r="O150" s="139"/>
      <c r="P150" s="141" t="str">
        <f>VLOOKUP(N148,'imp-answers'!$A$2:$I$50,4,FALSE)</f>
        <v>Yes, it covers organization-specific risks</v>
      </c>
      <c r="Q150" s="141">
        <f>VLOOKUP(N148,'imp-answers'!$A$2:$I$50,8,FALSE)</f>
        <v>0.5</v>
      </c>
    </row>
    <row r="151" spans="13:17" x14ac:dyDescent="0.15">
      <c r="M151" s="660"/>
      <c r="N151" s="660"/>
      <c r="O151" s="101"/>
      <c r="P151" s="141" t="str">
        <f>VLOOKUP(N148,'imp-answers'!$A$2:$I$50,5,FALSE)</f>
        <v>Yes, it covers risks and opportunities</v>
      </c>
      <c r="Q151" s="141">
        <f>VLOOKUP(N148,'imp-answers'!$A$2:$I$50,9,FALSE)</f>
        <v>1</v>
      </c>
    </row>
    <row r="152" spans="13:17" x14ac:dyDescent="0.15">
      <c r="M152" s="660"/>
      <c r="N152" s="660"/>
      <c r="O152" s="138"/>
    </row>
  </sheetData>
  <customSheetViews>
    <customSheetView guid="{9846C184-355C-EA4B-8C35-9561D1AEE31C}">
      <selection activeCell="J6" sqref="J6"/>
      <pageMargins left="0.7" right="0.7" top="0.75" bottom="0.75" header="0.3" footer="0.3"/>
    </customSheetView>
  </customSheetViews>
  <mergeCells count="6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40" t="s">
        <v>149</v>
      </c>
      <c r="B1" s="140" t="s">
        <v>150</v>
      </c>
      <c r="C1" s="140" t="s">
        <v>39</v>
      </c>
      <c r="D1" s="140" t="s">
        <v>151</v>
      </c>
      <c r="E1" s="140" t="s">
        <v>86</v>
      </c>
      <c r="F1" s="140" t="s">
        <v>152</v>
      </c>
      <c r="G1" s="140" t="s">
        <v>153</v>
      </c>
      <c r="H1" s="140" t="s">
        <v>154</v>
      </c>
    </row>
    <row r="2" spans="1:8" x14ac:dyDescent="0.15">
      <c r="A2" s="295" t="s">
        <v>278</v>
      </c>
      <c r="B2" s="295" t="s">
        <v>33</v>
      </c>
      <c r="C2" s="295" t="s">
        <v>275</v>
      </c>
      <c r="D2" s="295" t="s">
        <v>276</v>
      </c>
      <c r="E2" s="295">
        <v>3</v>
      </c>
      <c r="F2" s="295" t="s">
        <v>468</v>
      </c>
      <c r="G2" s="295" t="s">
        <v>375</v>
      </c>
      <c r="H2" s="295">
        <v>12</v>
      </c>
    </row>
    <row r="3" spans="1:8" x14ac:dyDescent="0.15">
      <c r="A3" s="295" t="s">
        <v>297</v>
      </c>
      <c r="B3" s="295" t="s">
        <v>33</v>
      </c>
      <c r="C3" s="295" t="s">
        <v>286</v>
      </c>
      <c r="D3" s="295" t="s">
        <v>334</v>
      </c>
      <c r="E3" s="295">
        <v>3</v>
      </c>
      <c r="F3" s="295" t="s">
        <v>352</v>
      </c>
      <c r="G3" s="295" t="s">
        <v>374</v>
      </c>
      <c r="H3" s="295">
        <v>18</v>
      </c>
    </row>
    <row r="4" spans="1:8" x14ac:dyDescent="0.15">
      <c r="A4" s="295" t="s">
        <v>255</v>
      </c>
      <c r="B4" s="295" t="s">
        <v>24</v>
      </c>
      <c r="C4" s="295" t="s">
        <v>25</v>
      </c>
      <c r="D4" s="295" t="s">
        <v>252</v>
      </c>
      <c r="E4" s="295">
        <v>3</v>
      </c>
      <c r="F4" s="295" t="s">
        <v>256</v>
      </c>
      <c r="G4" s="295" t="s">
        <v>469</v>
      </c>
      <c r="H4" s="295">
        <v>23</v>
      </c>
    </row>
    <row r="5" spans="1:8" x14ac:dyDescent="0.15">
      <c r="A5" s="295" t="s">
        <v>194</v>
      </c>
      <c r="B5" s="295" t="s">
        <v>177</v>
      </c>
      <c r="C5" s="295" t="s">
        <v>22</v>
      </c>
      <c r="D5" s="295" t="s">
        <v>191</v>
      </c>
      <c r="E5" s="295">
        <v>3</v>
      </c>
      <c r="F5" s="295" t="s">
        <v>195</v>
      </c>
      <c r="G5" s="295" t="s">
        <v>376</v>
      </c>
      <c r="H5" s="295">
        <v>7</v>
      </c>
    </row>
    <row r="6" spans="1:8" x14ac:dyDescent="0.15">
      <c r="A6" s="295" t="s">
        <v>353</v>
      </c>
      <c r="B6" s="295" t="s">
        <v>24</v>
      </c>
      <c r="C6" s="295" t="s">
        <v>377</v>
      </c>
      <c r="D6" s="295" t="s">
        <v>245</v>
      </c>
      <c r="E6" s="295">
        <v>3</v>
      </c>
      <c r="F6" s="295" t="s">
        <v>247</v>
      </c>
      <c r="G6" s="295" t="s">
        <v>470</v>
      </c>
      <c r="H6" s="295">
        <v>5</v>
      </c>
    </row>
    <row r="7" spans="1:8" x14ac:dyDescent="0.15">
      <c r="A7" s="295" t="s">
        <v>222</v>
      </c>
      <c r="B7" s="295" t="s">
        <v>208</v>
      </c>
      <c r="C7" s="295" t="s">
        <v>219</v>
      </c>
      <c r="D7" s="295" t="s">
        <v>220</v>
      </c>
      <c r="E7" s="295">
        <v>2</v>
      </c>
      <c r="F7" s="295" t="s">
        <v>335</v>
      </c>
      <c r="G7" s="295" t="s">
        <v>471</v>
      </c>
      <c r="H7" s="295">
        <v>5</v>
      </c>
    </row>
    <row r="8" spans="1:8" x14ac:dyDescent="0.15">
      <c r="A8" s="295" t="s">
        <v>354</v>
      </c>
      <c r="B8" s="295" t="s">
        <v>24</v>
      </c>
      <c r="C8" s="295" t="s">
        <v>377</v>
      </c>
      <c r="D8" s="295" t="s">
        <v>248</v>
      </c>
      <c r="E8" s="295">
        <v>1</v>
      </c>
      <c r="F8" s="295" t="s">
        <v>472</v>
      </c>
      <c r="G8" s="295" t="s">
        <v>473</v>
      </c>
      <c r="H8" s="295">
        <v>5</v>
      </c>
    </row>
    <row r="9" spans="1:8" x14ac:dyDescent="0.15">
      <c r="A9" s="295" t="s">
        <v>186</v>
      </c>
      <c r="B9" s="295" t="s">
        <v>177</v>
      </c>
      <c r="C9" s="295" t="s">
        <v>22</v>
      </c>
      <c r="D9" s="295" t="s">
        <v>187</v>
      </c>
      <c r="E9" s="295">
        <v>1</v>
      </c>
      <c r="F9" s="295" t="s">
        <v>26</v>
      </c>
      <c r="G9" s="295" t="s">
        <v>474</v>
      </c>
      <c r="H9" s="295">
        <v>5</v>
      </c>
    </row>
    <row r="10" spans="1:8" x14ac:dyDescent="0.15">
      <c r="A10" s="295" t="s">
        <v>257</v>
      </c>
      <c r="B10" s="295" t="s">
        <v>24</v>
      </c>
      <c r="C10" s="295" t="s">
        <v>25</v>
      </c>
      <c r="D10" s="295" t="s">
        <v>258</v>
      </c>
      <c r="E10" s="295">
        <v>1</v>
      </c>
      <c r="F10" s="295" t="s">
        <v>259</v>
      </c>
      <c r="G10" s="295" t="s">
        <v>475</v>
      </c>
      <c r="H10" s="295">
        <v>12</v>
      </c>
    </row>
    <row r="11" spans="1:8" x14ac:dyDescent="0.15">
      <c r="A11" s="295" t="s">
        <v>285</v>
      </c>
      <c r="B11" s="295" t="s">
        <v>33</v>
      </c>
      <c r="C11" s="295" t="s">
        <v>286</v>
      </c>
      <c r="D11" s="295" t="s">
        <v>287</v>
      </c>
      <c r="E11" s="295">
        <v>1</v>
      </c>
      <c r="F11" s="295" t="s">
        <v>288</v>
      </c>
      <c r="G11" s="295" t="s">
        <v>378</v>
      </c>
      <c r="H11" s="295">
        <v>5</v>
      </c>
    </row>
    <row r="12" spans="1:8" x14ac:dyDescent="0.15">
      <c r="A12" s="295" t="s">
        <v>243</v>
      </c>
      <c r="B12" s="295" t="s">
        <v>24</v>
      </c>
      <c r="C12" s="295" t="s">
        <v>237</v>
      </c>
      <c r="D12" s="295" t="s">
        <v>476</v>
      </c>
      <c r="E12" s="295">
        <v>2</v>
      </c>
      <c r="F12" s="295" t="s">
        <v>477</v>
      </c>
      <c r="G12" s="295" t="s">
        <v>478</v>
      </c>
      <c r="H12" s="295">
        <v>5</v>
      </c>
    </row>
    <row r="13" spans="1:8" x14ac:dyDescent="0.15">
      <c r="A13" s="295" t="s">
        <v>279</v>
      </c>
      <c r="B13" s="295" t="s">
        <v>33</v>
      </c>
      <c r="C13" s="295" t="s">
        <v>275</v>
      </c>
      <c r="D13" s="295" t="s">
        <v>280</v>
      </c>
      <c r="E13" s="295">
        <v>1</v>
      </c>
      <c r="F13" s="295" t="s">
        <v>281</v>
      </c>
      <c r="G13" s="295" t="s">
        <v>379</v>
      </c>
      <c r="H13" s="295">
        <v>12</v>
      </c>
    </row>
    <row r="14" spans="1:8" x14ac:dyDescent="0.15">
      <c r="A14" s="295" t="s">
        <v>283</v>
      </c>
      <c r="B14" s="295" t="s">
        <v>33</v>
      </c>
      <c r="C14" s="295" t="s">
        <v>275</v>
      </c>
      <c r="D14" s="295" t="s">
        <v>280</v>
      </c>
      <c r="E14" s="295">
        <v>3</v>
      </c>
      <c r="F14" s="295" t="s">
        <v>284</v>
      </c>
      <c r="G14" s="295" t="s">
        <v>380</v>
      </c>
      <c r="H14" s="295">
        <v>12</v>
      </c>
    </row>
    <row r="15" spans="1:8" x14ac:dyDescent="0.15">
      <c r="A15" s="295" t="s">
        <v>291</v>
      </c>
      <c r="B15" s="295" t="s">
        <v>33</v>
      </c>
      <c r="C15" s="295" t="s">
        <v>286</v>
      </c>
      <c r="D15" s="295" t="s">
        <v>287</v>
      </c>
      <c r="E15" s="295">
        <v>3</v>
      </c>
      <c r="F15" s="295" t="s">
        <v>292</v>
      </c>
      <c r="G15" s="295" t="s">
        <v>381</v>
      </c>
      <c r="H15" s="295">
        <v>15</v>
      </c>
    </row>
    <row r="16" spans="1:8" x14ac:dyDescent="0.15">
      <c r="A16" s="295" t="s">
        <v>355</v>
      </c>
      <c r="B16" s="295" t="s">
        <v>24</v>
      </c>
      <c r="C16" s="295" t="s">
        <v>377</v>
      </c>
      <c r="D16" s="295" t="s">
        <v>248</v>
      </c>
      <c r="E16" s="295">
        <v>3</v>
      </c>
      <c r="F16" s="295" t="s">
        <v>250</v>
      </c>
      <c r="G16" s="295" t="s">
        <v>382</v>
      </c>
      <c r="H16" s="295">
        <v>7</v>
      </c>
    </row>
    <row r="17" spans="1:8" x14ac:dyDescent="0.15">
      <c r="A17" s="295" t="s">
        <v>189</v>
      </c>
      <c r="B17" s="295" t="s">
        <v>177</v>
      </c>
      <c r="C17" s="295" t="s">
        <v>22</v>
      </c>
      <c r="D17" s="295" t="s">
        <v>187</v>
      </c>
      <c r="E17" s="295">
        <v>3</v>
      </c>
      <c r="F17" s="295" t="s">
        <v>356</v>
      </c>
      <c r="G17" s="295" t="s">
        <v>383</v>
      </c>
      <c r="H17" s="295">
        <v>5</v>
      </c>
    </row>
    <row r="18" spans="1:8" x14ac:dyDescent="0.15">
      <c r="A18" s="295" t="s">
        <v>262</v>
      </c>
      <c r="B18" s="295" t="s">
        <v>24</v>
      </c>
      <c r="C18" s="295" t="s">
        <v>25</v>
      </c>
      <c r="D18" s="295" t="s">
        <v>258</v>
      </c>
      <c r="E18" s="295">
        <v>3</v>
      </c>
      <c r="F18" s="295" t="s">
        <v>263</v>
      </c>
      <c r="G18" s="295" t="s">
        <v>479</v>
      </c>
      <c r="H18" s="295">
        <v>19</v>
      </c>
    </row>
    <row r="19" spans="1:8" x14ac:dyDescent="0.15">
      <c r="A19" s="295" t="s">
        <v>227</v>
      </c>
      <c r="B19" s="295" t="s">
        <v>208</v>
      </c>
      <c r="C19" s="295" t="s">
        <v>219</v>
      </c>
      <c r="D19" s="295" t="s">
        <v>226</v>
      </c>
      <c r="E19" s="295">
        <v>2</v>
      </c>
      <c r="F19" s="295" t="s">
        <v>480</v>
      </c>
      <c r="G19" s="295" t="s">
        <v>481</v>
      </c>
      <c r="H19" s="295">
        <v>5</v>
      </c>
    </row>
    <row r="20" spans="1:8" x14ac:dyDescent="0.15">
      <c r="A20" s="295" t="s">
        <v>251</v>
      </c>
      <c r="B20" s="295" t="s">
        <v>24</v>
      </c>
      <c r="C20" s="295" t="s">
        <v>25</v>
      </c>
      <c r="D20" s="295" t="s">
        <v>252</v>
      </c>
      <c r="E20" s="295">
        <v>1</v>
      </c>
      <c r="F20" s="295" t="s">
        <v>253</v>
      </c>
      <c r="G20" s="295" t="s">
        <v>482</v>
      </c>
      <c r="H20" s="295">
        <v>2</v>
      </c>
    </row>
    <row r="21" spans="1:8" x14ac:dyDescent="0.15">
      <c r="A21" s="295" t="s">
        <v>190</v>
      </c>
      <c r="B21" s="295" t="s">
        <v>177</v>
      </c>
      <c r="C21" s="295" t="s">
        <v>22</v>
      </c>
      <c r="D21" s="295" t="s">
        <v>191</v>
      </c>
      <c r="E21" s="295">
        <v>1</v>
      </c>
      <c r="F21" s="295" t="s">
        <v>192</v>
      </c>
      <c r="G21" s="295" t="s">
        <v>384</v>
      </c>
      <c r="H21" s="295">
        <v>7</v>
      </c>
    </row>
    <row r="22" spans="1:8" x14ac:dyDescent="0.15">
      <c r="A22" s="295" t="s">
        <v>357</v>
      </c>
      <c r="B22" s="295" t="s">
        <v>24</v>
      </c>
      <c r="C22" s="295" t="s">
        <v>377</v>
      </c>
      <c r="D22" s="295" t="s">
        <v>245</v>
      </c>
      <c r="E22" s="295">
        <v>1</v>
      </c>
      <c r="F22" s="295" t="s">
        <v>246</v>
      </c>
      <c r="G22" s="295" t="s">
        <v>483</v>
      </c>
      <c r="H22" s="295">
        <v>2</v>
      </c>
    </row>
    <row r="23" spans="1:8" x14ac:dyDescent="0.15">
      <c r="A23" s="295" t="s">
        <v>293</v>
      </c>
      <c r="B23" s="295" t="s">
        <v>33</v>
      </c>
      <c r="C23" s="295" t="s">
        <v>286</v>
      </c>
      <c r="D23" s="295" t="s">
        <v>334</v>
      </c>
      <c r="E23" s="295">
        <v>1</v>
      </c>
      <c r="F23" s="295" t="s">
        <v>294</v>
      </c>
      <c r="G23" s="295" t="s">
        <v>385</v>
      </c>
      <c r="H23" s="295">
        <v>5</v>
      </c>
    </row>
    <row r="24" spans="1:8" x14ac:dyDescent="0.15">
      <c r="A24" s="295" t="s">
        <v>239</v>
      </c>
      <c r="B24" s="295" t="s">
        <v>24</v>
      </c>
      <c r="C24" s="295" t="s">
        <v>237</v>
      </c>
      <c r="D24" s="295" t="s">
        <v>238</v>
      </c>
      <c r="E24" s="295">
        <v>2</v>
      </c>
      <c r="F24" s="295" t="s">
        <v>484</v>
      </c>
      <c r="G24" s="295" t="s">
        <v>485</v>
      </c>
      <c r="H24" s="295">
        <v>5</v>
      </c>
    </row>
    <row r="25" spans="1:8" x14ac:dyDescent="0.15">
      <c r="A25" s="295" t="s">
        <v>274</v>
      </c>
      <c r="B25" s="295" t="s">
        <v>33</v>
      </c>
      <c r="C25" s="295" t="s">
        <v>275</v>
      </c>
      <c r="D25" s="295" t="s">
        <v>276</v>
      </c>
      <c r="E25" s="295">
        <v>1</v>
      </c>
      <c r="F25" s="295" t="s">
        <v>336</v>
      </c>
      <c r="G25" s="295" t="s">
        <v>386</v>
      </c>
      <c r="H25" s="295">
        <v>12</v>
      </c>
    </row>
    <row r="26" spans="1:8" x14ac:dyDescent="0.15">
      <c r="A26" s="295" t="s">
        <v>267</v>
      </c>
      <c r="B26" s="295" t="s">
        <v>33</v>
      </c>
      <c r="C26" s="295" t="s">
        <v>265</v>
      </c>
      <c r="D26" s="295" t="s">
        <v>266</v>
      </c>
      <c r="E26" s="295">
        <v>2</v>
      </c>
      <c r="F26" s="295" t="s">
        <v>358</v>
      </c>
      <c r="G26" s="295" t="s">
        <v>387</v>
      </c>
      <c r="H26" s="295">
        <v>5</v>
      </c>
    </row>
    <row r="27" spans="1:8" x14ac:dyDescent="0.15">
      <c r="A27" s="295" t="s">
        <v>172</v>
      </c>
      <c r="B27" s="295" t="s">
        <v>17</v>
      </c>
      <c r="C27" s="295" t="s">
        <v>20</v>
      </c>
      <c r="D27" s="295" t="s">
        <v>171</v>
      </c>
      <c r="E27" s="295">
        <v>2</v>
      </c>
      <c r="F27" s="295" t="s">
        <v>173</v>
      </c>
      <c r="G27" s="295" t="s">
        <v>388</v>
      </c>
      <c r="H27" s="295">
        <v>11</v>
      </c>
    </row>
    <row r="28" spans="1:8" x14ac:dyDescent="0.15">
      <c r="A28" s="295" t="s">
        <v>272</v>
      </c>
      <c r="B28" s="295" t="s">
        <v>33</v>
      </c>
      <c r="C28" s="295" t="s">
        <v>265</v>
      </c>
      <c r="D28" s="295" t="s">
        <v>271</v>
      </c>
      <c r="E28" s="295">
        <v>2</v>
      </c>
      <c r="F28" s="295" t="s">
        <v>486</v>
      </c>
      <c r="G28" s="295" t="s">
        <v>389</v>
      </c>
      <c r="H28" s="295">
        <v>16</v>
      </c>
    </row>
    <row r="29" spans="1:8" x14ac:dyDescent="0.15">
      <c r="A29" s="295" t="s">
        <v>168</v>
      </c>
      <c r="B29" s="295" t="s">
        <v>17</v>
      </c>
      <c r="C29" s="295" t="s">
        <v>20</v>
      </c>
      <c r="D29" s="295" t="s">
        <v>166</v>
      </c>
      <c r="E29" s="295">
        <v>2</v>
      </c>
      <c r="F29" s="295" t="s">
        <v>348</v>
      </c>
      <c r="G29" s="295" t="s">
        <v>390</v>
      </c>
      <c r="H29" s="295">
        <v>8</v>
      </c>
    </row>
    <row r="30" spans="1:8" x14ac:dyDescent="0.15">
      <c r="A30" s="295" t="s">
        <v>228</v>
      </c>
      <c r="B30" s="295" t="s">
        <v>208</v>
      </c>
      <c r="C30" s="295" t="s">
        <v>219</v>
      </c>
      <c r="D30" s="295" t="s">
        <v>226</v>
      </c>
      <c r="E30" s="295">
        <v>3</v>
      </c>
      <c r="F30" s="295" t="s">
        <v>487</v>
      </c>
      <c r="G30" s="295" t="s">
        <v>488</v>
      </c>
      <c r="H30" s="295">
        <v>5</v>
      </c>
    </row>
    <row r="31" spans="1:8" x14ac:dyDescent="0.15">
      <c r="A31" s="295" t="s">
        <v>242</v>
      </c>
      <c r="B31" s="295" t="s">
        <v>24</v>
      </c>
      <c r="C31" s="295" t="s">
        <v>237</v>
      </c>
      <c r="D31" s="295" t="s">
        <v>476</v>
      </c>
      <c r="E31" s="295">
        <v>1</v>
      </c>
      <c r="F31" s="295" t="s">
        <v>489</v>
      </c>
      <c r="G31" s="295" t="s">
        <v>490</v>
      </c>
      <c r="H31" s="295">
        <v>5</v>
      </c>
    </row>
    <row r="32" spans="1:8" x14ac:dyDescent="0.15">
      <c r="A32" s="295" t="s">
        <v>289</v>
      </c>
      <c r="B32" s="295" t="s">
        <v>33</v>
      </c>
      <c r="C32" s="295" t="s">
        <v>286</v>
      </c>
      <c r="D32" s="295" t="s">
        <v>287</v>
      </c>
      <c r="E32" s="295">
        <v>2</v>
      </c>
      <c r="F32" s="295" t="s">
        <v>290</v>
      </c>
      <c r="G32" s="295" t="s">
        <v>391</v>
      </c>
      <c r="H32" s="295">
        <v>14</v>
      </c>
    </row>
    <row r="33" spans="1:8" x14ac:dyDescent="0.15">
      <c r="A33" s="295" t="s">
        <v>188</v>
      </c>
      <c r="B33" s="295" t="s">
        <v>177</v>
      </c>
      <c r="C33" s="295" t="s">
        <v>22</v>
      </c>
      <c r="D33" s="295" t="s">
        <v>187</v>
      </c>
      <c r="E33" s="295">
        <v>2</v>
      </c>
      <c r="F33" s="295" t="s">
        <v>491</v>
      </c>
      <c r="G33" s="295" t="s">
        <v>492</v>
      </c>
      <c r="H33" s="295">
        <v>7</v>
      </c>
    </row>
    <row r="34" spans="1:8" x14ac:dyDescent="0.15">
      <c r="A34" s="295" t="s">
        <v>359</v>
      </c>
      <c r="B34" s="295" t="s">
        <v>24</v>
      </c>
      <c r="C34" s="295" t="s">
        <v>377</v>
      </c>
      <c r="D34" s="295" t="s">
        <v>248</v>
      </c>
      <c r="E34" s="295">
        <v>2</v>
      </c>
      <c r="F34" s="295" t="s">
        <v>249</v>
      </c>
      <c r="G34" s="295" t="s">
        <v>392</v>
      </c>
      <c r="H34" s="295">
        <v>7</v>
      </c>
    </row>
    <row r="35" spans="1:8" x14ac:dyDescent="0.15">
      <c r="A35" s="295" t="s">
        <v>260</v>
      </c>
      <c r="B35" s="295" t="s">
        <v>24</v>
      </c>
      <c r="C35" s="295" t="s">
        <v>25</v>
      </c>
      <c r="D35" s="295" t="s">
        <v>258</v>
      </c>
      <c r="E35" s="295">
        <v>2</v>
      </c>
      <c r="F35" s="295" t="s">
        <v>261</v>
      </c>
      <c r="G35" s="295" t="s">
        <v>493</v>
      </c>
      <c r="H35" s="295">
        <v>5</v>
      </c>
    </row>
    <row r="36" spans="1:8" x14ac:dyDescent="0.15">
      <c r="A36" s="295" t="s">
        <v>282</v>
      </c>
      <c r="B36" s="295" t="s">
        <v>33</v>
      </c>
      <c r="C36" s="295" t="s">
        <v>275</v>
      </c>
      <c r="D36" s="295" t="s">
        <v>280</v>
      </c>
      <c r="E36" s="295">
        <v>2</v>
      </c>
      <c r="F36" s="295" t="s">
        <v>360</v>
      </c>
      <c r="G36" s="295" t="s">
        <v>393</v>
      </c>
      <c r="H36" s="295">
        <v>12</v>
      </c>
    </row>
    <row r="37" spans="1:8" x14ac:dyDescent="0.15">
      <c r="A37" s="295" t="s">
        <v>240</v>
      </c>
      <c r="B37" s="295" t="s">
        <v>24</v>
      </c>
      <c r="C37" s="295" t="s">
        <v>237</v>
      </c>
      <c r="D37" s="295" t="s">
        <v>238</v>
      </c>
      <c r="E37" s="295">
        <v>3</v>
      </c>
      <c r="F37" s="295" t="s">
        <v>241</v>
      </c>
      <c r="G37" s="295" t="s">
        <v>394</v>
      </c>
      <c r="H37" s="295">
        <v>5</v>
      </c>
    </row>
    <row r="38" spans="1:8" x14ac:dyDescent="0.15">
      <c r="A38" s="295" t="s">
        <v>218</v>
      </c>
      <c r="B38" s="295" t="s">
        <v>208</v>
      </c>
      <c r="C38" s="295" t="s">
        <v>219</v>
      </c>
      <c r="D38" s="295" t="s">
        <v>220</v>
      </c>
      <c r="E38" s="295">
        <v>1</v>
      </c>
      <c r="F38" s="295" t="s">
        <v>221</v>
      </c>
      <c r="G38" s="295" t="s">
        <v>395</v>
      </c>
      <c r="H38" s="295">
        <v>5</v>
      </c>
    </row>
    <row r="39" spans="1:8" x14ac:dyDescent="0.15">
      <c r="A39" s="295" t="s">
        <v>223</v>
      </c>
      <c r="B39" s="295" t="s">
        <v>208</v>
      </c>
      <c r="C39" s="295" t="s">
        <v>219</v>
      </c>
      <c r="D39" s="295" t="s">
        <v>220</v>
      </c>
      <c r="E39" s="295">
        <v>3</v>
      </c>
      <c r="F39" s="295" t="s">
        <v>224</v>
      </c>
      <c r="G39" s="295" t="s">
        <v>494</v>
      </c>
      <c r="H39" s="295">
        <v>5</v>
      </c>
    </row>
    <row r="40" spans="1:8" x14ac:dyDescent="0.15">
      <c r="A40" s="295" t="s">
        <v>236</v>
      </c>
      <c r="B40" s="295" t="s">
        <v>24</v>
      </c>
      <c r="C40" s="295" t="s">
        <v>237</v>
      </c>
      <c r="D40" s="295" t="s">
        <v>238</v>
      </c>
      <c r="E40" s="295">
        <v>1</v>
      </c>
      <c r="F40" s="295" t="s">
        <v>495</v>
      </c>
      <c r="G40" s="295" t="s">
        <v>496</v>
      </c>
      <c r="H40" s="295">
        <v>5</v>
      </c>
    </row>
    <row r="41" spans="1:8" x14ac:dyDescent="0.15">
      <c r="A41" s="295" t="s">
        <v>295</v>
      </c>
      <c r="B41" s="295" t="s">
        <v>33</v>
      </c>
      <c r="C41" s="295" t="s">
        <v>286</v>
      </c>
      <c r="D41" s="295" t="s">
        <v>334</v>
      </c>
      <c r="E41" s="295">
        <v>2</v>
      </c>
      <c r="F41" s="295" t="s">
        <v>296</v>
      </c>
      <c r="G41" s="295" t="s">
        <v>396</v>
      </c>
      <c r="H41" s="295">
        <v>7</v>
      </c>
    </row>
    <row r="42" spans="1:8" x14ac:dyDescent="0.15">
      <c r="A42" s="295" t="s">
        <v>254</v>
      </c>
      <c r="B42" s="295" t="s">
        <v>24</v>
      </c>
      <c r="C42" s="295" t="s">
        <v>25</v>
      </c>
      <c r="D42" s="295" t="s">
        <v>252</v>
      </c>
      <c r="E42" s="295">
        <v>2</v>
      </c>
      <c r="F42" s="295" t="s">
        <v>497</v>
      </c>
      <c r="G42" s="295" t="s">
        <v>498</v>
      </c>
      <c r="H42" s="295">
        <v>2</v>
      </c>
    </row>
    <row r="43" spans="1:8" x14ac:dyDescent="0.15">
      <c r="A43" s="295" t="s">
        <v>361</v>
      </c>
      <c r="B43" s="295" t="s">
        <v>24</v>
      </c>
      <c r="C43" s="295" t="s">
        <v>377</v>
      </c>
      <c r="D43" s="295" t="s">
        <v>245</v>
      </c>
      <c r="E43" s="295">
        <v>2</v>
      </c>
      <c r="F43" s="295" t="s">
        <v>499</v>
      </c>
      <c r="G43" s="295" t="s">
        <v>500</v>
      </c>
      <c r="H43" s="295">
        <v>2</v>
      </c>
    </row>
    <row r="44" spans="1:8" x14ac:dyDescent="0.15">
      <c r="A44" s="295" t="s">
        <v>193</v>
      </c>
      <c r="B44" s="295" t="s">
        <v>177</v>
      </c>
      <c r="C44" s="295" t="s">
        <v>22</v>
      </c>
      <c r="D44" s="295" t="s">
        <v>191</v>
      </c>
      <c r="E44" s="295">
        <v>2</v>
      </c>
      <c r="F44" s="295" t="s">
        <v>501</v>
      </c>
      <c r="G44" s="295" t="s">
        <v>502</v>
      </c>
      <c r="H44" s="295">
        <v>7</v>
      </c>
    </row>
    <row r="45" spans="1:8" x14ac:dyDescent="0.15">
      <c r="A45" s="295" t="s">
        <v>277</v>
      </c>
      <c r="B45" s="295" t="s">
        <v>33</v>
      </c>
      <c r="C45" s="295" t="s">
        <v>275</v>
      </c>
      <c r="D45" s="295" t="s">
        <v>276</v>
      </c>
      <c r="E45" s="295">
        <v>2</v>
      </c>
      <c r="F45" s="295" t="s">
        <v>337</v>
      </c>
      <c r="G45" s="295" t="s">
        <v>397</v>
      </c>
      <c r="H45" s="295">
        <v>12</v>
      </c>
    </row>
    <row r="46" spans="1:8" x14ac:dyDescent="0.15">
      <c r="A46" s="295" t="s">
        <v>244</v>
      </c>
      <c r="B46" s="295" t="s">
        <v>24</v>
      </c>
      <c r="C46" s="295" t="s">
        <v>237</v>
      </c>
      <c r="D46" s="295" t="s">
        <v>476</v>
      </c>
      <c r="E46" s="295">
        <v>3</v>
      </c>
      <c r="F46" s="295" t="s">
        <v>503</v>
      </c>
      <c r="G46" s="295" t="s">
        <v>504</v>
      </c>
      <c r="H46" s="295">
        <v>5</v>
      </c>
    </row>
    <row r="47" spans="1:8" x14ac:dyDescent="0.15">
      <c r="A47" s="295" t="s">
        <v>225</v>
      </c>
      <c r="B47" s="295" t="s">
        <v>208</v>
      </c>
      <c r="C47" s="295" t="s">
        <v>219</v>
      </c>
      <c r="D47" s="295" t="s">
        <v>226</v>
      </c>
      <c r="E47" s="295">
        <v>1</v>
      </c>
      <c r="F47" s="295" t="s">
        <v>338</v>
      </c>
      <c r="G47" s="295" t="s">
        <v>398</v>
      </c>
      <c r="H47" s="295">
        <v>5</v>
      </c>
    </row>
    <row r="48" spans="1:8" x14ac:dyDescent="0.15">
      <c r="A48" s="295" t="s">
        <v>169</v>
      </c>
      <c r="B48" s="295" t="s">
        <v>17</v>
      </c>
      <c r="C48" s="295" t="s">
        <v>20</v>
      </c>
      <c r="D48" s="295" t="s">
        <v>166</v>
      </c>
      <c r="E48" s="295">
        <v>3</v>
      </c>
      <c r="F48" s="295" t="s">
        <v>349</v>
      </c>
      <c r="G48" s="295" t="s">
        <v>399</v>
      </c>
      <c r="H48" s="295">
        <v>8</v>
      </c>
    </row>
    <row r="49" spans="1:8" x14ac:dyDescent="0.15">
      <c r="A49" s="295" t="s">
        <v>273</v>
      </c>
      <c r="B49" s="295" t="s">
        <v>33</v>
      </c>
      <c r="C49" s="295" t="s">
        <v>265</v>
      </c>
      <c r="D49" s="295" t="s">
        <v>271</v>
      </c>
      <c r="E49" s="295">
        <v>3</v>
      </c>
      <c r="F49" s="295" t="s">
        <v>505</v>
      </c>
      <c r="G49" s="295" t="s">
        <v>400</v>
      </c>
      <c r="H49" s="295">
        <v>7</v>
      </c>
    </row>
    <row r="50" spans="1:8" x14ac:dyDescent="0.15">
      <c r="A50" s="295" t="s">
        <v>264</v>
      </c>
      <c r="B50" s="295" t="s">
        <v>33</v>
      </c>
      <c r="C50" s="295" t="s">
        <v>265</v>
      </c>
      <c r="D50" s="295" t="s">
        <v>266</v>
      </c>
      <c r="E50" s="295">
        <v>1</v>
      </c>
      <c r="F50" s="295" t="s">
        <v>362</v>
      </c>
      <c r="G50" s="295" t="s">
        <v>401</v>
      </c>
      <c r="H50" s="295">
        <v>5</v>
      </c>
    </row>
    <row r="51" spans="1:8" x14ac:dyDescent="0.15">
      <c r="A51" s="295" t="s">
        <v>170</v>
      </c>
      <c r="B51" s="295" t="s">
        <v>17</v>
      </c>
      <c r="C51" s="295" t="s">
        <v>20</v>
      </c>
      <c r="D51" s="295" t="s">
        <v>171</v>
      </c>
      <c r="E51" s="295">
        <v>1</v>
      </c>
      <c r="F51" s="295" t="s">
        <v>350</v>
      </c>
      <c r="G51" s="295" t="s">
        <v>506</v>
      </c>
      <c r="H51" s="295">
        <v>22</v>
      </c>
    </row>
    <row r="52" spans="1:8" x14ac:dyDescent="0.15">
      <c r="A52" s="295" t="s">
        <v>174</v>
      </c>
      <c r="B52" s="295" t="s">
        <v>17</v>
      </c>
      <c r="C52" s="295" t="s">
        <v>20</v>
      </c>
      <c r="D52" s="295" t="s">
        <v>171</v>
      </c>
      <c r="E52" s="295">
        <v>3</v>
      </c>
      <c r="F52" s="295" t="s">
        <v>175</v>
      </c>
      <c r="G52" s="295" t="s">
        <v>507</v>
      </c>
      <c r="H52" s="295">
        <v>11</v>
      </c>
    </row>
    <row r="53" spans="1:8" x14ac:dyDescent="0.15">
      <c r="A53" s="295" t="s">
        <v>268</v>
      </c>
      <c r="B53" s="295" t="s">
        <v>33</v>
      </c>
      <c r="C53" s="295" t="s">
        <v>265</v>
      </c>
      <c r="D53" s="295" t="s">
        <v>266</v>
      </c>
      <c r="E53" s="295">
        <v>3</v>
      </c>
      <c r="F53" s="295" t="s">
        <v>269</v>
      </c>
      <c r="G53" s="295" t="s">
        <v>402</v>
      </c>
      <c r="H53" s="295">
        <v>5</v>
      </c>
    </row>
    <row r="54" spans="1:8" x14ac:dyDescent="0.15">
      <c r="A54" s="295" t="s">
        <v>270</v>
      </c>
      <c r="B54" s="295" t="s">
        <v>33</v>
      </c>
      <c r="C54" s="295" t="s">
        <v>265</v>
      </c>
      <c r="D54" s="295" t="s">
        <v>271</v>
      </c>
      <c r="E54" s="295">
        <v>1</v>
      </c>
      <c r="F54" s="295" t="s">
        <v>363</v>
      </c>
      <c r="G54" s="295" t="s">
        <v>403</v>
      </c>
      <c r="H54" s="295">
        <v>17</v>
      </c>
    </row>
    <row r="55" spans="1:8" x14ac:dyDescent="0.15">
      <c r="A55" s="295" t="s">
        <v>165</v>
      </c>
      <c r="B55" s="295" t="s">
        <v>17</v>
      </c>
      <c r="C55" s="295" t="s">
        <v>20</v>
      </c>
      <c r="D55" s="295" t="s">
        <v>166</v>
      </c>
      <c r="E55" s="295">
        <v>1</v>
      </c>
      <c r="F55" s="295" t="s">
        <v>167</v>
      </c>
      <c r="G55" s="295" t="s">
        <v>404</v>
      </c>
      <c r="H55" s="295">
        <v>2</v>
      </c>
    </row>
    <row r="56" spans="1:8" x14ac:dyDescent="0.15">
      <c r="A56" s="295" t="s">
        <v>306</v>
      </c>
      <c r="B56" s="295" t="s">
        <v>17</v>
      </c>
      <c r="C56" s="295" t="s">
        <v>19</v>
      </c>
      <c r="D56" s="295" t="s">
        <v>339</v>
      </c>
      <c r="E56" s="295">
        <v>3</v>
      </c>
      <c r="F56" s="295" t="s">
        <v>300</v>
      </c>
      <c r="G56" s="295" t="s">
        <v>405</v>
      </c>
      <c r="H56" s="295">
        <v>4</v>
      </c>
    </row>
    <row r="57" spans="1:8" x14ac:dyDescent="0.15">
      <c r="A57" s="295" t="s">
        <v>179</v>
      </c>
      <c r="B57" s="295" t="s">
        <v>177</v>
      </c>
      <c r="C57" s="295" t="s">
        <v>21</v>
      </c>
      <c r="D57" s="295" t="s">
        <v>178</v>
      </c>
      <c r="E57" s="295">
        <v>2</v>
      </c>
      <c r="F57" s="295" t="s">
        <v>340</v>
      </c>
      <c r="G57" s="295" t="s">
        <v>406</v>
      </c>
      <c r="H57" s="295">
        <v>5</v>
      </c>
    </row>
    <row r="58" spans="1:8" x14ac:dyDescent="0.15">
      <c r="A58" s="295" t="s">
        <v>307</v>
      </c>
      <c r="B58" s="295" t="s">
        <v>17</v>
      </c>
      <c r="C58" s="295" t="s">
        <v>19</v>
      </c>
      <c r="D58" s="295" t="s">
        <v>302</v>
      </c>
      <c r="E58" s="295">
        <v>1</v>
      </c>
      <c r="F58" s="295" t="s">
        <v>303</v>
      </c>
      <c r="G58" s="295" t="s">
        <v>407</v>
      </c>
      <c r="H58" s="295">
        <v>5</v>
      </c>
    </row>
    <row r="59" spans="1:8" x14ac:dyDescent="0.15">
      <c r="A59" s="295" t="s">
        <v>231</v>
      </c>
      <c r="B59" s="295" t="s">
        <v>208</v>
      </c>
      <c r="C59" s="295" t="s">
        <v>230</v>
      </c>
      <c r="D59" s="295" t="s">
        <v>408</v>
      </c>
      <c r="E59" s="295">
        <v>2</v>
      </c>
      <c r="F59" s="295" t="s">
        <v>508</v>
      </c>
      <c r="G59" s="295" t="s">
        <v>509</v>
      </c>
      <c r="H59" s="295">
        <v>5</v>
      </c>
    </row>
    <row r="60" spans="1:8" x14ac:dyDescent="0.15">
      <c r="A60" s="295" t="s">
        <v>309</v>
      </c>
      <c r="B60" s="295" t="s">
        <v>17</v>
      </c>
      <c r="C60" s="295" t="s">
        <v>19</v>
      </c>
      <c r="D60" s="295" t="s">
        <v>302</v>
      </c>
      <c r="E60" s="295">
        <v>3</v>
      </c>
      <c r="F60" s="295" t="s">
        <v>364</v>
      </c>
      <c r="G60" s="295" t="s">
        <v>409</v>
      </c>
      <c r="H60" s="295">
        <v>4</v>
      </c>
    </row>
    <row r="61" spans="1:8" x14ac:dyDescent="0.15">
      <c r="A61" s="295" t="s">
        <v>184</v>
      </c>
      <c r="B61" s="295" t="s">
        <v>177</v>
      </c>
      <c r="C61" s="295" t="s">
        <v>21</v>
      </c>
      <c r="D61" s="295" t="s">
        <v>183</v>
      </c>
      <c r="E61" s="295">
        <v>2</v>
      </c>
      <c r="F61" s="295" t="s">
        <v>510</v>
      </c>
      <c r="G61" s="295" t="s">
        <v>511</v>
      </c>
      <c r="H61" s="295">
        <v>5</v>
      </c>
    </row>
    <row r="62" spans="1:8" x14ac:dyDescent="0.15">
      <c r="A62" s="295" t="s">
        <v>304</v>
      </c>
      <c r="B62" s="295" t="s">
        <v>17</v>
      </c>
      <c r="C62" s="295" t="s">
        <v>19</v>
      </c>
      <c r="D62" s="295" t="s">
        <v>339</v>
      </c>
      <c r="E62" s="295">
        <v>1</v>
      </c>
      <c r="F62" s="295" t="s">
        <v>365</v>
      </c>
      <c r="G62" s="295" t="s">
        <v>410</v>
      </c>
      <c r="H62" s="295">
        <v>5</v>
      </c>
    </row>
    <row r="63" spans="1:8" x14ac:dyDescent="0.15">
      <c r="A63" s="295" t="s">
        <v>234</v>
      </c>
      <c r="B63" s="295" t="s">
        <v>208</v>
      </c>
      <c r="C63" s="295" t="s">
        <v>230</v>
      </c>
      <c r="D63" s="295" t="s">
        <v>411</v>
      </c>
      <c r="E63" s="295">
        <v>2</v>
      </c>
      <c r="F63" s="295" t="s">
        <v>341</v>
      </c>
      <c r="G63" s="295" t="s">
        <v>512</v>
      </c>
      <c r="H63" s="295">
        <v>5</v>
      </c>
    </row>
    <row r="64" spans="1:8" x14ac:dyDescent="0.15">
      <c r="A64" s="295" t="s">
        <v>155</v>
      </c>
      <c r="B64" s="295" t="s">
        <v>17</v>
      </c>
      <c r="C64" s="295" t="s">
        <v>18</v>
      </c>
      <c r="D64" s="295" t="s">
        <v>156</v>
      </c>
      <c r="E64" s="295">
        <v>1</v>
      </c>
      <c r="F64" s="295" t="s">
        <v>513</v>
      </c>
      <c r="G64" s="295" t="s">
        <v>412</v>
      </c>
      <c r="H64" s="295">
        <v>24</v>
      </c>
    </row>
    <row r="65" spans="1:8" x14ac:dyDescent="0.15">
      <c r="A65" s="295" t="s">
        <v>196</v>
      </c>
      <c r="B65" s="295" t="s">
        <v>177</v>
      </c>
      <c r="C65" s="295" t="s">
        <v>197</v>
      </c>
      <c r="D65" s="295" t="s">
        <v>198</v>
      </c>
      <c r="E65" s="295">
        <v>1</v>
      </c>
      <c r="F65" s="295" t="s">
        <v>199</v>
      </c>
      <c r="G65" s="295" t="s">
        <v>413</v>
      </c>
      <c r="H65" s="295">
        <v>5</v>
      </c>
    </row>
    <row r="66" spans="1:8" x14ac:dyDescent="0.15">
      <c r="A66" s="295" t="s">
        <v>211</v>
      </c>
      <c r="B66" s="295" t="s">
        <v>208</v>
      </c>
      <c r="C66" s="295" t="s">
        <v>209</v>
      </c>
      <c r="D66" s="295" t="s">
        <v>210</v>
      </c>
      <c r="E66" s="295">
        <v>2</v>
      </c>
      <c r="F66" s="295" t="s">
        <v>342</v>
      </c>
      <c r="G66" s="295" t="s">
        <v>414</v>
      </c>
      <c r="H66" s="295">
        <v>5</v>
      </c>
    </row>
    <row r="67" spans="1:8" x14ac:dyDescent="0.15">
      <c r="A67" s="295" t="s">
        <v>206</v>
      </c>
      <c r="B67" s="295" t="s">
        <v>177</v>
      </c>
      <c r="C67" s="295" t="s">
        <v>197</v>
      </c>
      <c r="D67" s="295" t="s">
        <v>204</v>
      </c>
      <c r="E67" s="295">
        <v>3</v>
      </c>
      <c r="F67" s="295" t="s">
        <v>366</v>
      </c>
      <c r="G67" s="295" t="s">
        <v>415</v>
      </c>
      <c r="H67" s="295">
        <v>5</v>
      </c>
    </row>
    <row r="68" spans="1:8" x14ac:dyDescent="0.15">
      <c r="A68" s="295" t="s">
        <v>164</v>
      </c>
      <c r="B68" s="295" t="s">
        <v>17</v>
      </c>
      <c r="C68" s="295" t="s">
        <v>18</v>
      </c>
      <c r="D68" s="295" t="s">
        <v>161</v>
      </c>
      <c r="E68" s="295">
        <v>3</v>
      </c>
      <c r="F68" s="295" t="s">
        <v>367</v>
      </c>
      <c r="G68" s="295" t="s">
        <v>416</v>
      </c>
      <c r="H68" s="295">
        <v>13</v>
      </c>
    </row>
    <row r="69" spans="1:8" x14ac:dyDescent="0.15">
      <c r="A69" s="295" t="s">
        <v>160</v>
      </c>
      <c r="B69" s="295" t="s">
        <v>17</v>
      </c>
      <c r="C69" s="295" t="s">
        <v>18</v>
      </c>
      <c r="D69" s="295" t="s">
        <v>161</v>
      </c>
      <c r="E69" s="295">
        <v>1</v>
      </c>
      <c r="F69" s="295" t="s">
        <v>368</v>
      </c>
      <c r="G69" s="295" t="s">
        <v>417</v>
      </c>
      <c r="H69" s="295">
        <v>10</v>
      </c>
    </row>
    <row r="70" spans="1:8" x14ac:dyDescent="0.15">
      <c r="A70" s="295" t="s">
        <v>203</v>
      </c>
      <c r="B70" s="295" t="s">
        <v>177</v>
      </c>
      <c r="C70" s="295" t="s">
        <v>197</v>
      </c>
      <c r="D70" s="295" t="s">
        <v>204</v>
      </c>
      <c r="E70" s="295">
        <v>1</v>
      </c>
      <c r="F70" s="295" t="s">
        <v>369</v>
      </c>
      <c r="G70" s="295" t="s">
        <v>418</v>
      </c>
      <c r="H70" s="295">
        <v>5</v>
      </c>
    </row>
    <row r="71" spans="1:8" x14ac:dyDescent="0.15">
      <c r="A71" s="295" t="s">
        <v>215</v>
      </c>
      <c r="B71" s="295" t="s">
        <v>208</v>
      </c>
      <c r="C71" s="295" t="s">
        <v>209</v>
      </c>
      <c r="D71" s="295" t="s">
        <v>214</v>
      </c>
      <c r="E71" s="295">
        <v>2</v>
      </c>
      <c r="F71" s="295" t="s">
        <v>343</v>
      </c>
      <c r="G71" s="295" t="s">
        <v>514</v>
      </c>
      <c r="H71" s="295">
        <v>5</v>
      </c>
    </row>
    <row r="72" spans="1:8" x14ac:dyDescent="0.15">
      <c r="A72" s="295" t="s">
        <v>201</v>
      </c>
      <c r="B72" s="295" t="s">
        <v>177</v>
      </c>
      <c r="C72" s="295" t="s">
        <v>197</v>
      </c>
      <c r="D72" s="295" t="s">
        <v>198</v>
      </c>
      <c r="E72" s="295">
        <v>3</v>
      </c>
      <c r="F72" s="295" t="s">
        <v>202</v>
      </c>
      <c r="G72" s="295" t="s">
        <v>419</v>
      </c>
      <c r="H72" s="295">
        <v>5</v>
      </c>
    </row>
    <row r="73" spans="1:8" x14ac:dyDescent="0.15">
      <c r="A73" s="295" t="s">
        <v>158</v>
      </c>
      <c r="B73" s="295" t="s">
        <v>17</v>
      </c>
      <c r="C73" s="295" t="s">
        <v>18</v>
      </c>
      <c r="D73" s="295" t="s">
        <v>156</v>
      </c>
      <c r="E73" s="295">
        <v>3</v>
      </c>
      <c r="F73" s="295" t="s">
        <v>159</v>
      </c>
      <c r="G73" s="295" t="s">
        <v>420</v>
      </c>
      <c r="H73" s="295">
        <v>13</v>
      </c>
    </row>
    <row r="74" spans="1:8" x14ac:dyDescent="0.15">
      <c r="A74" s="295" t="s">
        <v>308</v>
      </c>
      <c r="B74" s="295" t="s">
        <v>17</v>
      </c>
      <c r="C74" s="295" t="s">
        <v>19</v>
      </c>
      <c r="D74" s="295" t="s">
        <v>302</v>
      </c>
      <c r="E74" s="295">
        <v>2</v>
      </c>
      <c r="F74" s="295" t="s">
        <v>370</v>
      </c>
      <c r="G74" s="295" t="s">
        <v>421</v>
      </c>
      <c r="H74" s="295">
        <v>3</v>
      </c>
    </row>
    <row r="75" spans="1:8" x14ac:dyDescent="0.15">
      <c r="A75" s="295" t="s">
        <v>176</v>
      </c>
      <c r="B75" s="295" t="s">
        <v>177</v>
      </c>
      <c r="C75" s="295" t="s">
        <v>21</v>
      </c>
      <c r="D75" s="295" t="s">
        <v>178</v>
      </c>
      <c r="E75" s="295">
        <v>1</v>
      </c>
      <c r="F75" s="295" t="s">
        <v>344</v>
      </c>
      <c r="G75" s="295" t="s">
        <v>515</v>
      </c>
      <c r="H75" s="295">
        <v>2</v>
      </c>
    </row>
    <row r="76" spans="1:8" x14ac:dyDescent="0.15">
      <c r="A76" s="295" t="s">
        <v>229</v>
      </c>
      <c r="B76" s="295" t="s">
        <v>208</v>
      </c>
      <c r="C76" s="295" t="s">
        <v>230</v>
      </c>
      <c r="D76" s="295" t="s">
        <v>408</v>
      </c>
      <c r="E76" s="295">
        <v>1</v>
      </c>
      <c r="F76" s="295" t="s">
        <v>516</v>
      </c>
      <c r="G76" s="295" t="s">
        <v>517</v>
      </c>
      <c r="H76" s="295">
        <v>5</v>
      </c>
    </row>
    <row r="77" spans="1:8" x14ac:dyDescent="0.15">
      <c r="A77" s="295" t="s">
        <v>235</v>
      </c>
      <c r="B77" s="295" t="s">
        <v>208</v>
      </c>
      <c r="C77" s="295" t="s">
        <v>230</v>
      </c>
      <c r="D77" s="295" t="s">
        <v>411</v>
      </c>
      <c r="E77" s="295">
        <v>3</v>
      </c>
      <c r="F77" s="295" t="s">
        <v>518</v>
      </c>
      <c r="G77" s="295" t="s">
        <v>519</v>
      </c>
      <c r="H77" s="295">
        <v>5</v>
      </c>
    </row>
    <row r="78" spans="1:8" x14ac:dyDescent="0.15">
      <c r="A78" s="295" t="s">
        <v>185</v>
      </c>
      <c r="B78" s="295" t="s">
        <v>177</v>
      </c>
      <c r="C78" s="295" t="s">
        <v>21</v>
      </c>
      <c r="D78" s="295" t="s">
        <v>183</v>
      </c>
      <c r="E78" s="295">
        <v>3</v>
      </c>
      <c r="F78" s="295" t="s">
        <v>520</v>
      </c>
      <c r="G78" s="295" t="s">
        <v>521</v>
      </c>
      <c r="H78" s="295">
        <v>13</v>
      </c>
    </row>
    <row r="79" spans="1:8" x14ac:dyDescent="0.15">
      <c r="A79" s="295" t="s">
        <v>305</v>
      </c>
      <c r="B79" s="295" t="s">
        <v>17</v>
      </c>
      <c r="C79" s="295" t="s">
        <v>19</v>
      </c>
      <c r="D79" s="295" t="s">
        <v>339</v>
      </c>
      <c r="E79" s="295">
        <v>2</v>
      </c>
      <c r="F79" s="295" t="s">
        <v>371</v>
      </c>
      <c r="G79" s="295" t="s">
        <v>422</v>
      </c>
      <c r="H79" s="295">
        <v>0</v>
      </c>
    </row>
    <row r="80" spans="1:8" x14ac:dyDescent="0.15">
      <c r="A80" s="295" t="s">
        <v>182</v>
      </c>
      <c r="B80" s="295" t="s">
        <v>177</v>
      </c>
      <c r="C80" s="295" t="s">
        <v>21</v>
      </c>
      <c r="D80" s="295" t="s">
        <v>183</v>
      </c>
      <c r="E80" s="295">
        <v>1</v>
      </c>
      <c r="F80" s="295" t="s">
        <v>522</v>
      </c>
      <c r="G80" s="295" t="s">
        <v>523</v>
      </c>
      <c r="H80" s="295">
        <v>2</v>
      </c>
    </row>
    <row r="81" spans="1:8" x14ac:dyDescent="0.15">
      <c r="A81" s="295" t="s">
        <v>233</v>
      </c>
      <c r="B81" s="295" t="s">
        <v>208</v>
      </c>
      <c r="C81" s="295" t="s">
        <v>230</v>
      </c>
      <c r="D81" s="295" t="s">
        <v>411</v>
      </c>
      <c r="E81" s="295">
        <v>1</v>
      </c>
      <c r="F81" s="295" t="s">
        <v>345</v>
      </c>
      <c r="G81" s="295" t="s">
        <v>524</v>
      </c>
      <c r="H81" s="295">
        <v>5</v>
      </c>
    </row>
    <row r="82" spans="1:8" x14ac:dyDescent="0.15">
      <c r="A82" s="295" t="s">
        <v>232</v>
      </c>
      <c r="B82" s="295" t="s">
        <v>208</v>
      </c>
      <c r="C82" s="295" t="s">
        <v>230</v>
      </c>
      <c r="D82" s="295" t="s">
        <v>408</v>
      </c>
      <c r="E82" s="295">
        <v>3</v>
      </c>
      <c r="F82" s="295" t="s">
        <v>525</v>
      </c>
      <c r="G82" s="295" t="s">
        <v>526</v>
      </c>
      <c r="H82" s="295">
        <v>5</v>
      </c>
    </row>
    <row r="83" spans="1:8" x14ac:dyDescent="0.15">
      <c r="A83" s="295" t="s">
        <v>180</v>
      </c>
      <c r="B83" s="295" t="s">
        <v>177</v>
      </c>
      <c r="C83" s="295" t="s">
        <v>21</v>
      </c>
      <c r="D83" s="295" t="s">
        <v>178</v>
      </c>
      <c r="E83" s="295">
        <v>3</v>
      </c>
      <c r="F83" s="295" t="s">
        <v>181</v>
      </c>
      <c r="G83" s="295" t="s">
        <v>423</v>
      </c>
      <c r="H83" s="295">
        <v>6</v>
      </c>
    </row>
    <row r="84" spans="1:8" x14ac:dyDescent="0.15">
      <c r="A84" s="295" t="s">
        <v>207</v>
      </c>
      <c r="B84" s="295" t="s">
        <v>208</v>
      </c>
      <c r="C84" s="295" t="s">
        <v>209</v>
      </c>
      <c r="D84" s="295" t="s">
        <v>210</v>
      </c>
      <c r="E84" s="295">
        <v>1</v>
      </c>
      <c r="F84" s="295" t="s">
        <v>346</v>
      </c>
      <c r="G84" s="295" t="s">
        <v>424</v>
      </c>
      <c r="H84" s="295">
        <v>5</v>
      </c>
    </row>
    <row r="85" spans="1:8" x14ac:dyDescent="0.15">
      <c r="A85" s="295" t="s">
        <v>200</v>
      </c>
      <c r="B85" s="295" t="s">
        <v>177</v>
      </c>
      <c r="C85" s="295" t="s">
        <v>197</v>
      </c>
      <c r="D85" s="295" t="s">
        <v>198</v>
      </c>
      <c r="E85" s="295">
        <v>2</v>
      </c>
      <c r="F85" s="295" t="s">
        <v>527</v>
      </c>
      <c r="G85" s="295" t="s">
        <v>425</v>
      </c>
      <c r="H85" s="295">
        <v>5</v>
      </c>
    </row>
    <row r="86" spans="1:8" x14ac:dyDescent="0.15">
      <c r="A86" s="295" t="s">
        <v>157</v>
      </c>
      <c r="B86" s="295" t="s">
        <v>17</v>
      </c>
      <c r="C86" s="295" t="s">
        <v>18</v>
      </c>
      <c r="D86" s="295" t="s">
        <v>156</v>
      </c>
      <c r="E86" s="295">
        <v>2</v>
      </c>
      <c r="F86" s="295" t="s">
        <v>372</v>
      </c>
      <c r="G86" s="295" t="s">
        <v>426</v>
      </c>
      <c r="H86" s="295">
        <v>21</v>
      </c>
    </row>
    <row r="87" spans="1:8" x14ac:dyDescent="0.15">
      <c r="A87" s="295" t="s">
        <v>216</v>
      </c>
      <c r="B87" s="295" t="s">
        <v>208</v>
      </c>
      <c r="C87" s="295" t="s">
        <v>209</v>
      </c>
      <c r="D87" s="295" t="s">
        <v>214</v>
      </c>
      <c r="E87" s="295">
        <v>3</v>
      </c>
      <c r="F87" s="295" t="s">
        <v>217</v>
      </c>
      <c r="G87" s="295" t="s">
        <v>528</v>
      </c>
      <c r="H87" s="295">
        <v>5</v>
      </c>
    </row>
    <row r="88" spans="1:8" x14ac:dyDescent="0.15">
      <c r="A88" s="295" t="s">
        <v>213</v>
      </c>
      <c r="B88" s="295" t="s">
        <v>208</v>
      </c>
      <c r="C88" s="295" t="s">
        <v>209</v>
      </c>
      <c r="D88" s="295" t="s">
        <v>214</v>
      </c>
      <c r="E88" s="295">
        <v>1</v>
      </c>
      <c r="F88" s="295" t="s">
        <v>347</v>
      </c>
      <c r="G88" s="295" t="s">
        <v>529</v>
      </c>
      <c r="H88" s="295">
        <v>5</v>
      </c>
    </row>
    <row r="89" spans="1:8" x14ac:dyDescent="0.15">
      <c r="A89" s="295" t="s">
        <v>205</v>
      </c>
      <c r="B89" s="295" t="s">
        <v>177</v>
      </c>
      <c r="C89" s="295" t="s">
        <v>197</v>
      </c>
      <c r="D89" s="295" t="s">
        <v>204</v>
      </c>
      <c r="E89" s="295">
        <v>2</v>
      </c>
      <c r="F89" s="295" t="s">
        <v>373</v>
      </c>
      <c r="G89" s="295" t="s">
        <v>427</v>
      </c>
      <c r="H89" s="295">
        <v>20</v>
      </c>
    </row>
    <row r="90" spans="1:8" x14ac:dyDescent="0.15">
      <c r="A90" s="295" t="s">
        <v>162</v>
      </c>
      <c r="B90" s="295" t="s">
        <v>17</v>
      </c>
      <c r="C90" s="295" t="s">
        <v>18</v>
      </c>
      <c r="D90" s="295" t="s">
        <v>161</v>
      </c>
      <c r="E90" s="295">
        <v>2</v>
      </c>
      <c r="F90" s="295" t="s">
        <v>163</v>
      </c>
      <c r="G90" s="295" t="s">
        <v>428</v>
      </c>
      <c r="H90" s="295">
        <v>1</v>
      </c>
    </row>
    <row r="91" spans="1:8" x14ac:dyDescent="0.15">
      <c r="A91" s="295" t="s">
        <v>212</v>
      </c>
      <c r="B91" s="295" t="s">
        <v>208</v>
      </c>
      <c r="C91" s="295" t="s">
        <v>209</v>
      </c>
      <c r="D91" s="295" t="s">
        <v>210</v>
      </c>
      <c r="E91" s="295">
        <v>3</v>
      </c>
      <c r="F91" s="295" t="s">
        <v>530</v>
      </c>
      <c r="G91" s="295" t="s">
        <v>531</v>
      </c>
      <c r="H91" s="295">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40" t="s">
        <v>120</v>
      </c>
      <c r="B1" s="140" t="s">
        <v>67</v>
      </c>
      <c r="C1" s="140" t="s">
        <v>68</v>
      </c>
      <c r="D1" s="140" t="s">
        <v>69</v>
      </c>
      <c r="E1" s="140" t="s">
        <v>70</v>
      </c>
      <c r="F1" s="140" t="s">
        <v>121</v>
      </c>
      <c r="G1" s="140" t="s">
        <v>122</v>
      </c>
      <c r="H1" s="140" t="s">
        <v>123</v>
      </c>
      <c r="I1" s="140" t="s">
        <v>124</v>
      </c>
    </row>
    <row r="2" spans="1:9" x14ac:dyDescent="0.15">
      <c r="A2" s="295">
        <v>0</v>
      </c>
      <c r="B2" s="296" t="s">
        <v>27</v>
      </c>
      <c r="C2" s="295" t="s">
        <v>439</v>
      </c>
      <c r="D2" s="295" t="s">
        <v>129</v>
      </c>
      <c r="E2" s="295" t="s">
        <v>319</v>
      </c>
      <c r="F2" s="295">
        <v>0</v>
      </c>
      <c r="G2" s="295">
        <v>0.25</v>
      </c>
      <c r="H2" s="295">
        <v>0.5</v>
      </c>
      <c r="I2" s="295">
        <v>1</v>
      </c>
    </row>
    <row r="3" spans="1:9" x14ac:dyDescent="0.15">
      <c r="A3" s="295">
        <v>1</v>
      </c>
      <c r="B3" s="296" t="s">
        <v>27</v>
      </c>
      <c r="C3" s="295" t="s">
        <v>440</v>
      </c>
      <c r="D3" s="295" t="s">
        <v>441</v>
      </c>
      <c r="E3" s="295" t="s">
        <v>442</v>
      </c>
      <c r="F3" s="295">
        <v>0</v>
      </c>
      <c r="G3" s="295">
        <v>0.25</v>
      </c>
      <c r="H3" s="295">
        <v>0.5</v>
      </c>
      <c r="I3" s="295">
        <v>1</v>
      </c>
    </row>
    <row r="4" spans="1:9" x14ac:dyDescent="0.15">
      <c r="A4" s="295">
        <v>2</v>
      </c>
      <c r="B4" s="296" t="s">
        <v>27</v>
      </c>
      <c r="C4" s="295" t="s">
        <v>127</v>
      </c>
      <c r="D4" s="295" t="s">
        <v>128</v>
      </c>
      <c r="E4" s="295" t="s">
        <v>320</v>
      </c>
      <c r="F4" s="295">
        <v>0</v>
      </c>
      <c r="G4" s="295">
        <v>0.25</v>
      </c>
      <c r="H4" s="295">
        <v>0.5</v>
      </c>
      <c r="I4" s="295">
        <v>1</v>
      </c>
    </row>
    <row r="5" spans="1:9" x14ac:dyDescent="0.15">
      <c r="A5" s="295">
        <v>3</v>
      </c>
      <c r="B5" s="296" t="s">
        <v>27</v>
      </c>
      <c r="C5" s="295" t="s">
        <v>443</v>
      </c>
      <c r="D5" s="295" t="s">
        <v>444</v>
      </c>
      <c r="E5" s="295" t="s">
        <v>445</v>
      </c>
      <c r="F5" s="295">
        <v>0</v>
      </c>
      <c r="G5" s="295">
        <v>0.25</v>
      </c>
      <c r="H5" s="295">
        <v>0.5</v>
      </c>
      <c r="I5" s="295">
        <v>1</v>
      </c>
    </row>
    <row r="6" spans="1:9" x14ac:dyDescent="0.15">
      <c r="A6" s="295">
        <v>4</v>
      </c>
      <c r="B6" s="296" t="s">
        <v>27</v>
      </c>
      <c r="C6" s="295" t="s">
        <v>446</v>
      </c>
      <c r="D6" s="295" t="s">
        <v>447</v>
      </c>
      <c r="E6" s="295" t="s">
        <v>448</v>
      </c>
      <c r="F6" s="295">
        <v>0</v>
      </c>
      <c r="G6" s="295">
        <v>0.25</v>
      </c>
      <c r="H6" s="295">
        <v>0.5</v>
      </c>
      <c r="I6" s="295">
        <v>1</v>
      </c>
    </row>
    <row r="7" spans="1:9" x14ac:dyDescent="0.15">
      <c r="A7" s="295">
        <v>5</v>
      </c>
      <c r="B7" s="296" t="s">
        <v>27</v>
      </c>
      <c r="C7" s="295" t="s">
        <v>125</v>
      </c>
      <c r="D7" s="295" t="s">
        <v>126</v>
      </c>
      <c r="E7" s="295" t="s">
        <v>321</v>
      </c>
      <c r="F7" s="295">
        <v>0</v>
      </c>
      <c r="G7" s="295">
        <v>0.25</v>
      </c>
      <c r="H7" s="295">
        <v>0.5</v>
      </c>
      <c r="I7" s="295">
        <v>1</v>
      </c>
    </row>
    <row r="8" spans="1:9" x14ac:dyDescent="0.15">
      <c r="A8" s="295">
        <v>6</v>
      </c>
      <c r="B8" s="296" t="s">
        <v>27</v>
      </c>
      <c r="C8" s="295" t="s">
        <v>147</v>
      </c>
      <c r="D8" s="295" t="s">
        <v>148</v>
      </c>
      <c r="E8" s="295" t="s">
        <v>322</v>
      </c>
      <c r="F8" s="295">
        <v>0</v>
      </c>
      <c r="G8" s="295">
        <v>0.25</v>
      </c>
      <c r="H8" s="295">
        <v>0.5</v>
      </c>
      <c r="I8" s="295">
        <v>1</v>
      </c>
    </row>
    <row r="9" spans="1:9" x14ac:dyDescent="0.15">
      <c r="A9" s="295">
        <v>7</v>
      </c>
      <c r="B9" s="296" t="s">
        <v>27</v>
      </c>
      <c r="C9" s="295" t="s">
        <v>130</v>
      </c>
      <c r="D9" s="295" t="s">
        <v>119</v>
      </c>
      <c r="E9" s="295" t="s">
        <v>323</v>
      </c>
      <c r="F9" s="295">
        <v>0</v>
      </c>
      <c r="G9" s="295">
        <v>0.25</v>
      </c>
      <c r="H9" s="295">
        <v>0.5</v>
      </c>
      <c r="I9" s="295">
        <v>1</v>
      </c>
    </row>
    <row r="10" spans="1:9" x14ac:dyDescent="0.15">
      <c r="A10" s="295">
        <v>8</v>
      </c>
      <c r="B10" s="296" t="s">
        <v>27</v>
      </c>
      <c r="C10" s="295" t="s">
        <v>324</v>
      </c>
      <c r="D10" s="295" t="s">
        <v>449</v>
      </c>
      <c r="E10" s="295" t="s">
        <v>450</v>
      </c>
      <c r="F10" s="295">
        <v>0</v>
      </c>
      <c r="G10" s="295">
        <v>0.25</v>
      </c>
      <c r="H10" s="295">
        <v>0.5</v>
      </c>
      <c r="I10" s="295">
        <v>1</v>
      </c>
    </row>
    <row r="11" spans="1:9" x14ac:dyDescent="0.15">
      <c r="A11" s="295">
        <v>9</v>
      </c>
      <c r="B11" s="296" t="s">
        <v>27</v>
      </c>
      <c r="C11" s="295" t="s">
        <v>298</v>
      </c>
      <c r="D11" s="295" t="s">
        <v>299</v>
      </c>
      <c r="E11" s="295" t="s">
        <v>325</v>
      </c>
      <c r="F11" s="295">
        <v>0</v>
      </c>
      <c r="G11" s="295">
        <v>0.25</v>
      </c>
      <c r="H11" s="295">
        <v>0.5</v>
      </c>
      <c r="I11" s="295">
        <v>1</v>
      </c>
    </row>
    <row r="12" spans="1:9" x14ac:dyDescent="0.15">
      <c r="A12" s="295">
        <v>10</v>
      </c>
      <c r="B12" s="296" t="s">
        <v>27</v>
      </c>
      <c r="C12" s="295" t="s">
        <v>144</v>
      </c>
      <c r="D12" s="295" t="s">
        <v>145</v>
      </c>
      <c r="E12" s="295" t="s">
        <v>146</v>
      </c>
      <c r="F12" s="295">
        <v>0</v>
      </c>
      <c r="G12" s="295">
        <v>0.25</v>
      </c>
      <c r="H12" s="295">
        <v>0.5</v>
      </c>
      <c r="I12" s="295">
        <v>1</v>
      </c>
    </row>
    <row r="13" spans="1:9" x14ac:dyDescent="0.15">
      <c r="A13" s="295">
        <v>11</v>
      </c>
      <c r="B13" s="296" t="s">
        <v>27</v>
      </c>
      <c r="C13" s="295" t="s">
        <v>451</v>
      </c>
      <c r="D13" s="295" t="s">
        <v>452</v>
      </c>
      <c r="E13" s="295" t="s">
        <v>453</v>
      </c>
      <c r="F13" s="295">
        <v>0</v>
      </c>
      <c r="G13" s="295">
        <v>0.25</v>
      </c>
      <c r="H13" s="295">
        <v>0.5</v>
      </c>
      <c r="I13" s="295">
        <v>1</v>
      </c>
    </row>
    <row r="14" spans="1:9" x14ac:dyDescent="0.15">
      <c r="A14" s="295">
        <v>12</v>
      </c>
      <c r="B14" s="296" t="s">
        <v>27</v>
      </c>
      <c r="C14" s="295" t="s">
        <v>131</v>
      </c>
      <c r="D14" s="295" t="s">
        <v>132</v>
      </c>
      <c r="E14" s="295" t="s">
        <v>326</v>
      </c>
      <c r="F14" s="295">
        <v>0</v>
      </c>
      <c r="G14" s="295">
        <v>0.25</v>
      </c>
      <c r="H14" s="295">
        <v>0.5</v>
      </c>
      <c r="I14" s="295">
        <v>1</v>
      </c>
    </row>
    <row r="15" spans="1:9" x14ac:dyDescent="0.15">
      <c r="A15" s="295">
        <v>13</v>
      </c>
      <c r="B15" s="296" t="s">
        <v>27</v>
      </c>
      <c r="C15" s="295" t="s">
        <v>301</v>
      </c>
      <c r="D15" s="295" t="s">
        <v>454</v>
      </c>
      <c r="E15" s="295" t="s">
        <v>143</v>
      </c>
      <c r="F15" s="295">
        <v>0</v>
      </c>
      <c r="G15" s="295">
        <v>0.25</v>
      </c>
      <c r="H15" s="295">
        <v>0.5</v>
      </c>
      <c r="I15" s="295">
        <v>1</v>
      </c>
    </row>
    <row r="16" spans="1:9" x14ac:dyDescent="0.15">
      <c r="A16" s="295">
        <v>14</v>
      </c>
      <c r="B16" s="296" t="s">
        <v>27</v>
      </c>
      <c r="C16" s="295" t="s">
        <v>134</v>
      </c>
      <c r="D16" s="295" t="s">
        <v>135</v>
      </c>
      <c r="E16" s="295" t="s">
        <v>327</v>
      </c>
      <c r="F16" s="295">
        <v>0</v>
      </c>
      <c r="G16" s="295">
        <v>0.25</v>
      </c>
      <c r="H16" s="295">
        <v>0.5</v>
      </c>
      <c r="I16" s="295">
        <v>1</v>
      </c>
    </row>
    <row r="17" spans="1:9" x14ac:dyDescent="0.15">
      <c r="A17" s="295">
        <v>15</v>
      </c>
      <c r="B17" s="296" t="s">
        <v>27</v>
      </c>
      <c r="C17" s="295" t="s">
        <v>136</v>
      </c>
      <c r="D17" s="295" t="s">
        <v>60</v>
      </c>
      <c r="E17" s="295" t="s">
        <v>61</v>
      </c>
      <c r="F17" s="295">
        <v>0</v>
      </c>
      <c r="G17" s="295">
        <v>0.25</v>
      </c>
      <c r="H17" s="295">
        <v>0.5</v>
      </c>
      <c r="I17" s="295">
        <v>1</v>
      </c>
    </row>
    <row r="18" spans="1:9" x14ac:dyDescent="0.15">
      <c r="A18" s="295">
        <v>16</v>
      </c>
      <c r="B18" s="296" t="s">
        <v>27</v>
      </c>
      <c r="C18" s="295" t="s">
        <v>328</v>
      </c>
      <c r="D18" s="295" t="s">
        <v>329</v>
      </c>
      <c r="E18" s="295" t="s">
        <v>330</v>
      </c>
      <c r="F18" s="295">
        <v>0</v>
      </c>
      <c r="G18" s="295">
        <v>0.25</v>
      </c>
      <c r="H18" s="295">
        <v>0.5</v>
      </c>
      <c r="I18" s="295">
        <v>1</v>
      </c>
    </row>
    <row r="19" spans="1:9" x14ac:dyDescent="0.15">
      <c r="A19" s="295">
        <v>17</v>
      </c>
      <c r="B19" s="296" t="s">
        <v>27</v>
      </c>
      <c r="C19" s="295" t="s">
        <v>455</v>
      </c>
      <c r="D19" s="295" t="s">
        <v>133</v>
      </c>
      <c r="E19" s="295" t="s">
        <v>331</v>
      </c>
      <c r="F19" s="295">
        <v>0</v>
      </c>
      <c r="G19" s="295">
        <v>0.25</v>
      </c>
      <c r="H19" s="295">
        <v>0.5</v>
      </c>
      <c r="I19" s="295">
        <v>1</v>
      </c>
    </row>
    <row r="20" spans="1:9" x14ac:dyDescent="0.15">
      <c r="A20" s="295">
        <v>18</v>
      </c>
      <c r="B20" s="296" t="s">
        <v>27</v>
      </c>
      <c r="C20" s="295" t="s">
        <v>137</v>
      </c>
      <c r="D20" s="295" t="s">
        <v>138</v>
      </c>
      <c r="E20" s="295" t="s">
        <v>332</v>
      </c>
      <c r="F20" s="295">
        <v>0</v>
      </c>
      <c r="G20" s="295">
        <v>0.25</v>
      </c>
      <c r="H20" s="295">
        <v>0.5</v>
      </c>
      <c r="I20" s="295">
        <v>1</v>
      </c>
    </row>
    <row r="21" spans="1:9" x14ac:dyDescent="0.15">
      <c r="A21" s="295">
        <v>19</v>
      </c>
      <c r="B21" s="296" t="s">
        <v>27</v>
      </c>
      <c r="C21" s="295" t="s">
        <v>456</v>
      </c>
      <c r="D21" s="295" t="s">
        <v>457</v>
      </c>
      <c r="E21" s="295" t="s">
        <v>458</v>
      </c>
      <c r="F21" s="295">
        <v>0</v>
      </c>
      <c r="G21" s="295">
        <v>0.25</v>
      </c>
      <c r="H21" s="295">
        <v>0.5</v>
      </c>
      <c r="I21" s="295">
        <v>1</v>
      </c>
    </row>
    <row r="22" spans="1:9" x14ac:dyDescent="0.15">
      <c r="A22" s="295">
        <v>20</v>
      </c>
      <c r="B22" s="296" t="s">
        <v>27</v>
      </c>
      <c r="C22" s="295" t="s">
        <v>139</v>
      </c>
      <c r="D22" s="295" t="s">
        <v>140</v>
      </c>
      <c r="E22" s="295" t="s">
        <v>333</v>
      </c>
      <c r="F22" s="295">
        <v>0</v>
      </c>
      <c r="G22" s="295">
        <v>0.25</v>
      </c>
      <c r="H22" s="295">
        <v>0.5</v>
      </c>
      <c r="I22" s="295">
        <v>1</v>
      </c>
    </row>
    <row r="23" spans="1:9" x14ac:dyDescent="0.15">
      <c r="A23" s="295">
        <v>21</v>
      </c>
      <c r="B23" s="296" t="s">
        <v>27</v>
      </c>
      <c r="C23" s="295" t="s">
        <v>141</v>
      </c>
      <c r="D23" s="295" t="s">
        <v>142</v>
      </c>
      <c r="E23" s="295" t="s">
        <v>351</v>
      </c>
      <c r="F23" s="295">
        <v>0</v>
      </c>
      <c r="G23" s="295">
        <v>0.25</v>
      </c>
      <c r="H23" s="295">
        <v>0.5</v>
      </c>
      <c r="I23" s="295">
        <v>1</v>
      </c>
    </row>
    <row r="24" spans="1:9" x14ac:dyDescent="0.15">
      <c r="A24" s="295">
        <v>22</v>
      </c>
      <c r="B24" s="296" t="s">
        <v>27</v>
      </c>
      <c r="C24" s="295" t="s">
        <v>459</v>
      </c>
      <c r="D24" s="295" t="s">
        <v>460</v>
      </c>
      <c r="E24" s="295" t="s">
        <v>461</v>
      </c>
      <c r="F24" s="295">
        <v>0</v>
      </c>
      <c r="G24" s="295">
        <v>0.25</v>
      </c>
      <c r="H24" s="295">
        <v>0.5</v>
      </c>
      <c r="I24" s="295">
        <v>1</v>
      </c>
    </row>
    <row r="25" spans="1:9" x14ac:dyDescent="0.15">
      <c r="A25" s="295">
        <v>23</v>
      </c>
      <c r="B25" s="296" t="s">
        <v>27</v>
      </c>
      <c r="C25" s="295" t="s">
        <v>462</v>
      </c>
      <c r="D25" s="295" t="s">
        <v>463</v>
      </c>
      <c r="E25" s="295" t="s">
        <v>464</v>
      </c>
      <c r="F25" s="295">
        <v>0</v>
      </c>
      <c r="G25" s="295">
        <v>0.25</v>
      </c>
      <c r="H25" s="295">
        <v>0.5</v>
      </c>
      <c r="I25" s="295">
        <v>1</v>
      </c>
    </row>
    <row r="26" spans="1:9" x14ac:dyDescent="0.15">
      <c r="A26" s="295">
        <v>24</v>
      </c>
      <c r="B26" s="296" t="s">
        <v>27</v>
      </c>
      <c r="C26" s="295" t="s">
        <v>465</v>
      </c>
      <c r="D26" s="295" t="s">
        <v>466</v>
      </c>
      <c r="E26" s="295" t="s">
        <v>467</v>
      </c>
      <c r="F26" s="295">
        <v>0</v>
      </c>
      <c r="G26" s="295">
        <v>0.25</v>
      </c>
      <c r="H26" s="295">
        <v>0.5</v>
      </c>
      <c r="I26" s="29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2" customWidth="1"/>
    <col min="2" max="16384" width="8.83203125" style="52"/>
  </cols>
  <sheetData>
    <row r="1" spans="1:1" ht="25" x14ac:dyDescent="0.15">
      <c r="A1" s="51" t="s">
        <v>50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dcterms:created xsi:type="dcterms:W3CDTF">2009-06-08T07:01:59Z</dcterms:created>
  <dcterms:modified xsi:type="dcterms:W3CDTF">2023-03-13T15:55:04Z</dcterms:modified>
  <cp:category/>
</cp:coreProperties>
</file>