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3.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defaultThemeVersion="124226"/>
  <mc:AlternateContent xmlns:mc="http://schemas.openxmlformats.org/markup-compatibility/2006">
    <mc:Choice Requires="x15">
      <x15ac:absPath xmlns:x15ac="http://schemas.microsoft.com/office/spreadsheetml/2010/11/ac" url="/Users/dfu/Projects/_SERT/ericsson/samm-analysis-mfs/data/survey/"/>
    </mc:Choice>
  </mc:AlternateContent>
  <xr:revisionPtr revIDLastSave="0" documentId="13_ncr:1_{7ACE2FE4-8513-C24B-B774-E6F9EFC40194}" xr6:coauthVersionLast="47" xr6:coauthVersionMax="47" xr10:uidLastSave="{00000000-0000-0000-0000-000000000000}"/>
  <workbookProtection workbookPassword="DD38" lockStructure="1"/>
  <bookViews>
    <workbookView xWindow="1100" yWindow="500" windowWidth="37300" windowHeight="21100" activeTab="1" xr2:uid="{00000000-000D-0000-FFFF-FFFF00000000}"/>
  </bookViews>
  <sheets>
    <sheet name="Attribution and License" sheetId="8" state="hidden" r:id="rId1"/>
    <sheet name="Interview" sheetId="2" r:id="rId2"/>
    <sheet name="Scorecard" sheetId="3" state="hidden" r:id="rId3"/>
    <sheet name="Roadmap" sheetId="13" state="hidden" r:id="rId4"/>
    <sheet name="Roadmap Chart" sheetId="5" state="hidden" r:id="rId5"/>
    <sheet name="Lookups" sheetId="4" state="hidden" r:id="rId6"/>
    <sheet name="imp-questions" sheetId="11" state="hidden" r:id="rId7"/>
    <sheet name="imp-answers" sheetId="10" state="hidden" r:id="rId8"/>
    <sheet name="Background Images" sheetId="7" state="hidden" r:id="rId9"/>
  </sheets>
  <definedNames>
    <definedName name="_xlnm._FilterDatabase" localSheetId="6" hidden="1">'imp-questions'!$A$1:$H$91</definedName>
    <definedName name="AnsA">Lookups!$P$4:$P$7</definedName>
    <definedName name="AnsATBL">Lookups!$P$4:$Q$7</definedName>
    <definedName name="AnsB">Lookups!$P$10:$P$13</definedName>
    <definedName name="AnsBTBL">Lookups!$P$10:$Q$13</definedName>
    <definedName name="AnsC">Lookups!$P$16:$P$19</definedName>
    <definedName name="AnsCTBL">Lookups!$P$16:$Q$19</definedName>
    <definedName name="AnsD">Lookups!$P$22:$P$25</definedName>
    <definedName name="AnsDTBL">Lookups!$P$22:$Q$25</definedName>
    <definedName name="AnsE">Lookups!$P$28:$P$31</definedName>
    <definedName name="AnsETBL">Lookups!$P$28:$Q$31</definedName>
    <definedName name="AnsF">Lookups!$P$34:$P$37</definedName>
    <definedName name="AnsFTBL">Lookups!$P$34:$Q$37</definedName>
    <definedName name="AnsG">Lookups!$P$40:$P$43</definedName>
    <definedName name="AnsGTBL">Lookups!$P$40:$Q$43</definedName>
    <definedName name="AnsH">Lookups!$P$46:$P$49</definedName>
    <definedName name="AnsHTBL">Lookups!$P$46:$Q$49</definedName>
    <definedName name="AnsI">Lookups!$P$52:$P$55</definedName>
    <definedName name="AnsITBL">Lookups!$P$52:$Q$55</definedName>
    <definedName name="AnsJ">Lookups!$P$58:$P$61</definedName>
    <definedName name="AnsJTBL">Lookups!$P$58:$Q$61</definedName>
    <definedName name="AnsK">Lookups!$P$64:$P$67</definedName>
    <definedName name="AnsKTBL">Lookups!$P$64:$Q$67</definedName>
    <definedName name="AnsL">Lookups!$P$70:$P$73</definedName>
    <definedName name="AnsLTBL">Lookups!$P$70:$Q$73</definedName>
    <definedName name="AnsM">Lookups!$P$76:$P$79</definedName>
    <definedName name="AnsMTBL">Lookups!$P$76:$Q$79</definedName>
    <definedName name="AnsN">Lookups!$P$82:$P$85</definedName>
    <definedName name="AnsNTBL">Lookups!$P$82:$Q$85</definedName>
    <definedName name="AnsO">Lookups!$P$88:$P$91</definedName>
    <definedName name="AnsOTBL">Lookups!$P$88:$Q$91</definedName>
    <definedName name="AnsP">Lookups!$P$94:$P$97</definedName>
    <definedName name="AnsPTBL">Lookups!$P$94:$Q$97</definedName>
    <definedName name="AnsQ">Lookups!$P$100:$P$103</definedName>
    <definedName name="AnsQTBL">Lookups!$P$100:$Q$103</definedName>
    <definedName name="AnsR">Lookups!$P$106:$P$109</definedName>
    <definedName name="AnsRTBL">Lookups!$P$106:$Q$109</definedName>
    <definedName name="AnsS">Lookups!$P$112:$P$115</definedName>
    <definedName name="AnsSTBL">Lookups!$P$112:$Q$115</definedName>
    <definedName name="AnsT">Lookups!$P$118:$P$121</definedName>
    <definedName name="AnsTTBL">Lookups!$P$118:$Q$121</definedName>
    <definedName name="AnsU">Lookups!$P$124:$P$127</definedName>
    <definedName name="AnsUTBL">Lookups!$P$124:$Q$127</definedName>
    <definedName name="AnsV">Lookups!$P$130:$P$133</definedName>
    <definedName name="AnsVTBL">Lookups!$P$130:$Q$133</definedName>
    <definedName name="AnsW">Lookups!$P$136:$P$139</definedName>
    <definedName name="AnsWTBL">Lookups!$P$136:$Q$139</definedName>
    <definedName name="AnsX">Lookups!$P$142:$P$145</definedName>
    <definedName name="AnsXTBL">Lookups!$P$142:$Q$145</definedName>
    <definedName name="AnsY">Lookups!$P$148:$P$151</definedName>
    <definedName name="AnsYTBL">Lookups!$P$148:$Q$151</definedName>
    <definedName name="_xlnm.Print_Area" localSheetId="4">'Roadmap Chart'!$L$3:$W$108</definedName>
    <definedName name="Z_9846C184_355C_EA4B_8C35_9561D1AEE31C_.wvu.Cols" localSheetId="2" hidden="1">Scorecard!$G:$G</definedName>
    <definedName name="Z_9846C184_355C_EA4B_8C35_9561D1AEE31C_.wvu.PrintArea" localSheetId="4" hidden="1">'Roadmap Chart'!$L$3:$W$108</definedName>
    <definedName name="Z_9846C184_355C_EA4B_8C35_9561D1AEE31C_.wvu.Rows" localSheetId="1" hidden="1">Interview!$1:$1</definedName>
    <definedName name="Z_9846C184_355C_EA4B_8C35_9561D1AEE31C_.wvu.Rows" localSheetId="3" hidden="1">Roadmap!$1:$1</definedName>
  </definedNames>
  <calcPr calcId="191029"/>
  <customWorkbookViews>
    <customWorkbookView name="Default" guid="{9846C184-355C-EA4B-8C35-9561D1AEE31C}" maximized="1" windowWidth="1436" windowHeight="704" activeSheetId="9"/>
  </customWorkbookViews>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98" i="13" l="1"/>
  <c r="R98" i="13" s="1"/>
  <c r="V98" i="13" s="1"/>
  <c r="N97" i="13"/>
  <c r="R97" i="13" s="1"/>
  <c r="V97" i="13" s="1"/>
  <c r="N96" i="13"/>
  <c r="R96" i="13" s="1"/>
  <c r="V96" i="13" s="1"/>
  <c r="N94" i="13"/>
  <c r="R94" i="13" s="1"/>
  <c r="V94" i="13" s="1"/>
  <c r="N93" i="13"/>
  <c r="R93" i="13" s="1"/>
  <c r="V93" i="13" s="1"/>
  <c r="N92" i="13"/>
  <c r="R92" i="13" s="1"/>
  <c r="V92" i="13" s="1"/>
  <c r="N89" i="13"/>
  <c r="R89" i="13" s="1"/>
  <c r="V89" i="13" s="1"/>
  <c r="N88" i="13"/>
  <c r="R88" i="13" s="1"/>
  <c r="V88" i="13" s="1"/>
  <c r="N87" i="13"/>
  <c r="R87" i="13" s="1"/>
  <c r="V87" i="13" s="1"/>
  <c r="N85" i="13"/>
  <c r="R85" i="13" s="1"/>
  <c r="V85" i="13" s="1"/>
  <c r="N84" i="13"/>
  <c r="R84" i="13" s="1"/>
  <c r="V84" i="13" s="1"/>
  <c r="N83" i="13"/>
  <c r="R83" i="13" s="1"/>
  <c r="V83" i="13" s="1"/>
  <c r="N80" i="13"/>
  <c r="R80" i="13" s="1"/>
  <c r="V80" i="13" s="1"/>
  <c r="N79" i="13"/>
  <c r="R79" i="13" s="1"/>
  <c r="V79" i="13" s="1"/>
  <c r="N78" i="13"/>
  <c r="R78" i="13" s="1"/>
  <c r="V78" i="13" s="1"/>
  <c r="N76" i="13"/>
  <c r="R76" i="13" s="1"/>
  <c r="V76" i="13" s="1"/>
  <c r="N75" i="13"/>
  <c r="R75" i="13" s="1"/>
  <c r="V75" i="13" s="1"/>
  <c r="N74" i="13"/>
  <c r="R74" i="13" s="1"/>
  <c r="V74" i="13" s="1"/>
  <c r="J98" i="13"/>
  <c r="J97" i="13"/>
  <c r="J96" i="13"/>
  <c r="J94" i="13"/>
  <c r="J93" i="13"/>
  <c r="J89" i="13"/>
  <c r="J88" i="13"/>
  <c r="J87" i="13"/>
  <c r="J85" i="13"/>
  <c r="J84" i="13"/>
  <c r="J80" i="13"/>
  <c r="J79" i="13"/>
  <c r="J78" i="13"/>
  <c r="J76" i="13"/>
  <c r="J75" i="13"/>
  <c r="F48" i="13"/>
  <c r="J48" i="13" s="1"/>
  <c r="F18" i="13"/>
  <c r="J18" i="13" s="1"/>
  <c r="N18" i="13" s="1"/>
  <c r="R18" i="13" s="1"/>
  <c r="V18" i="13" s="1"/>
  <c r="F19" i="13"/>
  <c r="J19" i="13" s="1"/>
  <c r="J20" i="13"/>
  <c r="F22" i="13"/>
  <c r="J22" i="13" s="1"/>
  <c r="F23" i="13"/>
  <c r="J23" i="13" s="1"/>
  <c r="F24" i="13"/>
  <c r="G179" i="2"/>
  <c r="Q151" i="4"/>
  <c r="P151" i="4"/>
  <c r="Q150" i="4"/>
  <c r="P150" i="4"/>
  <c r="Q149" i="4"/>
  <c r="P149" i="4"/>
  <c r="Q148" i="4"/>
  <c r="P148" i="4"/>
  <c r="G18" i="2" s="1"/>
  <c r="M148" i="4"/>
  <c r="Q145" i="4"/>
  <c r="P145" i="4"/>
  <c r="Q144" i="4"/>
  <c r="P144" i="4"/>
  <c r="Q143" i="4"/>
  <c r="P143" i="4"/>
  <c r="Q142" i="4"/>
  <c r="P142" i="4"/>
  <c r="M142" i="4"/>
  <c r="Q139" i="4"/>
  <c r="P139" i="4"/>
  <c r="Q138" i="4"/>
  <c r="P138" i="4"/>
  <c r="Q137" i="4"/>
  <c r="P137" i="4"/>
  <c r="Q136" i="4"/>
  <c r="P136" i="4"/>
  <c r="G53" i="2" s="1"/>
  <c r="M136" i="4"/>
  <c r="Q133" i="4"/>
  <c r="P133" i="4"/>
  <c r="Q132" i="4"/>
  <c r="P132" i="4"/>
  <c r="Q131" i="4"/>
  <c r="P131" i="4"/>
  <c r="Q130" i="4"/>
  <c r="P130" i="4"/>
  <c r="G20" i="2" s="1"/>
  <c r="M130" i="4"/>
  <c r="Q127" i="4"/>
  <c r="P127" i="4"/>
  <c r="Q126" i="4"/>
  <c r="P126" i="4"/>
  <c r="Q125" i="4"/>
  <c r="P125" i="4"/>
  <c r="Q124" i="4"/>
  <c r="P124" i="4"/>
  <c r="G98" i="2" s="1"/>
  <c r="M124" i="4"/>
  <c r="G18" i="13" l="1"/>
  <c r="K18" i="13"/>
  <c r="O18" i="13"/>
  <c r="N20" i="13"/>
  <c r="N22" i="13"/>
  <c r="J24" i="13"/>
  <c r="N23" i="13"/>
  <c r="N48" i="13"/>
  <c r="R48" i="13" s="1"/>
  <c r="V48" i="13" s="1"/>
  <c r="N19" i="13"/>
  <c r="K19" i="13"/>
  <c r="G19" i="13"/>
  <c r="B24" i="3"/>
  <c r="R23" i="13" l="1"/>
  <c r="V23" i="13" s="1"/>
  <c r="N24" i="13"/>
  <c r="R22" i="13"/>
  <c r="V22" i="13" s="1"/>
  <c r="R20" i="13"/>
  <c r="V20" i="13" s="1"/>
  <c r="O19" i="13"/>
  <c r="R19" i="13"/>
  <c r="V19" i="13" s="1"/>
  <c r="D85" i="2"/>
  <c r="R24" i="13" l="1"/>
  <c r="V24" i="13" s="1"/>
  <c r="F139" i="13"/>
  <c r="Q121" i="4" l="1"/>
  <c r="P121" i="4"/>
  <c r="Q120" i="4"/>
  <c r="P120" i="4"/>
  <c r="Q119" i="4"/>
  <c r="P119" i="4"/>
  <c r="Q118" i="4"/>
  <c r="P118" i="4"/>
  <c r="M118" i="4"/>
  <c r="G186" i="2" l="1"/>
  <c r="B8" i="5"/>
  <c r="B7" i="5"/>
  <c r="B6" i="5"/>
  <c r="D14" i="13"/>
  <c r="D13" i="13"/>
  <c r="D12" i="13"/>
  <c r="D11" i="13"/>
  <c r="D10" i="13"/>
  <c r="C5" i="3"/>
  <c r="Z20" i="5" l="1"/>
  <c r="Z19" i="5"/>
  <c r="Z18" i="5"/>
  <c r="U48" i="3" l="1"/>
  <c r="T48" i="3"/>
  <c r="U47" i="3"/>
  <c r="T47" i="3"/>
  <c r="U46" i="3"/>
  <c r="T46" i="3"/>
  <c r="Z33" i="3" s="1"/>
  <c r="U45" i="3"/>
  <c r="T45" i="3"/>
  <c r="U44" i="3"/>
  <c r="T44" i="3"/>
  <c r="U43" i="3"/>
  <c r="T43" i="3"/>
  <c r="Y33" i="3" s="1"/>
  <c r="U42" i="3"/>
  <c r="T42" i="3"/>
  <c r="U41" i="3"/>
  <c r="T41" i="3"/>
  <c r="U40" i="3"/>
  <c r="T40" i="3"/>
  <c r="X33" i="3" s="1"/>
  <c r="U39" i="3"/>
  <c r="T39" i="3"/>
  <c r="U38" i="3"/>
  <c r="T38" i="3"/>
  <c r="U37" i="3"/>
  <c r="T37" i="3"/>
  <c r="W33" i="3" s="1"/>
  <c r="U36" i="3"/>
  <c r="T36" i="3"/>
  <c r="U35" i="3"/>
  <c r="T35" i="3"/>
  <c r="U34" i="3"/>
  <c r="T34" i="3"/>
  <c r="V33" i="3" s="1"/>
  <c r="U68" i="3"/>
  <c r="T68" i="3"/>
  <c r="U67" i="3"/>
  <c r="T67" i="3"/>
  <c r="U66" i="3"/>
  <c r="T66" i="3"/>
  <c r="Z53" i="3" s="1"/>
  <c r="U65" i="3"/>
  <c r="T65" i="3"/>
  <c r="U64" i="3"/>
  <c r="T64" i="3"/>
  <c r="U63" i="3"/>
  <c r="T63" i="3"/>
  <c r="Y53" i="3" s="1"/>
  <c r="U62" i="3"/>
  <c r="T62" i="3"/>
  <c r="U61" i="3"/>
  <c r="T61" i="3"/>
  <c r="U60" i="3"/>
  <c r="T60" i="3"/>
  <c r="X53" i="3" s="1"/>
  <c r="U59" i="3"/>
  <c r="T59" i="3"/>
  <c r="U58" i="3"/>
  <c r="T58" i="3"/>
  <c r="U57" i="3"/>
  <c r="T57" i="3"/>
  <c r="W53" i="3" s="1"/>
  <c r="U56" i="3"/>
  <c r="T56" i="3"/>
  <c r="U55" i="3"/>
  <c r="T55" i="3"/>
  <c r="U54" i="3"/>
  <c r="T54" i="3"/>
  <c r="V53" i="3" s="1"/>
  <c r="U87" i="3"/>
  <c r="T87" i="3"/>
  <c r="U86" i="3"/>
  <c r="T86" i="3"/>
  <c r="U85" i="3"/>
  <c r="T85" i="3"/>
  <c r="Z72" i="3" s="1"/>
  <c r="U84" i="3"/>
  <c r="T84" i="3"/>
  <c r="U83" i="3"/>
  <c r="T83" i="3"/>
  <c r="U82" i="3"/>
  <c r="T82" i="3"/>
  <c r="Y72" i="3" s="1"/>
  <c r="U81" i="3"/>
  <c r="T81" i="3"/>
  <c r="U80" i="3"/>
  <c r="T80" i="3"/>
  <c r="U79" i="3"/>
  <c r="T79" i="3"/>
  <c r="X72" i="3" s="1"/>
  <c r="U78" i="3"/>
  <c r="T78" i="3"/>
  <c r="U77" i="3"/>
  <c r="T77" i="3"/>
  <c r="U76" i="3"/>
  <c r="T76" i="3"/>
  <c r="W72" i="3" s="1"/>
  <c r="U75" i="3"/>
  <c r="T75" i="3"/>
  <c r="U74" i="3"/>
  <c r="T74" i="3"/>
  <c r="U73" i="3"/>
  <c r="T73" i="3"/>
  <c r="V72" i="3" s="1"/>
  <c r="U108" i="3"/>
  <c r="T108" i="3"/>
  <c r="U107" i="3"/>
  <c r="T107" i="3"/>
  <c r="U106" i="3"/>
  <c r="T106" i="3"/>
  <c r="Z93" i="3" s="1"/>
  <c r="U105" i="3"/>
  <c r="T105" i="3"/>
  <c r="U104" i="3"/>
  <c r="T104" i="3"/>
  <c r="U103" i="3"/>
  <c r="T103" i="3"/>
  <c r="Y93" i="3" s="1"/>
  <c r="U102" i="3"/>
  <c r="T102" i="3"/>
  <c r="U101" i="3"/>
  <c r="T101" i="3"/>
  <c r="U100" i="3"/>
  <c r="T100" i="3"/>
  <c r="X93" i="3" s="1"/>
  <c r="U99" i="3"/>
  <c r="T99" i="3"/>
  <c r="U98" i="3"/>
  <c r="T98" i="3"/>
  <c r="U97" i="3"/>
  <c r="T97" i="3"/>
  <c r="W93" i="3" s="1"/>
  <c r="U96" i="3"/>
  <c r="T96" i="3"/>
  <c r="U95" i="3"/>
  <c r="T95" i="3"/>
  <c r="U94" i="3"/>
  <c r="T94" i="3"/>
  <c r="V93" i="3" s="1"/>
  <c r="B108" i="3"/>
  <c r="A108" i="3"/>
  <c r="B107" i="3"/>
  <c r="A107" i="3"/>
  <c r="B106" i="3"/>
  <c r="A106" i="3"/>
  <c r="I98" i="3" s="1"/>
  <c r="B105" i="3"/>
  <c r="A105" i="3"/>
  <c r="B104" i="3"/>
  <c r="A104" i="3"/>
  <c r="B103" i="3"/>
  <c r="A103" i="3"/>
  <c r="I97" i="3" s="1"/>
  <c r="B102" i="3"/>
  <c r="A102" i="3"/>
  <c r="B101" i="3"/>
  <c r="A101" i="3"/>
  <c r="B100" i="3"/>
  <c r="A100" i="3"/>
  <c r="I96" i="3" s="1"/>
  <c r="B99" i="3"/>
  <c r="A99" i="3"/>
  <c r="B98" i="3"/>
  <c r="A98" i="3"/>
  <c r="B97" i="3"/>
  <c r="A97" i="3"/>
  <c r="I95" i="3" s="1"/>
  <c r="B96" i="3"/>
  <c r="A96" i="3"/>
  <c r="B95" i="3"/>
  <c r="A95" i="3"/>
  <c r="B94" i="3"/>
  <c r="A94" i="3"/>
  <c r="I94" i="3" s="1"/>
  <c r="B87" i="3"/>
  <c r="A87" i="3"/>
  <c r="B86" i="3"/>
  <c r="A86" i="3"/>
  <c r="B85" i="3"/>
  <c r="A85" i="3"/>
  <c r="I77" i="3" s="1"/>
  <c r="B84" i="3"/>
  <c r="A84" i="3"/>
  <c r="B83" i="3"/>
  <c r="A83" i="3"/>
  <c r="B82" i="3"/>
  <c r="A82" i="3"/>
  <c r="I76" i="3" s="1"/>
  <c r="B81" i="3"/>
  <c r="A81" i="3"/>
  <c r="B80" i="3"/>
  <c r="A80" i="3"/>
  <c r="B79" i="3"/>
  <c r="A79" i="3"/>
  <c r="I75" i="3" s="1"/>
  <c r="B78" i="3"/>
  <c r="A78" i="3"/>
  <c r="B77" i="3"/>
  <c r="A77" i="3"/>
  <c r="B76" i="3"/>
  <c r="A76" i="3"/>
  <c r="I74" i="3" s="1"/>
  <c r="B75" i="3"/>
  <c r="A75" i="3"/>
  <c r="B74" i="3"/>
  <c r="A74" i="3"/>
  <c r="B73" i="3"/>
  <c r="A73" i="3"/>
  <c r="I73" i="3" s="1"/>
  <c r="B68" i="3"/>
  <c r="A68" i="3"/>
  <c r="B67" i="3"/>
  <c r="A67" i="3"/>
  <c r="B66" i="3"/>
  <c r="A66" i="3"/>
  <c r="I58" i="3" s="1"/>
  <c r="B65" i="3"/>
  <c r="A65" i="3"/>
  <c r="B64" i="3"/>
  <c r="A64" i="3"/>
  <c r="B63" i="3"/>
  <c r="A63" i="3"/>
  <c r="I57" i="3" s="1"/>
  <c r="B62" i="3"/>
  <c r="A62" i="3"/>
  <c r="B61" i="3"/>
  <c r="A61" i="3"/>
  <c r="B60" i="3"/>
  <c r="A60" i="3"/>
  <c r="I56" i="3" s="1"/>
  <c r="B59" i="3"/>
  <c r="A59" i="3"/>
  <c r="B58" i="3"/>
  <c r="A58" i="3"/>
  <c r="B57" i="3"/>
  <c r="A57" i="3"/>
  <c r="I55" i="3" s="1"/>
  <c r="B56" i="3"/>
  <c r="A56" i="3"/>
  <c r="B55" i="3"/>
  <c r="A55" i="3"/>
  <c r="B54" i="3"/>
  <c r="A54" i="3"/>
  <c r="I54" i="3" s="1"/>
  <c r="B48" i="3"/>
  <c r="A48" i="3"/>
  <c r="B47" i="3"/>
  <c r="A47" i="3"/>
  <c r="B46" i="3"/>
  <c r="A46" i="3"/>
  <c r="I38" i="3" s="1"/>
  <c r="B45" i="3"/>
  <c r="A45" i="3"/>
  <c r="B44" i="3"/>
  <c r="A44" i="3"/>
  <c r="B43" i="3"/>
  <c r="A43" i="3"/>
  <c r="I37" i="3" s="1"/>
  <c r="B42" i="3"/>
  <c r="A42" i="3"/>
  <c r="B41" i="3"/>
  <c r="A41" i="3"/>
  <c r="B40" i="3"/>
  <c r="A40" i="3"/>
  <c r="I36" i="3" s="1"/>
  <c r="B39" i="3"/>
  <c r="A39" i="3"/>
  <c r="B38" i="3"/>
  <c r="A38" i="3"/>
  <c r="B37" i="3"/>
  <c r="A37" i="3"/>
  <c r="I35" i="3" s="1"/>
  <c r="B36" i="3"/>
  <c r="A36" i="3"/>
  <c r="B35" i="3"/>
  <c r="A35" i="3"/>
  <c r="B34" i="3"/>
  <c r="A34" i="3"/>
  <c r="I34" i="3" s="1"/>
  <c r="F154" i="13"/>
  <c r="F153" i="13"/>
  <c r="F152" i="13"/>
  <c r="F150" i="13"/>
  <c r="F149" i="13"/>
  <c r="F148" i="13"/>
  <c r="F145" i="13"/>
  <c r="F144" i="13"/>
  <c r="F143" i="13"/>
  <c r="F141" i="13"/>
  <c r="F140" i="13"/>
  <c r="F136" i="13"/>
  <c r="F135" i="13"/>
  <c r="F134" i="13"/>
  <c r="F132" i="13"/>
  <c r="F131" i="13"/>
  <c r="F130" i="13"/>
  <c r="F126" i="13"/>
  <c r="G126" i="13" s="1"/>
  <c r="F125" i="13"/>
  <c r="F124" i="13"/>
  <c r="F122" i="13"/>
  <c r="G122" i="13" s="1"/>
  <c r="F121" i="13"/>
  <c r="F120" i="13"/>
  <c r="F117" i="13"/>
  <c r="F116" i="13"/>
  <c r="F115" i="13"/>
  <c r="F113" i="13"/>
  <c r="F112" i="13"/>
  <c r="F111" i="13"/>
  <c r="F108" i="13"/>
  <c r="F107" i="13"/>
  <c r="F106" i="13"/>
  <c r="F104" i="13"/>
  <c r="F103" i="13"/>
  <c r="F102" i="13"/>
  <c r="F98" i="13"/>
  <c r="F97" i="13"/>
  <c r="F96" i="13"/>
  <c r="F94" i="13"/>
  <c r="F93" i="13"/>
  <c r="F92" i="13"/>
  <c r="F89" i="13"/>
  <c r="F88" i="13"/>
  <c r="F87" i="13"/>
  <c r="F85" i="13"/>
  <c r="F84" i="13"/>
  <c r="F83" i="13"/>
  <c r="F80" i="13"/>
  <c r="F79" i="13"/>
  <c r="F78" i="13"/>
  <c r="F76" i="13"/>
  <c r="F75" i="13"/>
  <c r="F74" i="13"/>
  <c r="F70" i="13"/>
  <c r="F69" i="13"/>
  <c r="F68" i="13"/>
  <c r="F66" i="13"/>
  <c r="F65" i="13"/>
  <c r="F64" i="13"/>
  <c r="J64" i="13" s="1"/>
  <c r="F61" i="13"/>
  <c r="F60" i="13"/>
  <c r="F59" i="13"/>
  <c r="F57" i="13"/>
  <c r="F56" i="13"/>
  <c r="F55" i="13"/>
  <c r="J55" i="13" s="1"/>
  <c r="F52" i="13"/>
  <c r="F51" i="13"/>
  <c r="F50" i="13"/>
  <c r="J50" i="13" s="1"/>
  <c r="F47" i="13"/>
  <c r="F46" i="13"/>
  <c r="J46" i="13" s="1"/>
  <c r="F42" i="13"/>
  <c r="F41" i="13"/>
  <c r="F40" i="13"/>
  <c r="G40" i="13" s="1"/>
  <c r="F38" i="13"/>
  <c r="F37" i="13"/>
  <c r="F36" i="13"/>
  <c r="F33" i="13"/>
  <c r="F32" i="13"/>
  <c r="F31" i="13"/>
  <c r="F29" i="13"/>
  <c r="F28" i="13"/>
  <c r="F27" i="13"/>
  <c r="A154" i="13"/>
  <c r="E154" i="13" s="1"/>
  <c r="A153" i="13"/>
  <c r="D153" i="13" s="1"/>
  <c r="A152" i="13"/>
  <c r="B152" i="13" s="1"/>
  <c r="A150" i="13"/>
  <c r="A149" i="13"/>
  <c r="A148" i="13"/>
  <c r="E148" i="13" s="1"/>
  <c r="A145" i="13"/>
  <c r="D145" i="13" s="1"/>
  <c r="A144" i="13"/>
  <c r="A143" i="13"/>
  <c r="E143" i="13" s="1"/>
  <c r="A141" i="13"/>
  <c r="C141" i="13" s="1"/>
  <c r="A140" i="13"/>
  <c r="E140" i="13" s="1"/>
  <c r="A139" i="13"/>
  <c r="D139" i="13" s="1"/>
  <c r="A136" i="13"/>
  <c r="A135" i="13"/>
  <c r="A134" i="13"/>
  <c r="E134" i="13" s="1"/>
  <c r="A132" i="13"/>
  <c r="D132" i="13" s="1"/>
  <c r="A131" i="13"/>
  <c r="C131" i="13" s="1"/>
  <c r="A130" i="13"/>
  <c r="E130" i="13" s="1"/>
  <c r="A126" i="13"/>
  <c r="A125" i="13"/>
  <c r="A124" i="13"/>
  <c r="C124" i="13" s="1"/>
  <c r="A122" i="13"/>
  <c r="E122" i="13" s="1"/>
  <c r="A121" i="13"/>
  <c r="C121" i="13" s="1"/>
  <c r="A120" i="13"/>
  <c r="A117" i="13"/>
  <c r="A116" i="13"/>
  <c r="D116" i="13" s="1"/>
  <c r="A115" i="13"/>
  <c r="B115" i="13" s="1"/>
  <c r="A113" i="13"/>
  <c r="C113" i="13" s="1"/>
  <c r="A112" i="13"/>
  <c r="A111" i="13"/>
  <c r="E111" i="13" s="1"/>
  <c r="A108" i="13"/>
  <c r="E108" i="13" s="1"/>
  <c r="A107" i="13"/>
  <c r="A106" i="13"/>
  <c r="C106" i="13" s="1"/>
  <c r="A104" i="13"/>
  <c r="A103" i="13"/>
  <c r="A102" i="13"/>
  <c r="A98" i="13"/>
  <c r="E98" i="13" s="1"/>
  <c r="A97" i="13"/>
  <c r="A96" i="13"/>
  <c r="A94" i="13"/>
  <c r="E94" i="13" s="1"/>
  <c r="A93" i="13"/>
  <c r="E93" i="13" s="1"/>
  <c r="A92" i="13"/>
  <c r="C92" i="13" s="1"/>
  <c r="A89" i="13"/>
  <c r="C89" i="13" s="1"/>
  <c r="A88" i="13"/>
  <c r="A87" i="13"/>
  <c r="A85" i="13"/>
  <c r="E85" i="13" s="1"/>
  <c r="A84" i="13"/>
  <c r="D84" i="13" s="1"/>
  <c r="A83" i="13"/>
  <c r="D83" i="13" s="1"/>
  <c r="A80" i="13"/>
  <c r="A79" i="13"/>
  <c r="E79" i="13" s="1"/>
  <c r="A78" i="13"/>
  <c r="E78" i="13" s="1"/>
  <c r="A76" i="13"/>
  <c r="A75" i="13"/>
  <c r="E75" i="13" s="1"/>
  <c r="A74" i="13"/>
  <c r="A70" i="13"/>
  <c r="E70" i="13" s="1"/>
  <c r="A69" i="13"/>
  <c r="C69" i="13" s="1"/>
  <c r="A68" i="13"/>
  <c r="D68" i="13" s="1"/>
  <c r="A66" i="13"/>
  <c r="C66" i="13" s="1"/>
  <c r="A65" i="13"/>
  <c r="A64" i="13"/>
  <c r="A61" i="13"/>
  <c r="E61" i="13" s="1"/>
  <c r="A60" i="13"/>
  <c r="E60" i="13" s="1"/>
  <c r="A59" i="13"/>
  <c r="B59" i="13" s="1"/>
  <c r="A57" i="13"/>
  <c r="E57" i="13" s="1"/>
  <c r="A56" i="13"/>
  <c r="D56" i="13" s="1"/>
  <c r="A55" i="13"/>
  <c r="E55" i="13" s="1"/>
  <c r="A52" i="13"/>
  <c r="E52" i="13" s="1"/>
  <c r="A51" i="13"/>
  <c r="E51" i="13" s="1"/>
  <c r="A50" i="13"/>
  <c r="D50" i="13" s="1"/>
  <c r="A48" i="13"/>
  <c r="A47" i="13"/>
  <c r="D47" i="13" s="1"/>
  <c r="A46" i="13"/>
  <c r="B46" i="13" s="1"/>
  <c r="A42" i="13"/>
  <c r="C42" i="13" s="1"/>
  <c r="A41" i="13"/>
  <c r="A40" i="13"/>
  <c r="A38" i="13"/>
  <c r="E38" i="13" s="1"/>
  <c r="A37" i="13"/>
  <c r="E37" i="13" s="1"/>
  <c r="A36" i="13"/>
  <c r="B36" i="13" s="1"/>
  <c r="A33" i="13"/>
  <c r="A32" i="13"/>
  <c r="D32" i="13" s="1"/>
  <c r="A31" i="13"/>
  <c r="D31" i="13" s="1"/>
  <c r="A29" i="13"/>
  <c r="E29" i="13" s="1"/>
  <c r="A28" i="13"/>
  <c r="E28" i="13" s="1"/>
  <c r="A27" i="13"/>
  <c r="D27" i="13" s="1"/>
  <c r="A24" i="13"/>
  <c r="E24" i="13" s="1"/>
  <c r="A23" i="13"/>
  <c r="A22" i="13"/>
  <c r="E22" i="13" s="1"/>
  <c r="A20" i="13"/>
  <c r="D20" i="13" s="1"/>
  <c r="A19" i="13"/>
  <c r="A18" i="13"/>
  <c r="E144" i="13"/>
  <c r="C144" i="13"/>
  <c r="A15" i="13"/>
  <c r="B83" i="13" l="1"/>
  <c r="E69" i="13"/>
  <c r="D69" i="13"/>
  <c r="C122" i="13"/>
  <c r="B130" i="13"/>
  <c r="C93" i="13"/>
  <c r="D130" i="13"/>
  <c r="D46" i="13"/>
  <c r="C46" i="13"/>
  <c r="D140" i="13"/>
  <c r="C130" i="13"/>
  <c r="D29" i="13"/>
  <c r="E132" i="13"/>
  <c r="D75" i="13"/>
  <c r="C75" i="13"/>
  <c r="D124" i="13"/>
  <c r="E56" i="13"/>
  <c r="D93" i="13"/>
  <c r="C29" i="13"/>
  <c r="C56" i="13"/>
  <c r="E32" i="13"/>
  <c r="C83" i="13"/>
  <c r="C148" i="13"/>
  <c r="C37" i="13"/>
  <c r="E83" i="13"/>
  <c r="D37" i="13"/>
  <c r="D122" i="13"/>
  <c r="J56" i="13"/>
  <c r="J68" i="13"/>
  <c r="J57" i="13"/>
  <c r="J69" i="13"/>
  <c r="G69" i="13"/>
  <c r="N46" i="13"/>
  <c r="R46" i="13" s="1"/>
  <c r="V46" i="13" s="1"/>
  <c r="J59" i="13"/>
  <c r="J70" i="13"/>
  <c r="J60" i="13"/>
  <c r="N50" i="13"/>
  <c r="R50" i="13" s="1"/>
  <c r="V50" i="13" s="1"/>
  <c r="J61" i="13"/>
  <c r="N64" i="13"/>
  <c r="R64" i="13" s="1"/>
  <c r="V64" i="13" s="1"/>
  <c r="J52" i="13"/>
  <c r="J65" i="13"/>
  <c r="N55" i="13"/>
  <c r="R55" i="13" s="1"/>
  <c r="V55" i="13" s="1"/>
  <c r="J66" i="13"/>
  <c r="J51" i="13"/>
  <c r="J47" i="13"/>
  <c r="D108" i="13"/>
  <c r="C145" i="13"/>
  <c r="E145" i="13"/>
  <c r="J152" i="13"/>
  <c r="J153" i="13"/>
  <c r="J150" i="13"/>
  <c r="J148" i="13"/>
  <c r="J149" i="13"/>
  <c r="J145" i="13"/>
  <c r="J140" i="13"/>
  <c r="J136" i="13"/>
  <c r="J134" i="13"/>
  <c r="J131" i="13"/>
  <c r="J132" i="13"/>
  <c r="J130" i="13"/>
  <c r="J124" i="13"/>
  <c r="J125" i="13"/>
  <c r="J126" i="13"/>
  <c r="J120" i="13"/>
  <c r="J121" i="13"/>
  <c r="J117" i="13"/>
  <c r="J115" i="13"/>
  <c r="J116" i="13"/>
  <c r="J112" i="13"/>
  <c r="J113" i="13"/>
  <c r="J111" i="13"/>
  <c r="J106" i="13"/>
  <c r="J107" i="13"/>
  <c r="J108" i="13"/>
  <c r="J102" i="13"/>
  <c r="J103" i="13"/>
  <c r="J40" i="13"/>
  <c r="J41" i="13"/>
  <c r="J38" i="13"/>
  <c r="J36" i="13"/>
  <c r="J27" i="13"/>
  <c r="J28" i="13"/>
  <c r="J29" i="13"/>
  <c r="E113" i="13"/>
  <c r="E46" i="13"/>
  <c r="E124" i="13"/>
  <c r="E20" i="13"/>
  <c r="C32" i="13"/>
  <c r="E106" i="13"/>
  <c r="C108" i="13"/>
  <c r="C68" i="13"/>
  <c r="E68" i="13"/>
  <c r="B124" i="13"/>
  <c r="E50" i="13"/>
  <c r="C20" i="13"/>
  <c r="C132" i="13"/>
  <c r="C152" i="13"/>
  <c r="J104" i="13"/>
  <c r="J122" i="13"/>
  <c r="D42" i="13"/>
  <c r="C61" i="13"/>
  <c r="D61" i="13"/>
  <c r="J141" i="13"/>
  <c r="D106" i="13"/>
  <c r="J143" i="13"/>
  <c r="E153" i="13"/>
  <c r="J31" i="13"/>
  <c r="J144" i="13"/>
  <c r="D59" i="13"/>
  <c r="C116" i="13"/>
  <c r="J32" i="13"/>
  <c r="J33" i="13"/>
  <c r="E116" i="13"/>
  <c r="C59" i="13"/>
  <c r="C60" i="13"/>
  <c r="B134" i="13"/>
  <c r="E59" i="13"/>
  <c r="C134" i="13"/>
  <c r="J37" i="13"/>
  <c r="D134" i="13"/>
  <c r="J135" i="13"/>
  <c r="J154" i="13"/>
  <c r="J139" i="13"/>
  <c r="J42" i="13"/>
  <c r="C153" i="13"/>
  <c r="C140" i="13"/>
  <c r="B27" i="13"/>
  <c r="C27" i="13"/>
  <c r="D121" i="13"/>
  <c r="B148" i="13"/>
  <c r="D148" i="13"/>
  <c r="C52" i="13"/>
  <c r="C85" i="13"/>
  <c r="D85" i="13"/>
  <c r="C98" i="13"/>
  <c r="D98" i="13"/>
  <c r="D52" i="13"/>
  <c r="D92" i="13"/>
  <c r="C107" i="13"/>
  <c r="C115" i="13"/>
  <c r="E92" i="13"/>
  <c r="E76" i="13"/>
  <c r="E84" i="13"/>
  <c r="E107" i="13"/>
  <c r="C76" i="13"/>
  <c r="C154" i="13"/>
  <c r="C51" i="13"/>
  <c r="D154" i="13"/>
  <c r="E42" i="13"/>
  <c r="D51" i="13"/>
  <c r="D131" i="13"/>
  <c r="C139" i="13"/>
  <c r="D60" i="13"/>
  <c r="B68" i="13"/>
  <c r="D115" i="13"/>
  <c r="E121" i="13"/>
  <c r="E131" i="13"/>
  <c r="D152" i="13"/>
  <c r="B92" i="13"/>
  <c r="E115" i="13"/>
  <c r="C136" i="13"/>
  <c r="E152" i="13"/>
  <c r="C97" i="13"/>
  <c r="D136" i="13"/>
  <c r="D97" i="13"/>
  <c r="E136" i="13"/>
  <c r="E97" i="13"/>
  <c r="B139" i="13"/>
  <c r="D76" i="13"/>
  <c r="D107" i="13"/>
  <c r="D113" i="13"/>
  <c r="E139" i="13"/>
  <c r="D144" i="13"/>
  <c r="D66" i="13"/>
  <c r="C84" i="13"/>
  <c r="D89" i="13"/>
  <c r="E66" i="13"/>
  <c r="E89" i="13"/>
  <c r="C36" i="13"/>
  <c r="D36" i="13"/>
  <c r="E36" i="13"/>
  <c r="B106" i="13"/>
  <c r="B111" i="13"/>
  <c r="C38" i="13"/>
  <c r="C94" i="13"/>
  <c r="C111" i="13"/>
  <c r="B40" i="13"/>
  <c r="D70" i="13"/>
  <c r="C103" i="13"/>
  <c r="D111" i="13"/>
  <c r="D38" i="13"/>
  <c r="C70" i="13"/>
  <c r="C40" i="13"/>
  <c r="C64" i="13"/>
  <c r="C87" i="13"/>
  <c r="E103" i="13"/>
  <c r="B64" i="13"/>
  <c r="D103" i="13"/>
  <c r="D40" i="13"/>
  <c r="E40" i="13"/>
  <c r="C48" i="13"/>
  <c r="D64" i="13"/>
  <c r="C79" i="13"/>
  <c r="D87" i="13"/>
  <c r="B87" i="13"/>
  <c r="D48" i="13"/>
  <c r="E64" i="13"/>
  <c r="D79" i="13"/>
  <c r="E87" i="13"/>
  <c r="C24" i="13"/>
  <c r="D24" i="13"/>
  <c r="E48" i="13"/>
  <c r="D28" i="13"/>
  <c r="C28" i="13"/>
  <c r="B22" i="13"/>
  <c r="C22" i="13"/>
  <c r="D22" i="13"/>
  <c r="C65" i="13"/>
  <c r="C80" i="13"/>
  <c r="E18" i="13"/>
  <c r="C41" i="13"/>
  <c r="C57" i="13"/>
  <c r="D65" i="13"/>
  <c r="D80" i="13"/>
  <c r="C104" i="13"/>
  <c r="C126" i="13"/>
  <c r="D141" i="13"/>
  <c r="D18" i="13"/>
  <c r="E27" i="13"/>
  <c r="D41" i="13"/>
  <c r="D57" i="13"/>
  <c r="E65" i="13"/>
  <c r="B74" i="13"/>
  <c r="E80" i="13"/>
  <c r="D104" i="13"/>
  <c r="B120" i="13"/>
  <c r="D126" i="13"/>
  <c r="E141" i="13"/>
  <c r="C74" i="13"/>
  <c r="C88" i="13"/>
  <c r="B96" i="13"/>
  <c r="E104" i="13"/>
  <c r="C120" i="13"/>
  <c r="E126" i="13"/>
  <c r="C150" i="13"/>
  <c r="C33" i="13"/>
  <c r="D19" i="13"/>
  <c r="D120" i="13"/>
  <c r="C135" i="13"/>
  <c r="B143" i="13"/>
  <c r="D150" i="13"/>
  <c r="B18" i="13"/>
  <c r="C19" i="13"/>
  <c r="E41" i="13"/>
  <c r="D33" i="13"/>
  <c r="D74" i="13"/>
  <c r="D88" i="13"/>
  <c r="C96" i="13"/>
  <c r="C112" i="13"/>
  <c r="E19" i="13"/>
  <c r="E33" i="13"/>
  <c r="E74" i="13"/>
  <c r="E88" i="13"/>
  <c r="D96" i="13"/>
  <c r="D112" i="13"/>
  <c r="E120" i="13"/>
  <c r="D135" i="13"/>
  <c r="C143" i="13"/>
  <c r="E150" i="13"/>
  <c r="E96" i="13"/>
  <c r="E112" i="13"/>
  <c r="E135" i="13"/>
  <c r="D143" i="13"/>
  <c r="B50" i="13"/>
  <c r="C18" i="13"/>
  <c r="C50" i="13"/>
  <c r="E47" i="13"/>
  <c r="C31" i="13"/>
  <c r="C149" i="13"/>
  <c r="B31" i="13"/>
  <c r="C117" i="13"/>
  <c r="D149" i="13"/>
  <c r="C23" i="13"/>
  <c r="E31" i="13"/>
  <c r="B102" i="13"/>
  <c r="D117" i="13"/>
  <c r="E149" i="13"/>
  <c r="D23" i="13"/>
  <c r="C102" i="13"/>
  <c r="E117" i="13"/>
  <c r="E23" i="13"/>
  <c r="B55" i="13"/>
  <c r="D102" i="13"/>
  <c r="C125" i="13"/>
  <c r="E102" i="13"/>
  <c r="D125" i="13"/>
  <c r="C55" i="13"/>
  <c r="D55" i="13"/>
  <c r="B78" i="13"/>
  <c r="D94" i="13"/>
  <c r="E125" i="13"/>
  <c r="A16" i="13"/>
  <c r="A14" i="13" s="1"/>
  <c r="C47" i="13"/>
  <c r="C78" i="13"/>
  <c r="D78" i="13"/>
  <c r="B1" i="13"/>
  <c r="N36" i="13" l="1"/>
  <c r="N102" i="13"/>
  <c r="N115" i="13"/>
  <c r="N132" i="13"/>
  <c r="N150" i="13"/>
  <c r="N52" i="13"/>
  <c r="R52" i="13" s="1"/>
  <c r="V52" i="13" s="1"/>
  <c r="N42" i="13"/>
  <c r="N144" i="13"/>
  <c r="N38" i="13"/>
  <c r="N108" i="13"/>
  <c r="N117" i="13"/>
  <c r="N131" i="13"/>
  <c r="N153" i="13"/>
  <c r="N60" i="13"/>
  <c r="R60" i="13" s="1"/>
  <c r="V60" i="13" s="1"/>
  <c r="N69" i="13"/>
  <c r="R69" i="13" s="1"/>
  <c r="V69" i="13" s="1"/>
  <c r="K69" i="13"/>
  <c r="N139" i="13"/>
  <c r="N31" i="13"/>
  <c r="N122" i="13"/>
  <c r="K122" i="13"/>
  <c r="N41" i="13"/>
  <c r="N107" i="13"/>
  <c r="N121" i="13"/>
  <c r="N134" i="13"/>
  <c r="N152" i="13"/>
  <c r="N154" i="13"/>
  <c r="N104" i="13"/>
  <c r="N106" i="13"/>
  <c r="N120" i="13"/>
  <c r="N136" i="13"/>
  <c r="N66" i="13"/>
  <c r="R66" i="13" s="1"/>
  <c r="V66" i="13" s="1"/>
  <c r="N70" i="13"/>
  <c r="R70" i="13" s="1"/>
  <c r="V70" i="13" s="1"/>
  <c r="N57" i="13"/>
  <c r="R57" i="13" s="1"/>
  <c r="V57" i="13" s="1"/>
  <c r="N135" i="13"/>
  <c r="N143" i="13"/>
  <c r="N111" i="13"/>
  <c r="K126" i="13"/>
  <c r="N126" i="13"/>
  <c r="N140" i="13"/>
  <c r="N33" i="13"/>
  <c r="N29" i="13"/>
  <c r="N113" i="13"/>
  <c r="N125" i="13"/>
  <c r="N145" i="13"/>
  <c r="N61" i="13"/>
  <c r="R61" i="13" s="1"/>
  <c r="V61" i="13" s="1"/>
  <c r="N59" i="13"/>
  <c r="N68" i="13"/>
  <c r="R68" i="13" s="1"/>
  <c r="V68" i="13" s="1"/>
  <c r="N37" i="13"/>
  <c r="N32" i="13"/>
  <c r="N141" i="13"/>
  <c r="N28" i="13"/>
  <c r="N112" i="13"/>
  <c r="N124" i="13"/>
  <c r="N149" i="13"/>
  <c r="N65" i="13"/>
  <c r="R65" i="13" s="1"/>
  <c r="V65" i="13" s="1"/>
  <c r="N27" i="13"/>
  <c r="N103" i="13"/>
  <c r="N116" i="13"/>
  <c r="N130" i="13"/>
  <c r="N148" i="13"/>
  <c r="N56" i="13"/>
  <c r="N51" i="13"/>
  <c r="R51" i="13" s="1"/>
  <c r="V51" i="13" s="1"/>
  <c r="N47" i="13"/>
  <c r="R47" i="13" s="1"/>
  <c r="V47" i="13" s="1"/>
  <c r="N40" i="13"/>
  <c r="K40" i="13"/>
  <c r="O69" i="13"/>
  <c r="S69" i="13" l="1"/>
  <c r="R140" i="13"/>
  <c r="R135" i="13"/>
  <c r="R136" i="13"/>
  <c r="R154" i="13"/>
  <c r="V154" i="13" s="1"/>
  <c r="R107" i="13"/>
  <c r="V107" i="13" s="1"/>
  <c r="R130" i="13"/>
  <c r="V130" i="13" s="1"/>
  <c r="R28" i="13"/>
  <c r="V28" i="13" s="1"/>
  <c r="R125" i="13"/>
  <c r="V125" i="13" s="1"/>
  <c r="R139" i="13"/>
  <c r="V139" i="13" s="1"/>
  <c r="R131" i="13"/>
  <c r="V131" i="13" s="1"/>
  <c r="R144" i="13"/>
  <c r="V144" i="13" s="1"/>
  <c r="R132" i="13"/>
  <c r="R116" i="13"/>
  <c r="R141" i="13"/>
  <c r="V141" i="13" s="1"/>
  <c r="R126" i="13"/>
  <c r="O126" i="13"/>
  <c r="R120" i="13"/>
  <c r="V120" i="13" s="1"/>
  <c r="R152" i="13"/>
  <c r="R117" i="13"/>
  <c r="V117" i="13" s="1"/>
  <c r="R115" i="13"/>
  <c r="R149" i="13"/>
  <c r="R59" i="13"/>
  <c r="R113" i="13"/>
  <c r="R41" i="13"/>
  <c r="V41" i="13" s="1"/>
  <c r="R42" i="13"/>
  <c r="V42" i="13" s="1"/>
  <c r="R103" i="13"/>
  <c r="R106" i="13"/>
  <c r="R134" i="13"/>
  <c r="R56" i="13"/>
  <c r="R124" i="13"/>
  <c r="R32" i="13"/>
  <c r="V32" i="13" s="1"/>
  <c r="R29" i="13"/>
  <c r="V29" i="13" s="1"/>
  <c r="R111" i="13"/>
  <c r="R122" i="13"/>
  <c r="V122" i="13" s="1"/>
  <c r="O122" i="13"/>
  <c r="R108" i="13"/>
  <c r="R102" i="13"/>
  <c r="R37" i="13"/>
  <c r="V37" i="13" s="1"/>
  <c r="R33" i="13"/>
  <c r="V33" i="13" s="1"/>
  <c r="R143" i="13"/>
  <c r="V143" i="13" s="1"/>
  <c r="R104" i="13"/>
  <c r="V104" i="13" s="1"/>
  <c r="R153" i="13"/>
  <c r="V153" i="13" s="1"/>
  <c r="R36" i="13"/>
  <c r="R148" i="13"/>
  <c r="V148" i="13" s="1"/>
  <c r="R27" i="13"/>
  <c r="V27" i="13" s="1"/>
  <c r="R112" i="13"/>
  <c r="R145" i="13"/>
  <c r="R121" i="13"/>
  <c r="R31" i="13"/>
  <c r="V31" i="13" s="1"/>
  <c r="R38" i="13"/>
  <c r="V38" i="13" s="1"/>
  <c r="R150" i="13"/>
  <c r="O40" i="13"/>
  <c r="R40" i="13"/>
  <c r="V40" i="13" s="1"/>
  <c r="S18" i="13"/>
  <c r="W69" i="13"/>
  <c r="S19" i="13"/>
  <c r="B28" i="3"/>
  <c r="U28" i="3" s="1"/>
  <c r="B27" i="3"/>
  <c r="U27" i="3" s="1"/>
  <c r="B26" i="3"/>
  <c r="U26" i="3" s="1"/>
  <c r="B25" i="3"/>
  <c r="U25" i="3" s="1"/>
  <c r="U24" i="3"/>
  <c r="B23" i="3"/>
  <c r="U23" i="3" s="1"/>
  <c r="B22" i="3"/>
  <c r="U22" i="3" s="1"/>
  <c r="B21" i="3"/>
  <c r="U21" i="3" s="1"/>
  <c r="B20" i="3"/>
  <c r="U20" i="3" s="1"/>
  <c r="B19" i="3"/>
  <c r="U19" i="3" s="1"/>
  <c r="B18" i="3"/>
  <c r="U18" i="3" s="1"/>
  <c r="B17" i="3"/>
  <c r="U17" i="3" s="1"/>
  <c r="B16" i="3"/>
  <c r="U16" i="3" s="1"/>
  <c r="B15" i="3"/>
  <c r="U15" i="3" s="1"/>
  <c r="B14" i="3"/>
  <c r="U14" i="3" s="1"/>
  <c r="A28" i="3"/>
  <c r="T28" i="3" s="1"/>
  <c r="A27" i="3"/>
  <c r="T27" i="3" s="1"/>
  <c r="A26" i="3"/>
  <c r="T26" i="3" s="1"/>
  <c r="Z13" i="3" s="1"/>
  <c r="A25" i="3"/>
  <c r="T25" i="3" s="1"/>
  <c r="A24" i="3"/>
  <c r="T24" i="3" s="1"/>
  <c r="A23" i="3"/>
  <c r="I17" i="3" s="1"/>
  <c r="A22" i="3"/>
  <c r="T22" i="3" s="1"/>
  <c r="A21" i="3"/>
  <c r="T21" i="3" s="1"/>
  <c r="A20" i="3"/>
  <c r="I16" i="3" s="1"/>
  <c r="A19" i="3"/>
  <c r="T19" i="3" s="1"/>
  <c r="A18" i="3"/>
  <c r="T18" i="3" s="1"/>
  <c r="A17" i="3"/>
  <c r="I15" i="3" s="1"/>
  <c r="A15" i="3"/>
  <c r="T15" i="3" s="1"/>
  <c r="A16" i="3"/>
  <c r="T16" i="3" s="1"/>
  <c r="A14" i="3"/>
  <c r="I14" i="3" s="1"/>
  <c r="S40" i="13" l="1"/>
  <c r="V59" i="13"/>
  <c r="V112" i="13"/>
  <c r="V111" i="13"/>
  <c r="V149" i="13"/>
  <c r="S122" i="13"/>
  <c r="V56" i="13"/>
  <c r="V132" i="13"/>
  <c r="V102" i="13"/>
  <c r="V134" i="13"/>
  <c r="V115" i="13"/>
  <c r="V136" i="13"/>
  <c r="V126" i="13"/>
  <c r="W126" i="13" s="1"/>
  <c r="S126" i="13"/>
  <c r="V121" i="13"/>
  <c r="V108" i="13"/>
  <c r="V106" i="13"/>
  <c r="V113" i="13"/>
  <c r="V135" i="13"/>
  <c r="V150" i="13"/>
  <c r="V145" i="13"/>
  <c r="V36" i="13"/>
  <c r="V124" i="13"/>
  <c r="V103" i="13"/>
  <c r="V152" i="13"/>
  <c r="V116" i="13"/>
  <c r="V140" i="13"/>
  <c r="W40" i="13"/>
  <c r="W18" i="13"/>
  <c r="W122" i="13"/>
  <c r="W19" i="13"/>
  <c r="T20" i="3"/>
  <c r="X13" i="3" s="1"/>
  <c r="T23" i="3"/>
  <c r="Y13" i="3" s="1"/>
  <c r="I18" i="3"/>
  <c r="T14" i="3"/>
  <c r="V13" i="3" s="1"/>
  <c r="T17" i="3"/>
  <c r="W13" i="3" s="1"/>
  <c r="D230" i="2" l="1"/>
  <c r="D229" i="2"/>
  <c r="C229" i="2"/>
  <c r="D228" i="2"/>
  <c r="D227" i="2"/>
  <c r="C227" i="2"/>
  <c r="D226" i="2"/>
  <c r="D225" i="2"/>
  <c r="C225" i="2"/>
  <c r="D223" i="2"/>
  <c r="D222" i="2"/>
  <c r="C222" i="2"/>
  <c r="D221" i="2"/>
  <c r="D220" i="2"/>
  <c r="C220" i="2"/>
  <c r="D219" i="2"/>
  <c r="D218" i="2"/>
  <c r="C218" i="2"/>
  <c r="D216" i="2"/>
  <c r="D215" i="2"/>
  <c r="C215" i="2"/>
  <c r="D214" i="2"/>
  <c r="D213" i="2"/>
  <c r="C213" i="2"/>
  <c r="D212" i="2"/>
  <c r="D211" i="2"/>
  <c r="C211" i="2"/>
  <c r="D209" i="2"/>
  <c r="D208" i="2"/>
  <c r="C208" i="2"/>
  <c r="D207" i="2"/>
  <c r="D206" i="2"/>
  <c r="C206" i="2"/>
  <c r="D205" i="2"/>
  <c r="D204" i="2"/>
  <c r="C204" i="2"/>
  <c r="D202" i="2"/>
  <c r="D201" i="2"/>
  <c r="C201" i="2"/>
  <c r="D200" i="2"/>
  <c r="D199" i="2"/>
  <c r="C199" i="2"/>
  <c r="D198" i="2"/>
  <c r="D197" i="2"/>
  <c r="C197" i="2"/>
  <c r="D195" i="2"/>
  <c r="D194" i="2"/>
  <c r="C194" i="2"/>
  <c r="D193" i="2"/>
  <c r="D192" i="2"/>
  <c r="C192" i="2"/>
  <c r="D191" i="2"/>
  <c r="D190" i="2"/>
  <c r="C190" i="2"/>
  <c r="B225" i="2"/>
  <c r="B218" i="2"/>
  <c r="B211" i="2"/>
  <c r="B204" i="2"/>
  <c r="B197" i="2"/>
  <c r="B190" i="2"/>
  <c r="D187" i="2"/>
  <c r="D186" i="2"/>
  <c r="C186" i="2"/>
  <c r="D185" i="2"/>
  <c r="D184" i="2"/>
  <c r="C184" i="2"/>
  <c r="D183" i="2"/>
  <c r="D182" i="2"/>
  <c r="C182" i="2"/>
  <c r="D180" i="2"/>
  <c r="D179" i="2"/>
  <c r="C179" i="2"/>
  <c r="D178" i="2"/>
  <c r="D177" i="2"/>
  <c r="C177" i="2"/>
  <c r="D176" i="2"/>
  <c r="D175" i="2"/>
  <c r="C175" i="2"/>
  <c r="D173" i="2"/>
  <c r="D172" i="2"/>
  <c r="C172" i="2"/>
  <c r="D171" i="2"/>
  <c r="D170" i="2"/>
  <c r="C170" i="2"/>
  <c r="D169" i="2"/>
  <c r="D168" i="2"/>
  <c r="C168" i="2"/>
  <c r="D166" i="2"/>
  <c r="D165" i="2"/>
  <c r="C165" i="2"/>
  <c r="D164" i="2"/>
  <c r="D163" i="2"/>
  <c r="C163" i="2"/>
  <c r="D162" i="2"/>
  <c r="D161" i="2"/>
  <c r="C161" i="2"/>
  <c r="D159" i="2"/>
  <c r="D158" i="2"/>
  <c r="C158" i="2"/>
  <c r="D157" i="2"/>
  <c r="D156" i="2"/>
  <c r="C156" i="2"/>
  <c r="D155" i="2"/>
  <c r="D154" i="2"/>
  <c r="C154" i="2"/>
  <c r="D152" i="2"/>
  <c r="D151" i="2"/>
  <c r="C151" i="2"/>
  <c r="D150" i="2"/>
  <c r="D149" i="2"/>
  <c r="C149" i="2"/>
  <c r="D148" i="2"/>
  <c r="D147" i="2"/>
  <c r="C147" i="2"/>
  <c r="B182" i="2"/>
  <c r="B175" i="2"/>
  <c r="B168" i="2"/>
  <c r="B161" i="2"/>
  <c r="B154" i="2"/>
  <c r="B147" i="2"/>
  <c r="D144" i="2"/>
  <c r="D143" i="2"/>
  <c r="C143" i="2"/>
  <c r="D142" i="2"/>
  <c r="D141" i="2"/>
  <c r="C141" i="2"/>
  <c r="D140" i="2"/>
  <c r="D139" i="2"/>
  <c r="C139" i="2"/>
  <c r="D137" i="2"/>
  <c r="D136" i="2"/>
  <c r="C136" i="2"/>
  <c r="D135" i="2"/>
  <c r="D134" i="2"/>
  <c r="C134" i="2"/>
  <c r="D133" i="2"/>
  <c r="D132" i="2"/>
  <c r="C132" i="2"/>
  <c r="D130" i="2"/>
  <c r="D129" i="2"/>
  <c r="C129" i="2"/>
  <c r="D128" i="2"/>
  <c r="D127" i="2"/>
  <c r="C127" i="2"/>
  <c r="D126" i="2"/>
  <c r="D125" i="2"/>
  <c r="C125" i="2"/>
  <c r="D123" i="2"/>
  <c r="D122" i="2"/>
  <c r="C122" i="2"/>
  <c r="D121" i="2"/>
  <c r="D120" i="2"/>
  <c r="C120" i="2"/>
  <c r="D119" i="2"/>
  <c r="D118" i="2"/>
  <c r="C118" i="2"/>
  <c r="D116" i="2"/>
  <c r="D115" i="2"/>
  <c r="C115" i="2"/>
  <c r="D114" i="2"/>
  <c r="D113" i="2"/>
  <c r="C113" i="2"/>
  <c r="D112" i="2"/>
  <c r="D111" i="2"/>
  <c r="C111" i="2"/>
  <c r="D109" i="2"/>
  <c r="D108" i="2"/>
  <c r="C108" i="2"/>
  <c r="D107" i="2"/>
  <c r="D106" i="2"/>
  <c r="C106" i="2"/>
  <c r="D105" i="2"/>
  <c r="D104" i="2"/>
  <c r="C104" i="2"/>
  <c r="B139" i="2"/>
  <c r="B132" i="2"/>
  <c r="B125" i="2"/>
  <c r="B118" i="2"/>
  <c r="B111" i="2"/>
  <c r="B104" i="2"/>
  <c r="D101" i="2"/>
  <c r="D100" i="2"/>
  <c r="C100" i="2"/>
  <c r="D99" i="2"/>
  <c r="D98" i="2"/>
  <c r="C98" i="2"/>
  <c r="D97" i="2"/>
  <c r="D96" i="2"/>
  <c r="C96" i="2"/>
  <c r="D94" i="2"/>
  <c r="D93" i="2"/>
  <c r="C93" i="2"/>
  <c r="D92" i="2"/>
  <c r="D91" i="2"/>
  <c r="C91" i="2"/>
  <c r="D90" i="2"/>
  <c r="D89" i="2"/>
  <c r="C89" i="2"/>
  <c r="D87" i="2"/>
  <c r="D86" i="2"/>
  <c r="C86" i="2"/>
  <c r="D84" i="2"/>
  <c r="C84" i="2"/>
  <c r="D83" i="2"/>
  <c r="D82" i="2"/>
  <c r="C82" i="2"/>
  <c r="D80" i="2"/>
  <c r="D79" i="2"/>
  <c r="C79" i="2"/>
  <c r="D78" i="2"/>
  <c r="D77" i="2"/>
  <c r="C77" i="2"/>
  <c r="D76" i="2"/>
  <c r="D75" i="2"/>
  <c r="C75" i="2"/>
  <c r="D73" i="2"/>
  <c r="D72" i="2"/>
  <c r="C72" i="2"/>
  <c r="D71" i="2"/>
  <c r="D70" i="2"/>
  <c r="C70" i="2"/>
  <c r="D69" i="2"/>
  <c r="D68" i="2"/>
  <c r="C68" i="2"/>
  <c r="D66" i="2"/>
  <c r="D65" i="2"/>
  <c r="C65" i="2"/>
  <c r="D64" i="2"/>
  <c r="D63" i="2"/>
  <c r="C63" i="2"/>
  <c r="D62" i="2"/>
  <c r="D61" i="2"/>
  <c r="C61" i="2"/>
  <c r="B96" i="2"/>
  <c r="B89" i="2"/>
  <c r="B82" i="2"/>
  <c r="B75" i="2"/>
  <c r="B68" i="2"/>
  <c r="B61" i="2"/>
  <c r="D58" i="2"/>
  <c r="D57" i="2"/>
  <c r="C57" i="2"/>
  <c r="D56" i="2"/>
  <c r="D55" i="2"/>
  <c r="C55" i="2"/>
  <c r="D54" i="2"/>
  <c r="D53" i="2"/>
  <c r="C53" i="2"/>
  <c r="B53" i="2"/>
  <c r="D51" i="2"/>
  <c r="D50" i="2"/>
  <c r="C50" i="2"/>
  <c r="D49" i="2"/>
  <c r="D48" i="2"/>
  <c r="C48" i="2"/>
  <c r="D47" i="2"/>
  <c r="D46" i="2"/>
  <c r="C46" i="2"/>
  <c r="B46" i="2"/>
  <c r="E227" i="2"/>
  <c r="E220" i="2"/>
  <c r="E213" i="2"/>
  <c r="E206" i="2"/>
  <c r="E199" i="2"/>
  <c r="E192" i="2"/>
  <c r="E184" i="2"/>
  <c r="E177" i="2"/>
  <c r="E170" i="2"/>
  <c r="E163" i="2"/>
  <c r="E156" i="2"/>
  <c r="E149" i="2"/>
  <c r="E141" i="2"/>
  <c r="E134" i="2"/>
  <c r="E127" i="2"/>
  <c r="E120" i="2"/>
  <c r="E113" i="2"/>
  <c r="E106" i="2"/>
  <c r="E98" i="2"/>
  <c r="E91" i="2"/>
  <c r="E84" i="2"/>
  <c r="E77" i="2"/>
  <c r="E70" i="2"/>
  <c r="E63" i="2"/>
  <c r="E55" i="2"/>
  <c r="E48" i="2"/>
  <c r="B39" i="2"/>
  <c r="B32" i="2"/>
  <c r="B25" i="2"/>
  <c r="B18" i="2"/>
  <c r="D44" i="2"/>
  <c r="D43" i="2"/>
  <c r="C43" i="2"/>
  <c r="D42" i="2"/>
  <c r="D41" i="2"/>
  <c r="C41" i="2"/>
  <c r="D40" i="2"/>
  <c r="D39" i="2"/>
  <c r="C39" i="2"/>
  <c r="E41" i="2"/>
  <c r="D37" i="2"/>
  <c r="E36" i="2"/>
  <c r="D36" i="2"/>
  <c r="C36" i="2"/>
  <c r="D35" i="2"/>
  <c r="E34" i="2"/>
  <c r="D34" i="2"/>
  <c r="C34" i="2"/>
  <c r="D33" i="2"/>
  <c r="E32" i="2"/>
  <c r="D32" i="2"/>
  <c r="C32" i="2"/>
  <c r="C29" i="2"/>
  <c r="C27" i="2"/>
  <c r="C25" i="2"/>
  <c r="C22" i="2"/>
  <c r="C20" i="2"/>
  <c r="C18" i="2"/>
  <c r="D28" i="2"/>
  <c r="E27" i="2"/>
  <c r="D27" i="2"/>
  <c r="D29" i="2"/>
  <c r="D25" i="2"/>
  <c r="D21" i="2"/>
  <c r="E20" i="2"/>
  <c r="D20" i="2"/>
  <c r="D22" i="2"/>
  <c r="D18" i="2"/>
  <c r="E43" i="2" l="1"/>
  <c r="E39" i="2"/>
  <c r="Q115" i="4"/>
  <c r="P115" i="4"/>
  <c r="Q114" i="4"/>
  <c r="P114" i="4"/>
  <c r="Q113" i="4"/>
  <c r="P113" i="4"/>
  <c r="Q112" i="4"/>
  <c r="P112" i="4"/>
  <c r="M112" i="4"/>
  <c r="M3" i="4"/>
  <c r="E143" i="2"/>
  <c r="E139" i="2"/>
  <c r="E136" i="2"/>
  <c r="E132" i="2"/>
  <c r="E129" i="2"/>
  <c r="E125" i="2"/>
  <c r="E122" i="2"/>
  <c r="E118" i="2"/>
  <c r="E115" i="2"/>
  <c r="E111" i="2"/>
  <c r="E108" i="2"/>
  <c r="E104" i="2"/>
  <c r="E229" i="2"/>
  <c r="E225" i="2"/>
  <c r="E222" i="2"/>
  <c r="E218" i="2"/>
  <c r="E215" i="2"/>
  <c r="E211" i="2"/>
  <c r="E208" i="2"/>
  <c r="E204" i="2"/>
  <c r="E201" i="2"/>
  <c r="E197" i="2"/>
  <c r="E194" i="2"/>
  <c r="E190" i="2"/>
  <c r="E186" i="2"/>
  <c r="E182" i="2"/>
  <c r="E179" i="2"/>
  <c r="E175" i="2"/>
  <c r="E172" i="2"/>
  <c r="E168" i="2"/>
  <c r="E165" i="2"/>
  <c r="E161" i="2"/>
  <c r="E158" i="2"/>
  <c r="E154" i="2"/>
  <c r="E151" i="2"/>
  <c r="E147" i="2"/>
  <c r="E100" i="2"/>
  <c r="E96" i="2"/>
  <c r="E93" i="2"/>
  <c r="E89" i="2"/>
  <c r="E86" i="2"/>
  <c r="E82" i="2"/>
  <c r="E79" i="2"/>
  <c r="E75" i="2"/>
  <c r="E72" i="2"/>
  <c r="E68" i="2"/>
  <c r="E65" i="2"/>
  <c r="E61" i="2"/>
  <c r="E57" i="2"/>
  <c r="E53" i="2"/>
  <c r="E50" i="2"/>
  <c r="E46" i="2"/>
  <c r="D30" i="2"/>
  <c r="E29" i="2"/>
  <c r="D26" i="2"/>
  <c r="E25" i="2"/>
  <c r="D23" i="2"/>
  <c r="E22" i="2"/>
  <c r="E18" i="2"/>
  <c r="D19" i="2"/>
  <c r="M106" i="4"/>
  <c r="M100" i="4"/>
  <c r="M94" i="4"/>
  <c r="M88" i="4"/>
  <c r="M82" i="4"/>
  <c r="M76" i="4"/>
  <c r="M70" i="4"/>
  <c r="M64" i="4"/>
  <c r="M58" i="4"/>
  <c r="M52" i="4"/>
  <c r="M46" i="4"/>
  <c r="M40" i="4"/>
  <c r="M34" i="4"/>
  <c r="M28" i="4"/>
  <c r="M22" i="4"/>
  <c r="M16" i="4"/>
  <c r="M10" i="4"/>
  <c r="M4" i="4"/>
  <c r="Q109" i="4"/>
  <c r="P109" i="4"/>
  <c r="Q108" i="4"/>
  <c r="P108" i="4"/>
  <c r="Q107" i="4"/>
  <c r="P107" i="4"/>
  <c r="Q106" i="4"/>
  <c r="P106" i="4"/>
  <c r="Q103" i="4"/>
  <c r="P103" i="4"/>
  <c r="Q102" i="4"/>
  <c r="P102" i="4"/>
  <c r="Q101" i="4"/>
  <c r="P101" i="4"/>
  <c r="Q100" i="4"/>
  <c r="P100" i="4"/>
  <c r="Q97" i="4"/>
  <c r="P97" i="4"/>
  <c r="Q96" i="4"/>
  <c r="P96" i="4"/>
  <c r="Q95" i="4"/>
  <c r="P95" i="4"/>
  <c r="Q94" i="4"/>
  <c r="P94" i="4"/>
  <c r="Q91" i="4"/>
  <c r="P91" i="4"/>
  <c r="Q90" i="4"/>
  <c r="P90" i="4"/>
  <c r="Q89" i="4"/>
  <c r="P89" i="4"/>
  <c r="Q88" i="4"/>
  <c r="P88" i="4"/>
  <c r="Q85" i="4"/>
  <c r="P85" i="4"/>
  <c r="Q84" i="4"/>
  <c r="P84" i="4"/>
  <c r="Q83" i="4"/>
  <c r="P83" i="4"/>
  <c r="Q82" i="4"/>
  <c r="P82" i="4"/>
  <c r="Q79" i="4"/>
  <c r="P79" i="4"/>
  <c r="Q78" i="4"/>
  <c r="P78" i="4"/>
  <c r="Q77" i="4"/>
  <c r="P77" i="4"/>
  <c r="Q76" i="4"/>
  <c r="P76" i="4"/>
  <c r="Q73" i="4"/>
  <c r="P73" i="4"/>
  <c r="Q72" i="4"/>
  <c r="P72" i="4"/>
  <c r="Q71" i="4"/>
  <c r="P71" i="4"/>
  <c r="Q70" i="4"/>
  <c r="P70" i="4"/>
  <c r="Q67" i="4"/>
  <c r="P67" i="4"/>
  <c r="Q66" i="4"/>
  <c r="P66" i="4"/>
  <c r="Q65" i="4"/>
  <c r="P65" i="4"/>
  <c r="Q64" i="4"/>
  <c r="P64" i="4"/>
  <c r="Q61" i="4"/>
  <c r="P61" i="4"/>
  <c r="Q60" i="4"/>
  <c r="P60" i="4"/>
  <c r="Q59" i="4"/>
  <c r="P59" i="4"/>
  <c r="Q58" i="4"/>
  <c r="P58" i="4"/>
  <c r="Q55" i="4"/>
  <c r="P55" i="4"/>
  <c r="Q54" i="4"/>
  <c r="P54" i="4"/>
  <c r="Q53" i="4"/>
  <c r="P53" i="4"/>
  <c r="Q52" i="4"/>
  <c r="P52" i="4"/>
  <c r="Q49" i="4"/>
  <c r="P49" i="4"/>
  <c r="Q48" i="4"/>
  <c r="P48" i="4"/>
  <c r="Q47" i="4"/>
  <c r="P47" i="4"/>
  <c r="Q46" i="4"/>
  <c r="P46" i="4"/>
  <c r="Q43" i="4"/>
  <c r="P43" i="4"/>
  <c r="Q42" i="4"/>
  <c r="P42" i="4"/>
  <c r="Q41" i="4"/>
  <c r="P41" i="4"/>
  <c r="Q40" i="4"/>
  <c r="P40" i="4"/>
  <c r="Q37" i="4"/>
  <c r="P37" i="4"/>
  <c r="Q36" i="4"/>
  <c r="P36" i="4"/>
  <c r="Q35" i="4"/>
  <c r="P35" i="4"/>
  <c r="Q34" i="4"/>
  <c r="P34" i="4"/>
  <c r="Q31" i="4"/>
  <c r="P31" i="4"/>
  <c r="Q30" i="4"/>
  <c r="P30" i="4"/>
  <c r="Q29" i="4"/>
  <c r="P29" i="4"/>
  <c r="Q28" i="4"/>
  <c r="P28" i="4"/>
  <c r="Q25" i="4"/>
  <c r="P25" i="4"/>
  <c r="Q24" i="4"/>
  <c r="P24" i="4"/>
  <c r="Q23" i="4"/>
  <c r="P23" i="4"/>
  <c r="Q22" i="4"/>
  <c r="P22" i="4"/>
  <c r="Q19" i="4"/>
  <c r="P19" i="4"/>
  <c r="Q18" i="4"/>
  <c r="P18" i="4"/>
  <c r="Q17" i="4"/>
  <c r="P17" i="4"/>
  <c r="Q16" i="4"/>
  <c r="P16" i="4"/>
  <c r="Q13" i="4"/>
  <c r="P13" i="4"/>
  <c r="Q12" i="4"/>
  <c r="P12" i="4"/>
  <c r="Q11" i="4"/>
  <c r="P11" i="4"/>
  <c r="Q10" i="4"/>
  <c r="P10" i="4"/>
  <c r="P7" i="4"/>
  <c r="P6" i="4"/>
  <c r="P5" i="4"/>
  <c r="Q7" i="4"/>
  <c r="Q6" i="4"/>
  <c r="Q5" i="4"/>
  <c r="Q4" i="4"/>
  <c r="P4" i="4"/>
  <c r="K46" i="13" l="1"/>
  <c r="G121" i="13"/>
  <c r="G120" i="13"/>
  <c r="K50" i="13"/>
  <c r="K36" i="13"/>
  <c r="K121" i="13"/>
  <c r="K112" i="13"/>
  <c r="O50" i="13"/>
  <c r="O46" i="13"/>
  <c r="K111" i="13"/>
  <c r="K120" i="13"/>
  <c r="O120" i="13"/>
  <c r="S46" i="13"/>
  <c r="W46" i="13"/>
  <c r="O36" i="13"/>
  <c r="O121" i="13"/>
  <c r="O111" i="13"/>
  <c r="O112" i="13"/>
  <c r="S50" i="13"/>
  <c r="W50" i="13"/>
  <c r="S36" i="13"/>
  <c r="S111" i="13"/>
  <c r="W120" i="13"/>
  <c r="S112" i="13"/>
  <c r="S120" i="13"/>
  <c r="S121" i="13"/>
  <c r="W121" i="13"/>
  <c r="W112" i="13"/>
  <c r="W36" i="13"/>
  <c r="W111" i="13"/>
  <c r="G192" i="2"/>
  <c r="G168" i="2"/>
  <c r="G143" i="2"/>
  <c r="G125" i="2"/>
  <c r="G106" i="2"/>
  <c r="G184" i="2"/>
  <c r="G115" i="2"/>
  <c r="G113" i="2"/>
  <c r="G190" i="2"/>
  <c r="G165" i="2"/>
  <c r="G141" i="2"/>
  <c r="G122" i="2"/>
  <c r="G104" i="2"/>
  <c r="G32" i="2"/>
  <c r="G156" i="2"/>
  <c r="G154" i="2"/>
  <c r="G70" i="2"/>
  <c r="G225" i="2"/>
  <c r="G158" i="2"/>
  <c r="G139" i="2"/>
  <c r="G120" i="2"/>
  <c r="G100" i="2"/>
  <c r="G79" i="2"/>
  <c r="G136" i="2"/>
  <c r="G134" i="2"/>
  <c r="G218" i="2"/>
  <c r="G132" i="2"/>
  <c r="G93" i="2"/>
  <c r="G149" i="2"/>
  <c r="G129" i="2"/>
  <c r="G111" i="2"/>
  <c r="G91" i="2"/>
  <c r="G194" i="2"/>
  <c r="G147" i="2"/>
  <c r="G127" i="2"/>
  <c r="G108" i="2"/>
  <c r="G63" i="2"/>
  <c r="G39" i="2"/>
  <c r="G96" i="2"/>
  <c r="G151" i="2"/>
  <c r="G118" i="2"/>
  <c r="K79" i="13"/>
  <c r="K85" i="13"/>
  <c r="K75" i="13"/>
  <c r="K80" i="13"/>
  <c r="K98" i="13"/>
  <c r="K94" i="13"/>
  <c r="K88" i="13"/>
  <c r="K89" i="13"/>
  <c r="K96" i="13"/>
  <c r="K84" i="13"/>
  <c r="K76" i="13"/>
  <c r="K97" i="13"/>
  <c r="K78" i="13"/>
  <c r="K93" i="13"/>
  <c r="K87" i="13"/>
  <c r="G131" i="13"/>
  <c r="G75" i="13"/>
  <c r="G93" i="13"/>
  <c r="O96" i="13"/>
  <c r="G31" i="13"/>
  <c r="G74" i="13"/>
  <c r="G87" i="13"/>
  <c r="G76" i="13"/>
  <c r="G27" i="13"/>
  <c r="O93" i="13"/>
  <c r="G84" i="13"/>
  <c r="G85" i="13"/>
  <c r="G98" i="13"/>
  <c r="G88" i="13"/>
  <c r="G68" i="13"/>
  <c r="K55" i="13"/>
  <c r="G108" i="13"/>
  <c r="G113" i="13"/>
  <c r="G89" i="13"/>
  <c r="G92" i="13"/>
  <c r="G57" i="13"/>
  <c r="G70" i="13"/>
  <c r="G66" i="13"/>
  <c r="G83" i="13"/>
  <c r="G96" i="13"/>
  <c r="G97" i="13"/>
  <c r="G102" i="13"/>
  <c r="G78" i="13"/>
  <c r="G79" i="13"/>
  <c r="K64" i="13"/>
  <c r="G94" i="13"/>
  <c r="G107" i="13"/>
  <c r="G125" i="13"/>
  <c r="G103" i="13"/>
  <c r="G104" i="13"/>
  <c r="G51" i="13"/>
  <c r="G80" i="13"/>
  <c r="G115" i="13"/>
  <c r="O88" i="13"/>
  <c r="G132" i="13"/>
  <c r="G148" i="13"/>
  <c r="G106" i="13"/>
  <c r="G152" i="13"/>
  <c r="G130" i="13"/>
  <c r="G65" i="13"/>
  <c r="G47" i="13"/>
  <c r="O76" i="13"/>
  <c r="K104" i="13"/>
  <c r="K66" i="13"/>
  <c r="O92" i="13"/>
  <c r="S78" i="13"/>
  <c r="K31" i="13"/>
  <c r="K27" i="13"/>
  <c r="K148" i="13"/>
  <c r="O89" i="13"/>
  <c r="S96" i="13"/>
  <c r="O55" i="13"/>
  <c r="O74" i="13"/>
  <c r="K68" i="13"/>
  <c r="O75" i="13"/>
  <c r="K132" i="13"/>
  <c r="O83" i="13"/>
  <c r="K106" i="13"/>
  <c r="K70" i="13"/>
  <c r="K103" i="13"/>
  <c r="O78" i="13"/>
  <c r="O87" i="13"/>
  <c r="O94" i="13"/>
  <c r="O79" i="13"/>
  <c r="K152" i="13"/>
  <c r="O64" i="13"/>
  <c r="S88" i="13"/>
  <c r="K57" i="13"/>
  <c r="O80" i="13"/>
  <c r="O85" i="13"/>
  <c r="K107" i="13"/>
  <c r="K65" i="13"/>
  <c r="K131" i="13"/>
  <c r="K47" i="13"/>
  <c r="K102" i="13"/>
  <c r="K108" i="13"/>
  <c r="S93" i="13"/>
  <c r="K115" i="13"/>
  <c r="K51" i="13"/>
  <c r="O98" i="13"/>
  <c r="S76" i="13"/>
  <c r="K113" i="13"/>
  <c r="O84" i="13"/>
  <c r="K125" i="13"/>
  <c r="K130" i="13"/>
  <c r="O97" i="13"/>
  <c r="O66" i="13"/>
  <c r="O132" i="13"/>
  <c r="W93" i="13"/>
  <c r="S66" i="13"/>
  <c r="O130" i="13"/>
  <c r="S57" i="13"/>
  <c r="W76" i="13"/>
  <c r="O125" i="13"/>
  <c r="S47" i="13"/>
  <c r="O68" i="13"/>
  <c r="O152" i="13"/>
  <c r="O103" i="13"/>
  <c r="S64" i="13"/>
  <c r="W88" i="13"/>
  <c r="S65" i="13"/>
  <c r="O108" i="13"/>
  <c r="O51" i="13"/>
  <c r="O115" i="13"/>
  <c r="O104" i="13"/>
  <c r="S51" i="13"/>
  <c r="S79" i="13"/>
  <c r="O107" i="13"/>
  <c r="S92" i="13"/>
  <c r="S85" i="13"/>
  <c r="W64" i="13"/>
  <c r="O131" i="13"/>
  <c r="S83" i="13"/>
  <c r="O27" i="13"/>
  <c r="W78" i="13"/>
  <c r="S68" i="13"/>
  <c r="O65" i="13"/>
  <c r="O113" i="13"/>
  <c r="O47" i="13"/>
  <c r="S98" i="13"/>
  <c r="S75" i="13"/>
  <c r="S84" i="13"/>
  <c r="O106" i="13"/>
  <c r="O148" i="13"/>
  <c r="S55" i="13"/>
  <c r="O102" i="13"/>
  <c r="O57" i="13"/>
  <c r="S94" i="13"/>
  <c r="O70" i="13"/>
  <c r="O31" i="13"/>
  <c r="S97" i="13"/>
  <c r="W96" i="13"/>
  <c r="W68" i="13"/>
  <c r="S132" i="13"/>
  <c r="S106" i="13"/>
  <c r="W70" i="13"/>
  <c r="W89" i="13"/>
  <c r="W130" i="13"/>
  <c r="W131" i="13"/>
  <c r="W94" i="13"/>
  <c r="W74" i="13"/>
  <c r="W65" i="13"/>
  <c r="W51" i="13"/>
  <c r="W55" i="13"/>
  <c r="S103" i="13"/>
  <c r="W27" i="13"/>
  <c r="S70" i="13"/>
  <c r="S89" i="13"/>
  <c r="W125" i="13"/>
  <c r="W85" i="13"/>
  <c r="W47" i="13"/>
  <c r="S125" i="13"/>
  <c r="S102" i="13"/>
  <c r="S113" i="13"/>
  <c r="S27" i="13"/>
  <c r="W87" i="13"/>
  <c r="W80" i="13"/>
  <c r="W75" i="13"/>
  <c r="W84" i="13"/>
  <c r="W104" i="13"/>
  <c r="S31" i="13"/>
  <c r="S130" i="13"/>
  <c r="S152" i="13"/>
  <c r="S87" i="13"/>
  <c r="S80" i="13"/>
  <c r="W83" i="13"/>
  <c r="W79" i="13"/>
  <c r="S107" i="13"/>
  <c r="W148" i="13"/>
  <c r="S148" i="13"/>
  <c r="W98" i="13"/>
  <c r="W97" i="13"/>
  <c r="W66" i="13"/>
  <c r="W31" i="13"/>
  <c r="S131" i="13"/>
  <c r="S115" i="13"/>
  <c r="S108" i="13"/>
  <c r="S74" i="13"/>
  <c r="W107" i="13"/>
  <c r="W57" i="13"/>
  <c r="S104" i="13"/>
  <c r="W92" i="13"/>
  <c r="W115" i="13"/>
  <c r="W113" i="13"/>
  <c r="W102" i="13"/>
  <c r="W132" i="13"/>
  <c r="W108" i="13"/>
  <c r="W103" i="13"/>
  <c r="W152" i="13"/>
  <c r="W106" i="13"/>
  <c r="K28" i="13"/>
  <c r="O28" i="13"/>
  <c r="W28" i="13"/>
  <c r="S28" i="13"/>
  <c r="G36" i="2"/>
  <c r="G43" i="2"/>
  <c r="G33" i="13"/>
  <c r="G29" i="13"/>
  <c r="K33" i="13"/>
  <c r="K29" i="13"/>
  <c r="O33" i="13"/>
  <c r="O29" i="13"/>
  <c r="W33" i="13"/>
  <c r="S33" i="13"/>
  <c r="S29" i="13"/>
  <c r="W29" i="13"/>
  <c r="G27" i="2"/>
  <c r="G23" i="13"/>
  <c r="K23" i="13"/>
  <c r="O23" i="13"/>
  <c r="S23" i="13"/>
  <c r="W23" i="13"/>
  <c r="G41" i="2"/>
  <c r="G32" i="13"/>
  <c r="K32" i="13"/>
  <c r="O32" i="13"/>
  <c r="S32" i="13"/>
  <c r="W32" i="13"/>
  <c r="G65" i="2"/>
  <c r="K48" i="13"/>
  <c r="G48" i="13"/>
  <c r="O48" i="13"/>
  <c r="S48" i="13"/>
  <c r="W48" i="13"/>
  <c r="G84" i="2"/>
  <c r="G227" i="2"/>
  <c r="G82" i="2"/>
  <c r="G172" i="2"/>
  <c r="G170" i="2"/>
  <c r="G86" i="2"/>
  <c r="G77" i="2"/>
  <c r="G201" i="2"/>
  <c r="G153" i="13"/>
  <c r="G56" i="13"/>
  <c r="G117" i="13"/>
  <c r="G59" i="13"/>
  <c r="G61" i="13"/>
  <c r="G136" i="13"/>
  <c r="G116" i="13"/>
  <c r="G60" i="13"/>
  <c r="K153" i="13"/>
  <c r="K61" i="13"/>
  <c r="K56" i="13"/>
  <c r="K116" i="13"/>
  <c r="K59" i="13"/>
  <c r="K136" i="13"/>
  <c r="K60" i="13"/>
  <c r="K117" i="13"/>
  <c r="O61" i="13"/>
  <c r="O56" i="13"/>
  <c r="S61" i="13"/>
  <c r="O116" i="13"/>
  <c r="O59" i="13"/>
  <c r="O136" i="13"/>
  <c r="O117" i="13"/>
  <c r="S60" i="13"/>
  <c r="O60" i="13"/>
  <c r="O153" i="13"/>
  <c r="S136" i="13"/>
  <c r="W153" i="13"/>
  <c r="S116" i="13"/>
  <c r="S117" i="13"/>
  <c r="S153" i="13"/>
  <c r="W61" i="13"/>
  <c r="S59" i="13"/>
  <c r="W117" i="13"/>
  <c r="S56" i="13"/>
  <c r="W60" i="13"/>
  <c r="W59" i="13"/>
  <c r="W136" i="13"/>
  <c r="W56" i="13"/>
  <c r="W116" i="13"/>
  <c r="G50" i="2"/>
  <c r="G48" i="2"/>
  <c r="G37" i="13"/>
  <c r="G38" i="13"/>
  <c r="K37" i="13"/>
  <c r="K38" i="13"/>
  <c r="O38" i="13"/>
  <c r="O37" i="13"/>
  <c r="W38" i="13"/>
  <c r="W37" i="13"/>
  <c r="S37" i="13"/>
  <c r="S38" i="13"/>
  <c r="G25" i="2"/>
  <c r="K22" i="13"/>
  <c r="G22" i="13"/>
  <c r="O22" i="13"/>
  <c r="S22" i="13"/>
  <c r="W22" i="13"/>
  <c r="G57" i="2"/>
  <c r="G55" i="2"/>
  <c r="G42" i="13"/>
  <c r="G41" i="13"/>
  <c r="K42" i="13"/>
  <c r="K41" i="13"/>
  <c r="O42" i="13"/>
  <c r="O41" i="13"/>
  <c r="S41" i="13"/>
  <c r="W42" i="13"/>
  <c r="W41" i="13"/>
  <c r="S42" i="13"/>
  <c r="G215" i="2"/>
  <c r="G208" i="2"/>
  <c r="G206" i="2"/>
  <c r="G211" i="2"/>
  <c r="G213" i="2"/>
  <c r="G204" i="2"/>
  <c r="G182" i="2"/>
  <c r="G139" i="13"/>
  <c r="G145" i="13"/>
  <c r="G143" i="13"/>
  <c r="H139" i="13" s="1"/>
  <c r="G124" i="13"/>
  <c r="G140" i="13"/>
  <c r="G144" i="13"/>
  <c r="G141" i="13"/>
  <c r="K143" i="13"/>
  <c r="K145" i="13"/>
  <c r="K144" i="13"/>
  <c r="K141" i="13"/>
  <c r="K140" i="13"/>
  <c r="K124" i="13"/>
  <c r="K139" i="13"/>
  <c r="O140" i="13"/>
  <c r="O139" i="13"/>
  <c r="O124" i="13"/>
  <c r="O145" i="13"/>
  <c r="O144" i="13"/>
  <c r="O141" i="13"/>
  <c r="O143" i="13"/>
  <c r="S139" i="13"/>
  <c r="S143" i="13"/>
  <c r="S141" i="13"/>
  <c r="S144" i="13"/>
  <c r="W144" i="13"/>
  <c r="S140" i="13"/>
  <c r="S145" i="13"/>
  <c r="W143" i="13"/>
  <c r="W141" i="13"/>
  <c r="W139" i="13"/>
  <c r="S124" i="13"/>
  <c r="W140" i="13"/>
  <c r="W124" i="13"/>
  <c r="W145" i="13"/>
  <c r="G29" i="2"/>
  <c r="G72" i="2"/>
  <c r="G22" i="2"/>
  <c r="K20" i="13"/>
  <c r="G20" i="13"/>
  <c r="G24" i="13"/>
  <c r="K24" i="13"/>
  <c r="O20" i="13"/>
  <c r="O24" i="13"/>
  <c r="G52" i="13"/>
  <c r="K52" i="13"/>
  <c r="O52" i="13"/>
  <c r="S52" i="13"/>
  <c r="S20" i="13"/>
  <c r="W52" i="13"/>
  <c r="W20" i="13"/>
  <c r="W24" i="13"/>
  <c r="S24" i="13"/>
  <c r="G220" i="2"/>
  <c r="G149" i="13"/>
  <c r="K149" i="13"/>
  <c r="O149" i="13"/>
  <c r="S149" i="13"/>
  <c r="W149" i="13"/>
  <c r="G222" i="2"/>
  <c r="G150" i="13"/>
  <c r="K150" i="13"/>
  <c r="O150" i="13"/>
  <c r="S150" i="13"/>
  <c r="W150" i="13"/>
  <c r="G199" i="2"/>
  <c r="G135" i="13"/>
  <c r="K135" i="13"/>
  <c r="O135" i="13"/>
  <c r="S135" i="13"/>
  <c r="W135" i="13"/>
  <c r="G197" i="2"/>
  <c r="G134" i="13"/>
  <c r="K134" i="13"/>
  <c r="O134" i="13"/>
  <c r="S134" i="13"/>
  <c r="W134" i="13"/>
  <c r="G229" i="2"/>
  <c r="G154" i="13"/>
  <c r="K154" i="13"/>
  <c r="O154" i="13"/>
  <c r="W154" i="13"/>
  <c r="S154" i="13"/>
  <c r="G28" i="13"/>
  <c r="G68" i="2"/>
  <c r="G177" i="2"/>
  <c r="G163" i="2"/>
  <c r="G161" i="2"/>
  <c r="G46" i="2"/>
  <c r="G61" i="2"/>
  <c r="G175" i="2"/>
  <c r="G46" i="13"/>
  <c r="G112" i="13"/>
  <c r="G36" i="13"/>
  <c r="G111" i="13"/>
  <c r="G50" i="13"/>
  <c r="G75" i="2"/>
  <c r="G89" i="2"/>
  <c r="G64" i="13"/>
  <c r="G55" i="13"/>
  <c r="G34" i="2"/>
  <c r="H79" i="2"/>
  <c r="F18" i="3" s="1"/>
  <c r="M2" i="4"/>
  <c r="M1" i="4" s="1"/>
  <c r="H141" i="13" l="1"/>
  <c r="H140" i="13"/>
  <c r="H147" i="2"/>
  <c r="D23" i="3" s="1"/>
  <c r="P20" i="13"/>
  <c r="F54" i="3" s="1"/>
  <c r="H20" i="13"/>
  <c r="T20" i="13"/>
  <c r="F73" i="3" s="1"/>
  <c r="T140" i="13"/>
  <c r="E86" i="3" s="1"/>
  <c r="H29" i="13"/>
  <c r="X65" i="13"/>
  <c r="E99" i="3" s="1"/>
  <c r="P65" i="13"/>
  <c r="E59" i="3" s="1"/>
  <c r="T65" i="13"/>
  <c r="E78" i="3" s="1"/>
  <c r="T84" i="13"/>
  <c r="E80" i="3" s="1"/>
  <c r="T139" i="13"/>
  <c r="D86" i="3" s="1"/>
  <c r="L139" i="13"/>
  <c r="P139" i="13"/>
  <c r="D67" i="3" s="1"/>
  <c r="L56" i="13"/>
  <c r="E38" i="3" s="1"/>
  <c r="P56" i="13"/>
  <c r="E58" i="3" s="1"/>
  <c r="T29" i="13"/>
  <c r="F74" i="3" s="1"/>
  <c r="P29" i="13"/>
  <c r="F55" i="3" s="1"/>
  <c r="T57" i="13"/>
  <c r="F77" i="3" s="1"/>
  <c r="P28" i="13"/>
  <c r="E55" i="3" s="1"/>
  <c r="P93" i="13"/>
  <c r="E62" i="3" s="1"/>
  <c r="H93" i="13"/>
  <c r="H165" i="2"/>
  <c r="F24" i="3" s="1"/>
  <c r="X131" i="13"/>
  <c r="E106" i="3" s="1"/>
  <c r="P131" i="13"/>
  <c r="E66" i="3" s="1"/>
  <c r="H131" i="13"/>
  <c r="T131" i="13"/>
  <c r="E85" i="3" s="1"/>
  <c r="H83" i="13"/>
  <c r="X112" i="13"/>
  <c r="E104" i="3" s="1"/>
  <c r="X46" i="13"/>
  <c r="P46" i="13"/>
  <c r="D57" i="3" s="1"/>
  <c r="T46" i="13"/>
  <c r="H85" i="13"/>
  <c r="X75" i="13"/>
  <c r="E100" i="3" s="1"/>
  <c r="T75" i="13"/>
  <c r="E79" i="3" s="1"/>
  <c r="L75" i="13"/>
  <c r="E40" i="3" s="1"/>
  <c r="L102" i="13"/>
  <c r="D43" i="3" s="1"/>
  <c r="P111" i="13"/>
  <c r="X150" i="13"/>
  <c r="F108" i="3" s="1"/>
  <c r="P150" i="13"/>
  <c r="F68" i="3" s="1"/>
  <c r="T132" i="13"/>
  <c r="F85" i="3" s="1"/>
  <c r="L132" i="13"/>
  <c r="F46" i="3" s="1"/>
  <c r="L55" i="13"/>
  <c r="X55" i="13"/>
  <c r="D98" i="3" s="1"/>
  <c r="X47" i="13"/>
  <c r="E97" i="3" s="1"/>
  <c r="P47" i="13"/>
  <c r="E57" i="3" s="1"/>
  <c r="T47" i="13"/>
  <c r="E76" i="3" s="1"/>
  <c r="L47" i="13"/>
  <c r="E37" i="3" s="1"/>
  <c r="H47" i="13"/>
  <c r="X130" i="13"/>
  <c r="X120" i="13"/>
  <c r="D105" i="3" s="1"/>
  <c r="P120" i="13"/>
  <c r="T120" i="13"/>
  <c r="L120" i="13"/>
  <c r="H120" i="13"/>
  <c r="H148" i="13"/>
  <c r="X74" i="13"/>
  <c r="H89" i="2"/>
  <c r="D19" i="3" s="1"/>
  <c r="P64" i="13"/>
  <c r="T64" i="13"/>
  <c r="H64" i="13"/>
  <c r="X103" i="13"/>
  <c r="E103" i="3" s="1"/>
  <c r="X94" i="13"/>
  <c r="F102" i="3" s="1"/>
  <c r="P94" i="13"/>
  <c r="F62" i="3" s="1"/>
  <c r="H94" i="13"/>
  <c r="T48" i="13"/>
  <c r="F76" i="3" s="1"/>
  <c r="L48" i="13"/>
  <c r="F37" i="3" s="1"/>
  <c r="H48" i="13"/>
  <c r="H192" i="2"/>
  <c r="E26" i="3" s="1"/>
  <c r="T121" i="13"/>
  <c r="E84" i="3" s="1"/>
  <c r="L121" i="13"/>
  <c r="E45" i="3" s="1"/>
  <c r="X76" i="13"/>
  <c r="F100" i="3" s="1"/>
  <c r="P76" i="13"/>
  <c r="F60" i="3" s="1"/>
  <c r="T76" i="13"/>
  <c r="F79" i="3" s="1"/>
  <c r="L76" i="13"/>
  <c r="F40" i="3" s="1"/>
  <c r="X104" i="13"/>
  <c r="F103" i="3" s="1"/>
  <c r="T104" i="13"/>
  <c r="F82" i="3" s="1"/>
  <c r="H37" i="13"/>
  <c r="T37" i="13"/>
  <c r="E75" i="3" s="1"/>
  <c r="L37" i="13"/>
  <c r="E36" i="3" s="1"/>
  <c r="L111" i="13"/>
  <c r="D44" i="3" s="1"/>
  <c r="H111" i="13"/>
  <c r="H149" i="2"/>
  <c r="E23" i="3" s="1"/>
  <c r="H19" i="13"/>
  <c r="T19" i="13"/>
  <c r="E73" i="3" s="1"/>
  <c r="T149" i="13"/>
  <c r="E87" i="3" s="1"/>
  <c r="H92" i="13"/>
  <c r="P38" i="13"/>
  <c r="F56" i="3" s="1"/>
  <c r="H38" i="13"/>
  <c r="T38" i="13"/>
  <c r="F75" i="3" s="1"/>
  <c r="L38" i="13"/>
  <c r="F36" i="3" s="1"/>
  <c r="H56" i="13"/>
  <c r="P36" i="13"/>
  <c r="H36" i="13"/>
  <c r="T36" i="13"/>
  <c r="L36" i="13"/>
  <c r="L141" i="13"/>
  <c r="F47" i="3" s="1"/>
  <c r="X122" i="13"/>
  <c r="F105" i="3" s="1"/>
  <c r="P122" i="13"/>
  <c r="F65" i="3" s="1"/>
  <c r="H122" i="13"/>
  <c r="H120" i="2"/>
  <c r="E21" i="3" s="1"/>
  <c r="X102" i="13"/>
  <c r="D103" i="3" s="1"/>
  <c r="P102" i="13"/>
  <c r="T102" i="13"/>
  <c r="X113" i="13"/>
  <c r="F104" i="3" s="1"/>
  <c r="P113" i="13"/>
  <c r="F64" i="3" s="1"/>
  <c r="P27" i="13"/>
  <c r="L57" i="13"/>
  <c r="F38" i="3" s="1"/>
  <c r="H57" i="13"/>
  <c r="X57" i="13"/>
  <c r="F98" i="3" s="1"/>
  <c r="P57" i="13"/>
  <c r="F58" i="3" s="1"/>
  <c r="X66" i="13"/>
  <c r="F99" i="3" s="1"/>
  <c r="P66" i="13"/>
  <c r="F59" i="3" s="1"/>
  <c r="T94" i="13"/>
  <c r="F81" i="3" s="1"/>
  <c r="T103" i="13"/>
  <c r="E82" i="3" s="1"/>
  <c r="X84" i="13"/>
  <c r="E101" i="3" s="1"/>
  <c r="X93" i="13"/>
  <c r="E102" i="3" s="1"/>
  <c r="T93" i="13"/>
  <c r="E81" i="3" s="1"/>
  <c r="X83" i="13"/>
  <c r="D101" i="3" s="1"/>
  <c r="T150" i="13"/>
  <c r="F87" i="3" s="1"/>
  <c r="H150" i="13"/>
  <c r="H222" i="2"/>
  <c r="F28" i="3" s="1"/>
  <c r="X148" i="13"/>
  <c r="D108" i="3" s="1"/>
  <c r="L148" i="13"/>
  <c r="D48" i="3" s="1"/>
  <c r="H218" i="2"/>
  <c r="D28" i="3" s="1"/>
  <c r="P130" i="13"/>
  <c r="D66" i="3" s="1"/>
  <c r="H190" i="2"/>
  <c r="D26" i="3" s="1"/>
  <c r="T122" i="13"/>
  <c r="F84" i="3" s="1"/>
  <c r="L122" i="13"/>
  <c r="F45" i="3" s="1"/>
  <c r="P121" i="13"/>
  <c r="E65" i="3" s="1"/>
  <c r="H163" i="2"/>
  <c r="E24" i="3" s="1"/>
  <c r="H104" i="13"/>
  <c r="H151" i="2"/>
  <c r="F23" i="3" s="1"/>
  <c r="H103" i="13"/>
  <c r="H136" i="2"/>
  <c r="F22" i="3" s="1"/>
  <c r="H134" i="2"/>
  <c r="E22" i="3" s="1"/>
  <c r="X85" i="13"/>
  <c r="F101" i="3" s="1"/>
  <c r="L85" i="13"/>
  <c r="F41" i="3" s="1"/>
  <c r="P83" i="13"/>
  <c r="D61" i="3" s="1"/>
  <c r="P75" i="13"/>
  <c r="E60" i="3" s="1"/>
  <c r="H108" i="2"/>
  <c r="F20" i="3" s="1"/>
  <c r="T18" i="13"/>
  <c r="D73" i="3" s="1"/>
  <c r="L65" i="13"/>
  <c r="E39" i="3" s="1"/>
  <c r="H61" i="2"/>
  <c r="D17" i="3" s="1"/>
  <c r="H36" i="2"/>
  <c r="F15" i="3" s="1"/>
  <c r="P18" i="13"/>
  <c r="D54" i="3" s="1"/>
  <c r="H161" i="2"/>
  <c r="D24" i="3" s="1"/>
  <c r="H74" i="13"/>
  <c r="H208" i="2"/>
  <c r="F27" i="3" s="1"/>
  <c r="H65" i="2"/>
  <c r="F17" i="3" s="1"/>
  <c r="P140" i="13"/>
  <c r="E67" i="3" s="1"/>
  <c r="P85" i="13"/>
  <c r="F61" i="3" s="1"/>
  <c r="H132" i="13"/>
  <c r="T112" i="13"/>
  <c r="E83" i="3" s="1"/>
  <c r="H20" i="2"/>
  <c r="E14" i="3" s="1"/>
  <c r="H122" i="2"/>
  <c r="F21" i="3" s="1"/>
  <c r="X27" i="13"/>
  <c r="D95" i="3" s="1"/>
  <c r="H55" i="13"/>
  <c r="L46" i="13"/>
  <c r="D37" i="3" s="1"/>
  <c r="H48" i="2"/>
  <c r="E16" i="3" s="1"/>
  <c r="H194" i="2"/>
  <c r="F26" i="3" s="1"/>
  <c r="H63" i="2"/>
  <c r="E17" i="3" s="1"/>
  <c r="L104" i="13"/>
  <c r="F43" i="3" s="1"/>
  <c r="X20" i="13"/>
  <c r="F94" i="3" s="1"/>
  <c r="X139" i="13"/>
  <c r="T55" i="13"/>
  <c r="H179" i="2"/>
  <c r="F25" i="3" s="1"/>
  <c r="X48" i="13"/>
  <c r="F97" i="3" s="1"/>
  <c r="T148" i="13"/>
  <c r="H130" i="13"/>
  <c r="H106" i="2"/>
  <c r="E20" i="3" s="1"/>
  <c r="H204" i="2"/>
  <c r="D27" i="3" s="1"/>
  <c r="T66" i="13"/>
  <c r="F78" i="3" s="1"/>
  <c r="H46" i="2"/>
  <c r="D16" i="3" s="1"/>
  <c r="X121" i="13"/>
  <c r="E105" i="3" s="1"/>
  <c r="H113" i="13"/>
  <c r="P48" i="13"/>
  <c r="F57" i="3" s="1"/>
  <c r="H75" i="2"/>
  <c r="H104" i="2"/>
  <c r="L20" i="13"/>
  <c r="F34" i="3" s="1"/>
  <c r="H220" i="2"/>
  <c r="E28" i="3" s="1"/>
  <c r="L150" i="13"/>
  <c r="F48" i="3" s="1"/>
  <c r="H93" i="2"/>
  <c r="F19" i="3" s="1"/>
  <c r="T141" i="13"/>
  <c r="F86" i="3" s="1"/>
  <c r="T130" i="13"/>
  <c r="X149" i="13"/>
  <c r="E108" i="3" s="1"/>
  <c r="L64" i="13"/>
  <c r="X56" i="13"/>
  <c r="E98" i="3" s="1"/>
  <c r="H32" i="2"/>
  <c r="X141" i="13"/>
  <c r="F107" i="3" s="1"/>
  <c r="L28" i="13"/>
  <c r="E35" i="3" s="1"/>
  <c r="H66" i="13"/>
  <c r="P149" i="13"/>
  <c r="E68" i="3" s="1"/>
  <c r="T113" i="13"/>
  <c r="F83" i="3" s="1"/>
  <c r="H34" i="2"/>
  <c r="E15" i="3" s="1"/>
  <c r="X18" i="13"/>
  <c r="X37" i="13"/>
  <c r="E96" i="3" s="1"/>
  <c r="X19" i="13"/>
  <c r="E94" i="3" s="1"/>
  <c r="H132" i="2"/>
  <c r="D22" i="3" s="1"/>
  <c r="X140" i="13"/>
  <c r="E107" i="3" s="1"/>
  <c r="L140" i="13"/>
  <c r="E47" i="3" s="1"/>
  <c r="L93" i="13"/>
  <c r="E42" i="3" s="1"/>
  <c r="L149" i="13"/>
  <c r="E48" i="3" s="1"/>
  <c r="X28" i="13"/>
  <c r="E95" i="3" s="1"/>
  <c r="H50" i="2"/>
  <c r="F16" i="3" s="1"/>
  <c r="H76" i="13"/>
  <c r="H65" i="13"/>
  <c r="H149" i="13"/>
  <c r="H175" i="2"/>
  <c r="H112" i="13"/>
  <c r="T28" i="13"/>
  <c r="E74" i="3" s="1"/>
  <c r="P37" i="13"/>
  <c r="E56" i="3" s="1"/>
  <c r="H206" i="2"/>
  <c r="E27" i="3" s="1"/>
  <c r="H118" i="2"/>
  <c r="L66" i="13"/>
  <c r="F39" i="3" s="1"/>
  <c r="H91" i="2"/>
  <c r="E19" i="3" s="1"/>
  <c r="H77" i="2"/>
  <c r="E18" i="3" s="1"/>
  <c r="L18" i="13"/>
  <c r="L19" i="13"/>
  <c r="E34" i="3" s="1"/>
  <c r="L131" i="13"/>
  <c r="E46" i="3" s="1"/>
  <c r="X38" i="13"/>
  <c r="F96" i="3" s="1"/>
  <c r="X64" i="13"/>
  <c r="H177" i="2"/>
  <c r="E25" i="3" s="1"/>
  <c r="T56" i="13"/>
  <c r="E77" i="3" s="1"/>
  <c r="H28" i="13"/>
  <c r="H18" i="13"/>
  <c r="H22" i="2"/>
  <c r="F14" i="3" s="1"/>
  <c r="H18" i="2"/>
  <c r="D14" i="3" s="1"/>
  <c r="C6" i="3"/>
  <c r="B1" i="2"/>
  <c r="AE11" i="5"/>
  <c r="AD11" i="5"/>
  <c r="AC11" i="5"/>
  <c r="AB11" i="5"/>
  <c r="AA11" i="5"/>
  <c r="B5" i="5"/>
  <c r="L5" i="5" s="1"/>
  <c r="B4" i="5"/>
  <c r="L4" i="5" s="1"/>
  <c r="U11" i="5"/>
  <c r="S11" i="5"/>
  <c r="Q11" i="5"/>
  <c r="O11" i="5"/>
  <c r="L128" i="5"/>
  <c r="L120" i="5"/>
  <c r="L112" i="5"/>
  <c r="L104" i="5"/>
  <c r="L96" i="5"/>
  <c r="L88" i="5"/>
  <c r="L56" i="5"/>
  <c r="L48" i="5"/>
  <c r="L41" i="5"/>
  <c r="L34" i="5"/>
  <c r="L27" i="5"/>
  <c r="Z26" i="5"/>
  <c r="Z25" i="5"/>
  <c r="Z24" i="5"/>
  <c r="Z23" i="5"/>
  <c r="Z22" i="5"/>
  <c r="Z21" i="5"/>
  <c r="Z17" i="5"/>
  <c r="L17" i="5"/>
  <c r="Z16" i="5"/>
  <c r="Z15" i="5"/>
  <c r="Z14" i="5"/>
  <c r="Z13" i="5"/>
  <c r="Z12" i="5"/>
  <c r="L6" i="5"/>
  <c r="L3" i="5"/>
  <c r="C9" i="3"/>
  <c r="C7" i="3"/>
  <c r="C8" i="3"/>
  <c r="A5" i="3"/>
  <c r="A6" i="3"/>
  <c r="A7" i="3"/>
  <c r="A8" i="3"/>
  <c r="A9" i="3"/>
  <c r="P148" i="13" l="1"/>
  <c r="D68" i="3" s="1"/>
  <c r="P141" i="13"/>
  <c r="F67" i="3" s="1"/>
  <c r="M120" i="13"/>
  <c r="C45" i="3" s="1"/>
  <c r="Y45" i="3" s="1"/>
  <c r="D45" i="3"/>
  <c r="L112" i="13"/>
  <c r="E44" i="3" s="1"/>
  <c r="T111" i="13"/>
  <c r="D83" i="3" s="1"/>
  <c r="P112" i="13"/>
  <c r="E64" i="3" s="1"/>
  <c r="H102" i="13"/>
  <c r="I102" i="13" s="1"/>
  <c r="H84" i="13"/>
  <c r="I83" i="13" s="1"/>
  <c r="P84" i="13"/>
  <c r="E61" i="3" s="1"/>
  <c r="L84" i="13"/>
  <c r="E41" i="3" s="1"/>
  <c r="T74" i="13"/>
  <c r="D79" i="3" s="1"/>
  <c r="L27" i="13"/>
  <c r="D35" i="3" s="1"/>
  <c r="X29" i="13"/>
  <c r="F95" i="3" s="1"/>
  <c r="L29" i="13"/>
  <c r="F35" i="3" s="1"/>
  <c r="P19" i="13"/>
  <c r="E54" i="3" s="1"/>
  <c r="D106" i="3"/>
  <c r="D63" i="3"/>
  <c r="H75" i="13"/>
  <c r="I74" i="13" s="1"/>
  <c r="X36" i="13"/>
  <c r="D96" i="3" s="1"/>
  <c r="T92" i="13"/>
  <c r="T83" i="13"/>
  <c r="D80" i="3" s="1"/>
  <c r="P92" i="13"/>
  <c r="D62" i="3" s="1"/>
  <c r="P132" i="13"/>
  <c r="F66" i="3" s="1"/>
  <c r="H27" i="13"/>
  <c r="I27" i="13" s="1"/>
  <c r="L113" i="13"/>
  <c r="F44" i="3" s="1"/>
  <c r="X92" i="13"/>
  <c r="D102" i="3" s="1"/>
  <c r="L130" i="13"/>
  <c r="D46" i="3" s="1"/>
  <c r="X132" i="13"/>
  <c r="F106" i="3" s="1"/>
  <c r="L103" i="13"/>
  <c r="E43" i="3" s="1"/>
  <c r="I148" i="13"/>
  <c r="P74" i="13"/>
  <c r="L94" i="13"/>
  <c r="F42" i="3" s="1"/>
  <c r="H46" i="13"/>
  <c r="I46" i="13" s="1"/>
  <c r="T85" i="13"/>
  <c r="F80" i="3" s="1"/>
  <c r="X111" i="13"/>
  <c r="D104" i="3" s="1"/>
  <c r="P104" i="13"/>
  <c r="F63" i="3" s="1"/>
  <c r="H121" i="13"/>
  <c r="I120" i="13" s="1"/>
  <c r="P103" i="13"/>
  <c r="E63" i="3" s="1"/>
  <c r="P55" i="13"/>
  <c r="D58" i="3" s="1"/>
  <c r="T27" i="13"/>
  <c r="D74" i="3" s="1"/>
  <c r="J147" i="2"/>
  <c r="J161" i="2"/>
  <c r="Y83" i="13"/>
  <c r="I19" i="5" s="1"/>
  <c r="Y46" i="13"/>
  <c r="C97" i="3" s="1"/>
  <c r="D97" i="3"/>
  <c r="U46" i="13"/>
  <c r="C76" i="3" s="1"/>
  <c r="Q46" i="13"/>
  <c r="E15" i="5" s="1"/>
  <c r="J61" i="2"/>
  <c r="D76" i="3"/>
  <c r="I130" i="13"/>
  <c r="Q27" i="13"/>
  <c r="E13" i="5" s="1"/>
  <c r="J218" i="2"/>
  <c r="J75" i="2"/>
  <c r="I55" i="13"/>
  <c r="D55" i="3"/>
  <c r="D18" i="3"/>
  <c r="I36" i="13"/>
  <c r="J46" i="2"/>
  <c r="I64" i="13"/>
  <c r="M46" i="13"/>
  <c r="C37" i="3" s="1"/>
  <c r="I139" i="13"/>
  <c r="J190" i="2"/>
  <c r="Y102" i="13"/>
  <c r="I21" i="5" s="1"/>
  <c r="U18" i="13"/>
  <c r="D56" i="3"/>
  <c r="Q36" i="13"/>
  <c r="D47" i="3"/>
  <c r="M139" i="13"/>
  <c r="D65" i="3"/>
  <c r="Q120" i="13"/>
  <c r="D75" i="3"/>
  <c r="U36" i="13"/>
  <c r="D94" i="3"/>
  <c r="Y18" i="13"/>
  <c r="D39" i="3"/>
  <c r="M64" i="13"/>
  <c r="U139" i="13"/>
  <c r="D87" i="3"/>
  <c r="U148" i="13"/>
  <c r="D99" i="3"/>
  <c r="Y64" i="13"/>
  <c r="I18" i="13"/>
  <c r="Y148" i="13"/>
  <c r="J204" i="2"/>
  <c r="D100" i="3"/>
  <c r="Y74" i="13"/>
  <c r="D20" i="3"/>
  <c r="J104" i="2"/>
  <c r="J74" i="13" s="1"/>
  <c r="K74" i="13" s="1"/>
  <c r="L74" i="13" s="1"/>
  <c r="D40" i="3" s="1"/>
  <c r="D25" i="3"/>
  <c r="J175" i="2"/>
  <c r="D64" i="3"/>
  <c r="Y55" i="13"/>
  <c r="M148" i="13"/>
  <c r="J132" i="2"/>
  <c r="J92" i="13" s="1"/>
  <c r="K92" i="13" s="1"/>
  <c r="L92" i="13" s="1"/>
  <c r="D42" i="3" s="1"/>
  <c r="D82" i="3"/>
  <c r="U102" i="13"/>
  <c r="D36" i="3"/>
  <c r="M36" i="13"/>
  <c r="D84" i="3"/>
  <c r="U120" i="13"/>
  <c r="Y139" i="13"/>
  <c r="D107" i="3"/>
  <c r="J89" i="2"/>
  <c r="D78" i="3"/>
  <c r="U64" i="13"/>
  <c r="Y120" i="13"/>
  <c r="D59" i="3"/>
  <c r="Q64" i="13"/>
  <c r="D34" i="3"/>
  <c r="M18" i="13"/>
  <c r="D38" i="3"/>
  <c r="M55" i="13"/>
  <c r="J32" i="2"/>
  <c r="B13" i="5" s="1"/>
  <c r="D21" i="3"/>
  <c r="J118" i="2"/>
  <c r="J83" i="13" s="1"/>
  <c r="K83" i="13" s="1"/>
  <c r="L83" i="13" s="1"/>
  <c r="D41" i="3" s="1"/>
  <c r="I92" i="13"/>
  <c r="I111" i="13"/>
  <c r="D85" i="3"/>
  <c r="U130" i="13"/>
  <c r="U55" i="13"/>
  <c r="D77" i="3"/>
  <c r="J18" i="2"/>
  <c r="B12" i="5" s="1"/>
  <c r="D15" i="3"/>
  <c r="A1" i="3"/>
  <c r="Y92" i="13" l="1"/>
  <c r="I20" i="5" s="1"/>
  <c r="J20" i="5" s="1"/>
  <c r="Q139" i="13"/>
  <c r="E25" i="5" s="1"/>
  <c r="AC25" i="5" s="1"/>
  <c r="Q83" i="13"/>
  <c r="C61" i="3" s="1"/>
  <c r="X61" i="3" s="1"/>
  <c r="M27" i="13"/>
  <c r="C35" i="3" s="1"/>
  <c r="V35" i="3" s="1"/>
  <c r="Q148" i="13"/>
  <c r="C68" i="3" s="1"/>
  <c r="Z68" i="3" s="1"/>
  <c r="U111" i="13"/>
  <c r="C83" i="3" s="1"/>
  <c r="Y83" i="3" s="1"/>
  <c r="C23" i="5"/>
  <c r="U74" i="13"/>
  <c r="C79" i="3" s="1"/>
  <c r="X79" i="3" s="1"/>
  <c r="Y27" i="13"/>
  <c r="I13" i="5" s="1"/>
  <c r="Q18" i="13"/>
  <c r="E12" i="5" s="1"/>
  <c r="AC12" i="5" s="1"/>
  <c r="M130" i="13"/>
  <c r="C46" i="3" s="1"/>
  <c r="M111" i="13"/>
  <c r="C22" i="5" s="1"/>
  <c r="Q111" i="13"/>
  <c r="C64" i="3" s="1"/>
  <c r="Y64" i="3" s="1"/>
  <c r="M102" i="13"/>
  <c r="C43" i="3" s="1"/>
  <c r="Y43" i="3" s="1"/>
  <c r="M74" i="13"/>
  <c r="C18" i="5" s="1"/>
  <c r="AD18" i="5" s="1"/>
  <c r="Q55" i="13"/>
  <c r="C58" i="3" s="1"/>
  <c r="W58" i="3" s="1"/>
  <c r="G15" i="5"/>
  <c r="H15" i="5" s="1"/>
  <c r="U27" i="13"/>
  <c r="G13" i="5" s="1"/>
  <c r="Y111" i="13"/>
  <c r="I22" i="5" s="1"/>
  <c r="M92" i="13"/>
  <c r="C20" i="5" s="1"/>
  <c r="U83" i="13"/>
  <c r="D60" i="3"/>
  <c r="Q74" i="13"/>
  <c r="Q102" i="13"/>
  <c r="U92" i="13"/>
  <c r="D81" i="3"/>
  <c r="M83" i="13"/>
  <c r="C41" i="3" s="1"/>
  <c r="X41" i="3" s="1"/>
  <c r="Y36" i="13"/>
  <c r="C96" i="3" s="1"/>
  <c r="V96" i="3" s="1"/>
  <c r="C57" i="3"/>
  <c r="W57" i="3" s="1"/>
  <c r="Q130" i="13"/>
  <c r="C66" i="3" s="1"/>
  <c r="Q92" i="13"/>
  <c r="E20" i="5" s="1"/>
  <c r="F20" i="5" s="1"/>
  <c r="Y130" i="13"/>
  <c r="I15" i="5"/>
  <c r="C103" i="3"/>
  <c r="G103" i="3" s="1"/>
  <c r="C101" i="3"/>
  <c r="X101" i="3" s="1"/>
  <c r="C55" i="3"/>
  <c r="V55" i="3" s="1"/>
  <c r="C15" i="5"/>
  <c r="D15" i="5" s="1"/>
  <c r="B18" i="5"/>
  <c r="AE18" i="5" s="1"/>
  <c r="C20" i="3"/>
  <c r="C22" i="3"/>
  <c r="X22" i="3" s="1"/>
  <c r="B20" i="5"/>
  <c r="AE20" i="5" s="1"/>
  <c r="C82" i="3"/>
  <c r="G21" i="5"/>
  <c r="W37" i="3"/>
  <c r="C16" i="5"/>
  <c r="C38" i="3"/>
  <c r="W38" i="3" s="1"/>
  <c r="G17" i="5"/>
  <c r="C78" i="3"/>
  <c r="W78" i="3" s="1"/>
  <c r="C21" i="3"/>
  <c r="X21" i="3" s="1"/>
  <c r="B19" i="5"/>
  <c r="AE19" i="5" s="1"/>
  <c r="W97" i="3"/>
  <c r="C56" i="3"/>
  <c r="V56" i="3" s="1"/>
  <c r="E14" i="5"/>
  <c r="AC14" i="5" s="1"/>
  <c r="C59" i="3"/>
  <c r="W59" i="3" s="1"/>
  <c r="E17" i="5"/>
  <c r="C105" i="3"/>
  <c r="Y105" i="3" s="1"/>
  <c r="I23" i="5"/>
  <c r="G16" i="5"/>
  <c r="C77" i="3"/>
  <c r="W77" i="3" s="1"/>
  <c r="C94" i="3"/>
  <c r="I12" i="5"/>
  <c r="C47" i="3"/>
  <c r="Z47" i="3" s="1"/>
  <c r="C25" i="5"/>
  <c r="C48" i="3"/>
  <c r="Z48" i="3" s="1"/>
  <c r="C26" i="5"/>
  <c r="AD26" i="5" s="1"/>
  <c r="C100" i="3"/>
  <c r="I18" i="5"/>
  <c r="C85" i="3"/>
  <c r="G24" i="5"/>
  <c r="C39" i="3"/>
  <c r="W39" i="3" s="1"/>
  <c r="C17" i="5"/>
  <c r="D17" i="5" s="1"/>
  <c r="C73" i="3"/>
  <c r="G12" i="5"/>
  <c r="I17" i="5"/>
  <c r="C99" i="3"/>
  <c r="W99" i="3" s="1"/>
  <c r="C87" i="3"/>
  <c r="Z87" i="3" s="1"/>
  <c r="G26" i="5"/>
  <c r="C84" i="3"/>
  <c r="Y84" i="3" s="1"/>
  <c r="G23" i="5"/>
  <c r="J19" i="5"/>
  <c r="AA19" i="5"/>
  <c r="C12" i="5"/>
  <c r="C34" i="3"/>
  <c r="C14" i="5"/>
  <c r="C36" i="3"/>
  <c r="V36" i="3" s="1"/>
  <c r="C98" i="3"/>
  <c r="W98" i="3" s="1"/>
  <c r="I16" i="5"/>
  <c r="C86" i="3"/>
  <c r="Z86" i="3" s="1"/>
  <c r="G25" i="5"/>
  <c r="W76" i="3"/>
  <c r="I25" i="5"/>
  <c r="C107" i="3"/>
  <c r="Z107" i="3" s="1"/>
  <c r="C108" i="3"/>
  <c r="Z108" i="3" s="1"/>
  <c r="I26" i="5"/>
  <c r="G14" i="5"/>
  <c r="C75" i="3"/>
  <c r="V75" i="3" s="1"/>
  <c r="E23" i="5"/>
  <c r="C65" i="3"/>
  <c r="Y65" i="3" s="1"/>
  <c r="B16" i="5"/>
  <c r="AE16" i="5" s="1"/>
  <c r="C14" i="3"/>
  <c r="V14" i="3" s="1"/>
  <c r="AE13" i="5"/>
  <c r="B14" i="5"/>
  <c r="AE14" i="5" s="1"/>
  <c r="B17" i="5"/>
  <c r="AE17" i="5" s="1"/>
  <c r="C28" i="3"/>
  <c r="B25" i="5"/>
  <c r="AE25" i="5" s="1"/>
  <c r="C25" i="3"/>
  <c r="AC13" i="5"/>
  <c r="C26" i="3"/>
  <c r="C17" i="3"/>
  <c r="C102" i="3" l="1"/>
  <c r="X102" i="3" s="1"/>
  <c r="AA20" i="5"/>
  <c r="C67" i="3"/>
  <c r="Z67" i="3" s="1"/>
  <c r="E26" i="5"/>
  <c r="G22" i="5"/>
  <c r="C21" i="5"/>
  <c r="AD21" i="5" s="1"/>
  <c r="E19" i="5"/>
  <c r="F19" i="5" s="1"/>
  <c r="C13" i="5"/>
  <c r="D13" i="5" s="1"/>
  <c r="C95" i="3"/>
  <c r="V95" i="3" s="1"/>
  <c r="G18" i="5"/>
  <c r="AB18" i="5" s="1"/>
  <c r="C44" i="3"/>
  <c r="Y44" i="3" s="1"/>
  <c r="E22" i="5"/>
  <c r="C40" i="3"/>
  <c r="X40" i="3" s="1"/>
  <c r="C54" i="3"/>
  <c r="J54" i="3" s="1"/>
  <c r="D18" i="5"/>
  <c r="E16" i="5"/>
  <c r="C74" i="3"/>
  <c r="V74" i="3" s="1"/>
  <c r="C24" i="5"/>
  <c r="C104" i="3"/>
  <c r="Y104" i="3" s="1"/>
  <c r="Y103" i="3"/>
  <c r="C62" i="3"/>
  <c r="X62" i="3" s="1"/>
  <c r="C42" i="3"/>
  <c r="X42" i="3" s="1"/>
  <c r="AC20" i="5"/>
  <c r="I14" i="5"/>
  <c r="K14" i="5" s="1"/>
  <c r="C19" i="5"/>
  <c r="G20" i="5"/>
  <c r="C81" i="3"/>
  <c r="X81" i="3" s="1"/>
  <c r="E21" i="5"/>
  <c r="C63" i="3"/>
  <c r="Y63" i="3" s="1"/>
  <c r="C60" i="3"/>
  <c r="X60" i="3" s="1"/>
  <c r="E18" i="5"/>
  <c r="C80" i="3"/>
  <c r="G19" i="5"/>
  <c r="E24" i="5"/>
  <c r="I24" i="5"/>
  <c r="J24" i="5" s="1"/>
  <c r="C106" i="3"/>
  <c r="Z106" i="3" s="1"/>
  <c r="G108" i="3"/>
  <c r="G99" i="3"/>
  <c r="K19" i="5"/>
  <c r="J55" i="3"/>
  <c r="K20" i="5"/>
  <c r="J34" i="3"/>
  <c r="V34" i="3"/>
  <c r="J35" i="3"/>
  <c r="Z46" i="3"/>
  <c r="J38" i="3"/>
  <c r="V73" i="3"/>
  <c r="X100" i="3"/>
  <c r="J96" i="3"/>
  <c r="J74" i="3"/>
  <c r="J76" i="3"/>
  <c r="Y82" i="3"/>
  <c r="G107" i="3"/>
  <c r="D20" i="5"/>
  <c r="AD20" i="5"/>
  <c r="Z66" i="3"/>
  <c r="J58" i="3"/>
  <c r="J18" i="5"/>
  <c r="AA18" i="5"/>
  <c r="K18" i="5"/>
  <c r="J95" i="3"/>
  <c r="X20" i="3"/>
  <c r="J16" i="3"/>
  <c r="Z85" i="3"/>
  <c r="J77" i="3"/>
  <c r="V94" i="3"/>
  <c r="F13" i="5"/>
  <c r="AD17" i="5"/>
  <c r="Y25" i="3"/>
  <c r="Z26" i="3"/>
  <c r="Z28" i="3"/>
  <c r="W17" i="3"/>
  <c r="F14" i="5"/>
  <c r="H14" i="5"/>
  <c r="AB15" i="5"/>
  <c r="G67" i="3"/>
  <c r="G14" i="3"/>
  <c r="C18" i="3"/>
  <c r="AE12" i="5"/>
  <c r="C19" i="3"/>
  <c r="W19" i="3" s="1"/>
  <c r="C15" i="3"/>
  <c r="V15" i="3" s="1"/>
  <c r="C27" i="3"/>
  <c r="B23" i="5"/>
  <c r="AE23" i="5" s="1"/>
  <c r="B26" i="5"/>
  <c r="AE26" i="5" s="1"/>
  <c r="C16" i="3"/>
  <c r="V16" i="3" s="1"/>
  <c r="F12" i="5"/>
  <c r="F25" i="5"/>
  <c r="J16" i="5"/>
  <c r="J26" i="5"/>
  <c r="C23" i="3"/>
  <c r="B21" i="5"/>
  <c r="AE21" i="5" s="1"/>
  <c r="J25" i="5"/>
  <c r="B24" i="5"/>
  <c r="AE24" i="5" s="1"/>
  <c r="G48" i="3"/>
  <c r="H13" i="5"/>
  <c r="AB13" i="5"/>
  <c r="G75" i="3"/>
  <c r="B15" i="5"/>
  <c r="AE15" i="5" s="1"/>
  <c r="AA23" i="5"/>
  <c r="AA22" i="5"/>
  <c r="G97" i="3"/>
  <c r="AD15" i="5"/>
  <c r="AD22" i="5"/>
  <c r="D22" i="5"/>
  <c r="G39" i="3"/>
  <c r="G37" i="3"/>
  <c r="G105" i="3"/>
  <c r="G96" i="3"/>
  <c r="G76" i="3"/>
  <c r="D26" i="5"/>
  <c r="G34" i="3"/>
  <c r="G25" i="3"/>
  <c r="H23" i="5"/>
  <c r="AB23" i="5"/>
  <c r="G28" i="3"/>
  <c r="G35" i="3"/>
  <c r="G56" i="3"/>
  <c r="G94" i="3"/>
  <c r="G43" i="3"/>
  <c r="G55" i="3"/>
  <c r="AA15" i="5"/>
  <c r="G98" i="3"/>
  <c r="G84" i="3"/>
  <c r="C24" i="3"/>
  <c r="B22" i="5"/>
  <c r="AE22" i="5" s="1"/>
  <c r="G26" i="3"/>
  <c r="K25" i="5"/>
  <c r="G17" i="3"/>
  <c r="AA21" i="5"/>
  <c r="J21" i="5"/>
  <c r="K17" i="5"/>
  <c r="AA17" i="5"/>
  <c r="J17" i="5"/>
  <c r="AA13" i="5"/>
  <c r="K13" i="5"/>
  <c r="J13" i="5"/>
  <c r="V54" i="3" l="1"/>
  <c r="AC19" i="5"/>
  <c r="D21" i="5"/>
  <c r="H18" i="5"/>
  <c r="AD13" i="5"/>
  <c r="J37" i="3"/>
  <c r="G44" i="3"/>
  <c r="G95" i="3"/>
  <c r="J94" i="3"/>
  <c r="J97" i="3"/>
  <c r="G74" i="3"/>
  <c r="J73" i="3"/>
  <c r="G104" i="3"/>
  <c r="J36" i="3"/>
  <c r="J98" i="3"/>
  <c r="G106" i="3"/>
  <c r="AA24" i="5"/>
  <c r="H19" i="5"/>
  <c r="AB19" i="5"/>
  <c r="F18" i="5"/>
  <c r="AC18" i="5"/>
  <c r="J57" i="3"/>
  <c r="X80" i="3"/>
  <c r="J75" i="3"/>
  <c r="J56" i="3"/>
  <c r="H20" i="5"/>
  <c r="AB20" i="5"/>
  <c r="AD19" i="5"/>
  <c r="D19" i="5"/>
  <c r="AB14" i="5"/>
  <c r="Y24" i="3"/>
  <c r="Z27" i="3"/>
  <c r="Y23" i="3"/>
  <c r="W18" i="3"/>
  <c r="AA14" i="5"/>
  <c r="J14" i="5"/>
  <c r="AA26" i="5"/>
  <c r="J23" i="5"/>
  <c r="J22" i="5"/>
  <c r="K16" i="5"/>
  <c r="AA16" i="5"/>
  <c r="J15" i="5"/>
  <c r="G16" i="3"/>
  <c r="G15" i="3"/>
  <c r="G19" i="3"/>
  <c r="G57" i="3"/>
  <c r="G66" i="3"/>
  <c r="J18" i="3"/>
  <c r="G18" i="3"/>
  <c r="J15" i="3"/>
  <c r="G27" i="3"/>
  <c r="J14" i="3"/>
  <c r="K23" i="5"/>
  <c r="K26" i="5"/>
  <c r="G23" i="3"/>
  <c r="G63" i="3"/>
  <c r="K21" i="5"/>
  <c r="K24" i="5"/>
  <c r="AA25" i="5"/>
  <c r="C28" i="5"/>
  <c r="AD12" i="5"/>
  <c r="D12" i="5"/>
  <c r="F26" i="5"/>
  <c r="AC26" i="5"/>
  <c r="F17" i="5"/>
  <c r="AC17" i="5"/>
  <c r="AB17" i="5"/>
  <c r="H17" i="5"/>
  <c r="G83" i="3"/>
  <c r="G65" i="3"/>
  <c r="G86" i="3"/>
  <c r="AC21" i="5"/>
  <c r="F21" i="5"/>
  <c r="AB25" i="5"/>
  <c r="H25" i="5"/>
  <c r="G87" i="3"/>
  <c r="G73" i="3"/>
  <c r="AC24" i="5"/>
  <c r="F24" i="5"/>
  <c r="G45" i="3"/>
  <c r="G58" i="3"/>
  <c r="AB26" i="5"/>
  <c r="H26" i="5"/>
  <c r="G28" i="5"/>
  <c r="H12" i="5"/>
  <c r="AB12" i="5"/>
  <c r="G36" i="3"/>
  <c r="D23" i="5"/>
  <c r="AD23" i="5"/>
  <c r="F15" i="5"/>
  <c r="AC15" i="5"/>
  <c r="E28" i="5"/>
  <c r="D14" i="5"/>
  <c r="AD14" i="5"/>
  <c r="G38" i="3"/>
  <c r="AD16" i="5"/>
  <c r="D16" i="5"/>
  <c r="G85" i="3"/>
  <c r="G47" i="3"/>
  <c r="F23" i="5"/>
  <c r="AC23" i="5"/>
  <c r="G64" i="3"/>
  <c r="H16" i="5"/>
  <c r="AB16" i="5"/>
  <c r="G46" i="3"/>
  <c r="G82" i="3"/>
  <c r="AB24" i="5"/>
  <c r="H24" i="5"/>
  <c r="D25" i="5"/>
  <c r="AD25" i="5"/>
  <c r="AC16" i="5"/>
  <c r="F16" i="5"/>
  <c r="K15" i="5"/>
  <c r="F22" i="5"/>
  <c r="AC22" i="5"/>
  <c r="G77" i="3"/>
  <c r="AD24" i="5"/>
  <c r="D24" i="5"/>
  <c r="H21" i="5"/>
  <c r="AB21" i="5"/>
  <c r="G68" i="3"/>
  <c r="G59" i="3"/>
  <c r="G78" i="3"/>
  <c r="H22" i="5"/>
  <c r="AB22" i="5"/>
  <c r="G24" i="3"/>
  <c r="J17" i="3"/>
  <c r="J12" i="5"/>
  <c r="K12" i="5"/>
  <c r="I28" i="5"/>
  <c r="AA12" i="5"/>
  <c r="G54" i="3"/>
  <c r="K22" i="5"/>
  <c r="K28" i="5" l="1"/>
  <c r="K29" i="5" l="1"/>
  <c r="G29" i="5"/>
  <c r="E29" i="5"/>
  <c r="C29" i="5"/>
  <c r="I29" i="5"/>
</calcChain>
</file>

<file path=xl/sharedStrings.xml><?xml version="1.0" encoding="utf-8"?>
<sst xmlns="http://schemas.openxmlformats.org/spreadsheetml/2006/main" count="1349" uniqueCount="609">
  <si>
    <t>Business Functions</t>
  </si>
  <si>
    <t>Security Practices</t>
  </si>
  <si>
    <t>0+</t>
  </si>
  <si>
    <t>1+</t>
  </si>
  <si>
    <t>2+</t>
  </si>
  <si>
    <t>Translated Value</t>
  </si>
  <si>
    <t>Version:</t>
  </si>
  <si>
    <t>Description:</t>
  </si>
  <si>
    <t>Contributors:</t>
  </si>
  <si>
    <t>License:</t>
  </si>
  <si>
    <t>This work is licensed under the Creative Commons Attribution-Share Alike 3.0 License. To view a copy of this license, visit http://creativecommons.org/licenses/by-sa/3.0/legalcode; or, (b) send a letter to Creative Commons, 171 2nd Street, Suite 300, San Francisco, California, 94105, USA.</t>
  </si>
  <si>
    <t>Instructions</t>
  </si>
  <si>
    <t>Interview an individual based on the questions below organized according to SAMM Business Functions and Security Practices.</t>
  </si>
  <si>
    <t>Document additional information such as how and why in the "Interview Notes" column.</t>
  </si>
  <si>
    <t>Once the interview is complete, go to the "Scorecard" sheet and follow instructions.</t>
  </si>
  <si>
    <t>Organization:</t>
  </si>
  <si>
    <t>Interview Date:</t>
  </si>
  <si>
    <t>Governance</t>
  </si>
  <si>
    <t>Strategy &amp; Metrics</t>
  </si>
  <si>
    <t>Policy &amp; Compliance</t>
  </si>
  <si>
    <t>Education &amp; Guidance</t>
  </si>
  <si>
    <t>Threat Assessment</t>
  </si>
  <si>
    <t>Security Requirements</t>
  </si>
  <si>
    <t>Secure Architecture</t>
  </si>
  <si>
    <t>Verification</t>
  </si>
  <si>
    <t>Security Testing</t>
  </si>
  <si>
    <t>Do project teams specify security requirements during development?</t>
  </si>
  <si>
    <t>No</t>
  </si>
  <si>
    <t>Authors:</t>
  </si>
  <si>
    <t>Rating</t>
  </si>
  <si>
    <t>Yes</t>
  </si>
  <si>
    <t>Answer</t>
  </si>
  <si>
    <t>Rating Scale</t>
  </si>
  <si>
    <t>Operations</t>
  </si>
  <si>
    <t>Software Assurance Maturity Model (SAMM) Roadmap</t>
  </si>
  <si>
    <t>Date</t>
  </si>
  <si>
    <t>Source Data</t>
  </si>
  <si>
    <t>As-Is</t>
  </si>
  <si>
    <t>To-Be</t>
  </si>
  <si>
    <t>Security Practice</t>
  </si>
  <si>
    <t>Security Practices/Phase</t>
  </si>
  <si>
    <t>Start</t>
  </si>
  <si>
    <t>After 1</t>
  </si>
  <si>
    <t>After 2</t>
  </si>
  <si>
    <t>May</t>
  </si>
  <si>
    <t>After 4</t>
  </si>
  <si>
    <t>Current GAP</t>
  </si>
  <si>
    <t>Strategy &amp; metrics</t>
  </si>
  <si>
    <t>SAMM velocity:</t>
  </si>
  <si>
    <t>Valid Maturity Levels</t>
  </si>
  <si>
    <t>Software Assurance Maturity Model (SAMM) Roadmap Chart Template Background Images</t>
  </si>
  <si>
    <t>Author:</t>
  </si>
  <si>
    <t>Aidan Lynch</t>
  </si>
  <si>
    <t>SAMM</t>
  </si>
  <si>
    <t>The Software Assurance Maturity Model (SAMM) was created by Pravir Chandra and is now an Open Web Application Security Project (OWASP) project.</t>
  </si>
  <si>
    <t>Current</t>
  </si>
  <si>
    <t>Yes, it's less than a year old</t>
  </si>
  <si>
    <t>Yes, some of them are aware</t>
  </si>
  <si>
    <t>Yes, most of them are aware</t>
  </si>
  <si>
    <t>Yes, we did it once</t>
  </si>
  <si>
    <t>Yes, we do it every few years</t>
  </si>
  <si>
    <t>Yes, we do it at least annually</t>
  </si>
  <si>
    <t>2,3,6,9</t>
  </si>
  <si>
    <t>Yes, but on an adhoc basis</t>
  </si>
  <si>
    <t>Yes, there is a standard set</t>
  </si>
  <si>
    <t>Yes, the standard set is integrated</t>
  </si>
  <si>
    <t>8,15,20</t>
  </si>
  <si>
    <t>A</t>
  </si>
  <si>
    <t>B</t>
  </si>
  <si>
    <t>C</t>
  </si>
  <si>
    <t>D</t>
  </si>
  <si>
    <t>E</t>
  </si>
  <si>
    <t>F</t>
  </si>
  <si>
    <t>G</t>
  </si>
  <si>
    <t>H</t>
  </si>
  <si>
    <t>Yes, localized to business areas</t>
  </si>
  <si>
    <t>Yes, across the organization and required</t>
  </si>
  <si>
    <t>Yes, across the organization</t>
  </si>
  <si>
    <t>16,18</t>
  </si>
  <si>
    <t>Yes, approx. half of them are aware</t>
  </si>
  <si>
    <t>No, it is not applicable</t>
  </si>
  <si>
    <t>4,15</t>
  </si>
  <si>
    <t>1,2,3,5,8,10,13,14,17,18</t>
  </si>
  <si>
    <t>6,7,9,11,12,16,19</t>
  </si>
  <si>
    <t>1,3,5,12</t>
  </si>
  <si>
    <t>4,8,10,13</t>
  </si>
  <si>
    <t>Maturity</t>
  </si>
  <si>
    <t>Yes, it's a number of years old</t>
  </si>
  <si>
    <t>Yes, it's a pretty mature program</t>
  </si>
  <si>
    <t>Phase 1</t>
  </si>
  <si>
    <t>Phase 2</t>
  </si>
  <si>
    <t>Phase 3</t>
  </si>
  <si>
    <t>Phase 4</t>
  </si>
  <si>
    <t>Current Maturity Score</t>
  </si>
  <si>
    <t>Phase 4 Maturity Score</t>
  </si>
  <si>
    <r>
      <t xml:space="preserve">Notes:
</t>
    </r>
    <r>
      <rPr>
        <sz val="10"/>
        <rFont val="Trebuchet MS"/>
        <family val="2"/>
      </rPr>
      <t>Data in this worksheet is automatically imported from the Interview and Roadmap worksheets and will automatically update when changed in the respective worksheets.  This is mostly a read-only worksheet, changes should be made in Interview or Roadmap worksheets.</t>
    </r>
  </si>
  <si>
    <t>Select the best answer from the multiple choice drop down selections in the answer column.</t>
  </si>
  <si>
    <t>The formulas in hidden columns F-H will calculate the scores and update the Rating boxes and other worksheets as needed.</t>
  </si>
  <si>
    <r>
      <t xml:space="preserve">Notes:
</t>
    </r>
    <r>
      <rPr>
        <sz val="10"/>
        <rFont val="Trebuchet MS"/>
        <family val="2"/>
      </rPr>
      <t>Data in this worksheet is used to feed the Interview worksheet and Roadmap worksheet and provides answers and values.  
Please do not edit without understanding the potential impact to the SAMM model as it will alter the scoring model.
There are currently seven categories of answers, the colors/numbers in column I indicate which questions in which Business Function are using that specific answer category.</t>
    </r>
  </si>
  <si>
    <t>Element:</t>
  </si>
  <si>
    <t>Colin Watson</t>
  </si>
  <si>
    <t>Author(s):</t>
  </si>
  <si>
    <t>Nick Coblentz, Eoin Keary, and Seba Deleersnyder</t>
  </si>
  <si>
    <t>Toolbox for v1.5</t>
  </si>
  <si>
    <t>Brian Glas</t>
  </si>
  <si>
    <t>Roadmap Chart Template v1.0</t>
  </si>
  <si>
    <t>Interview Template v1.0</t>
  </si>
  <si>
    <t>11,19</t>
  </si>
  <si>
    <t>9,14,17</t>
  </si>
  <si>
    <t>1,2,3,6,7,8,10,11,12,15,19</t>
  </si>
  <si>
    <t>Yes, a small percentage are/do</t>
  </si>
  <si>
    <t>Yes, at least half of them are/do</t>
  </si>
  <si>
    <t>Yes, the majority of them are/do</t>
  </si>
  <si>
    <t>6,7,9,11,14,15,16,17</t>
  </si>
  <si>
    <t>Yes, teams write/run their own</t>
  </si>
  <si>
    <t>4,5,7,12,13,14,16,17,18</t>
  </si>
  <si>
    <t>Phase 3 Maturity Score</t>
  </si>
  <si>
    <t>Phase 2 Maturity Score</t>
  </si>
  <si>
    <t>Phase 1 Maturity Score</t>
  </si>
  <si>
    <t>Yes, at least half of the time</t>
  </si>
  <si>
    <t>ANS_SET_CODE</t>
  </si>
  <si>
    <t>A_W</t>
  </si>
  <si>
    <t>B_W</t>
  </si>
  <si>
    <t>C_W</t>
  </si>
  <si>
    <t>D_W</t>
  </si>
  <si>
    <t>Yes, for some applications</t>
  </si>
  <si>
    <t>Yes, for at least half of the applications</t>
  </si>
  <si>
    <t>Yes, some of them</t>
  </si>
  <si>
    <t>Yes, at least half of them</t>
  </si>
  <si>
    <t>Yes, at least half of the content</t>
  </si>
  <si>
    <t>Yes, some of the time</t>
  </si>
  <si>
    <t>Yes, for some components</t>
  </si>
  <si>
    <t>Yes, for at least half of the components</t>
  </si>
  <si>
    <t>Yes, for at least half of the incidents</t>
  </si>
  <si>
    <t>Yes, for some of our data</t>
  </si>
  <si>
    <t>Yes, for at least half of our data</t>
  </si>
  <si>
    <t>Yes, we do it when requested</t>
  </si>
  <si>
    <t>Yes, for some of the assets</t>
  </si>
  <si>
    <t>Yes, for at least half of the assets</t>
  </si>
  <si>
    <t>Yes, for some of the technology domains</t>
  </si>
  <si>
    <t>Yes, for at least half of the technology domains</t>
  </si>
  <si>
    <t>Yes, we review it annually</t>
  </si>
  <si>
    <t>Yes, we consult the plan before making significant decisions</t>
  </si>
  <si>
    <t>Yes, we review it at least annually</t>
  </si>
  <si>
    <t>Yes, for one metrics category</t>
  </si>
  <si>
    <t>Yes, for two metrics categories</t>
  </si>
  <si>
    <t>Yes, for all three metrics categories</t>
  </si>
  <si>
    <t>Yes, sporadically</t>
  </si>
  <si>
    <t>Yes, upon change of the application</t>
  </si>
  <si>
    <t>ID</t>
  </si>
  <si>
    <t>Business Function</t>
  </si>
  <si>
    <t>Activity</t>
  </si>
  <si>
    <t>Question</t>
  </si>
  <si>
    <t>Guidance</t>
  </si>
  <si>
    <t>Answer Option</t>
  </si>
  <si>
    <t>G-SM-A-1-1</t>
  </si>
  <si>
    <t>Create and Promote</t>
  </si>
  <si>
    <t>G-SM-A-2-1</t>
  </si>
  <si>
    <t>G-SM-A-3-1</t>
  </si>
  <si>
    <t>Do you regularly review and update the Strategic Plan for Application Security?</t>
  </si>
  <si>
    <t>G-SM-B-1-1</t>
  </si>
  <si>
    <t>Measure and Improve</t>
  </si>
  <si>
    <t>G-SM-B-2-1</t>
  </si>
  <si>
    <t>Did you define Key Perfomance Indicators (KPI) from available application security metrics?</t>
  </si>
  <si>
    <t>G-SM-B-3-1</t>
  </si>
  <si>
    <t>G-EG-A-1-1</t>
  </si>
  <si>
    <t>Training and Awareness</t>
  </si>
  <si>
    <t>Do you require employees involved with application development to take SDLC training?</t>
  </si>
  <si>
    <t>G-EG-A-2-1</t>
  </si>
  <si>
    <t>G-EG-A-3-1</t>
  </si>
  <si>
    <t>G-EG-B-1-1</t>
  </si>
  <si>
    <t>Organization and Culture</t>
  </si>
  <si>
    <t>G-EG-B-2-1</t>
  </si>
  <si>
    <t>Does the organization have a Secure Software Center of Excellence (SSCE)?</t>
  </si>
  <si>
    <t>G-EG-B-3-1</t>
  </si>
  <si>
    <t>Is there a centralized portal where developers and application security professionals from different teams and business units are able to communicate and share information?</t>
  </si>
  <si>
    <t>D-TA-A-1-1</t>
  </si>
  <si>
    <t>Design</t>
  </si>
  <si>
    <t>Application Risk Profile</t>
  </si>
  <si>
    <t>D-TA-A-2-1</t>
  </si>
  <si>
    <t>D-TA-A-3-1</t>
  </si>
  <si>
    <t>Do you regularly review and update the risk profiles for your applications?</t>
  </si>
  <si>
    <t>D-TA-B-1-1</t>
  </si>
  <si>
    <t>Threat Modeling</t>
  </si>
  <si>
    <t>D-TA-B-2-1</t>
  </si>
  <si>
    <t>D-TA-B-3-1</t>
  </si>
  <si>
    <t>D-SR-A-1-1</t>
  </si>
  <si>
    <t>Software Requirements</t>
  </si>
  <si>
    <t>D-SR-A-2-1</t>
  </si>
  <si>
    <t>D-SR-A-3-1</t>
  </si>
  <si>
    <t>D-SR-B-1-1</t>
  </si>
  <si>
    <t>Supplier Security</t>
  </si>
  <si>
    <t>Do stakeholders review vendor collaborations for security requirements and methodology?</t>
  </si>
  <si>
    <t>D-SR-B-2-1</t>
  </si>
  <si>
    <t>D-SR-B-3-1</t>
  </si>
  <si>
    <t>Are vendors aligned with standard security controls and software development tools and processes that the organization utilizes?</t>
  </si>
  <si>
    <t>D-SA-A-1-1</t>
  </si>
  <si>
    <t>Security Architecture</t>
  </si>
  <si>
    <t>Architecture Design</t>
  </si>
  <si>
    <t>Do teams use security principles during design?</t>
  </si>
  <si>
    <t>D-SA-A-2-1</t>
  </si>
  <si>
    <t>D-SA-A-3-1</t>
  </si>
  <si>
    <t>Do you base your design on available reference architectures?</t>
  </si>
  <si>
    <t>D-SA-B-1-1</t>
  </si>
  <si>
    <t>Technology Management</t>
  </si>
  <si>
    <t>D-SA-B-2-1</t>
  </si>
  <si>
    <t>D-SA-B-3-1</t>
  </si>
  <si>
    <t>I-SB-A-1-1</t>
  </si>
  <si>
    <t>Implementation</t>
  </si>
  <si>
    <t>Secure Build</t>
  </si>
  <si>
    <t>Build Process</t>
  </si>
  <si>
    <t>I-SB-A-2-1</t>
  </si>
  <si>
    <t>I-SB-A-3-1</t>
  </si>
  <si>
    <t>I-SB-B-1-1</t>
  </si>
  <si>
    <t>Software Dependencies</t>
  </si>
  <si>
    <t>I-SB-B-2-1</t>
  </si>
  <si>
    <t>I-SB-B-3-1</t>
  </si>
  <si>
    <t>Do you prevent build of software if it's affected by vulnerabilities in dependencies?</t>
  </si>
  <si>
    <t>I-SD-A-1-1</t>
  </si>
  <si>
    <t>Secure Deployment</t>
  </si>
  <si>
    <t>Deployment Process</t>
  </si>
  <si>
    <t>Do you use repeatable deployment processes?</t>
  </si>
  <si>
    <t>I-SD-A-2-1</t>
  </si>
  <si>
    <t>I-SD-A-3-1</t>
  </si>
  <si>
    <t>Do you consistently validate the integrity of deployed artifacts?</t>
  </si>
  <si>
    <t>I-SD-B-1-1</t>
  </si>
  <si>
    <t>Secret Management</t>
  </si>
  <si>
    <t>I-SD-B-2-1</t>
  </si>
  <si>
    <t>I-SD-B-3-1</t>
  </si>
  <si>
    <t>I-DM-A-1-1</t>
  </si>
  <si>
    <t>Defect Management</t>
  </si>
  <si>
    <t>I-DM-A-2-1</t>
  </si>
  <si>
    <t>I-DM-A-3-1</t>
  </si>
  <si>
    <t>I-DM-B-1-1</t>
  </si>
  <si>
    <t>I-DM-B-2-1</t>
  </si>
  <si>
    <t>I-DM-B-3-1</t>
  </si>
  <si>
    <t>V-AA-A-1-1</t>
  </si>
  <si>
    <t>Architecture Assessment</t>
  </si>
  <si>
    <t>Architecture Validation</t>
  </si>
  <si>
    <t>V-AA-A-2-1</t>
  </si>
  <si>
    <t>V-AA-A-3-1</t>
  </si>
  <si>
    <t>Do you regularly review the effectiveness of the security controls?</t>
  </si>
  <si>
    <t>V-AA-B-1-1</t>
  </si>
  <si>
    <t>V-AA-B-2-1</t>
  </si>
  <si>
    <t>V-AA-B-3-1</t>
  </si>
  <si>
    <t>Control Verification</t>
  </si>
  <si>
    <t>Do you test applications for the correct functioning of standard security controls?</t>
  </si>
  <si>
    <t>Do you automatically test applications for security regressions?</t>
  </si>
  <si>
    <t>Misuse/Abuse Testing</t>
  </si>
  <si>
    <t>Do you create abuse cases from functional requirements and use them to drive security tests?</t>
  </si>
  <si>
    <t>Do you perform denial of service and security stress testing?</t>
  </si>
  <si>
    <t>V-ST-A-1-1</t>
  </si>
  <si>
    <t>Scalable Baseline</t>
  </si>
  <si>
    <t>Do you scan applications with automated security testing tools?</t>
  </si>
  <si>
    <t>V-ST-A-2-1</t>
  </si>
  <si>
    <t>V-ST-A-3-1</t>
  </si>
  <si>
    <t>Do you integrate automated security testing into the build and deploy process?</t>
  </si>
  <si>
    <t>V-ST-B-1-1</t>
  </si>
  <si>
    <t>Deep Understanding</t>
  </si>
  <si>
    <t>Do you manually review the security quality of selected high-risk components?</t>
  </si>
  <si>
    <t>V-ST-B-2-1</t>
  </si>
  <si>
    <t>Do you perform penetration testing for your applications at regular intervals?</t>
  </si>
  <si>
    <t>V-ST-B-3-1</t>
  </si>
  <si>
    <t>Do you use the results of security testing to improve the development lifecycle?</t>
  </si>
  <si>
    <t>O-IM-A-1-1</t>
  </si>
  <si>
    <t>Incident Management</t>
  </si>
  <si>
    <t>Incident Detection</t>
  </si>
  <si>
    <t>O-IM-A-2-1</t>
  </si>
  <si>
    <t>O-IM-A-3-1</t>
  </si>
  <si>
    <t>Do you review and update the incident detection process regularly?</t>
  </si>
  <si>
    <t>O-IM-B-1-1</t>
  </si>
  <si>
    <t>Incident Response</t>
  </si>
  <si>
    <t>O-IM-B-2-1</t>
  </si>
  <si>
    <t>O-IM-B-3-1</t>
  </si>
  <si>
    <t>O-EM-A-1-1</t>
  </si>
  <si>
    <t>Environment Management</t>
  </si>
  <si>
    <t>Configuration Hardening</t>
  </si>
  <si>
    <t>O-EM-A-2-1</t>
  </si>
  <si>
    <t>O-EM-A-3-1</t>
  </si>
  <si>
    <t>O-EM-B-1-1</t>
  </si>
  <si>
    <t>Patching and Updating</t>
  </si>
  <si>
    <t>Do you identify and patch vulnerable components?</t>
  </si>
  <si>
    <t>O-EM-B-2-1</t>
  </si>
  <si>
    <t>O-EM-B-3-1</t>
  </si>
  <si>
    <t>Do you regularly evaluate components and review patch level status?</t>
  </si>
  <si>
    <t>O-OM-A-1-1</t>
  </si>
  <si>
    <t>Operational Management</t>
  </si>
  <si>
    <t>Data Protection</t>
  </si>
  <si>
    <t>Do you protect and handle information according to protection requirements for data stored and processed on each application?</t>
  </si>
  <si>
    <t>O-OM-A-2-1</t>
  </si>
  <si>
    <t>Do you maintain a data catalog, including types, sensitivity levels, and processing and storage locations?</t>
  </si>
  <si>
    <t>O-OM-A-3-1</t>
  </si>
  <si>
    <t>Do you regularly review and update the data catalog and your data protection policies and procedures?</t>
  </si>
  <si>
    <t>O-OM-B-1-1</t>
  </si>
  <si>
    <t>Do you identify and remove systems, applications, application dependencies, or services that are no longer used, have reached end of life, or are no longer actively developed or supported?</t>
  </si>
  <si>
    <t>O-OM-B-2-1</t>
  </si>
  <si>
    <t>Do you follow an established process for removing all associated resources, as part of decommissioning of unused systems, applications, application dependencies, or services?</t>
  </si>
  <si>
    <t>O-OM-B-3-1</t>
  </si>
  <si>
    <t>Yes, for some of the policies and standards</t>
  </si>
  <si>
    <t>Yes, for at least half of the policies and standards</t>
  </si>
  <si>
    <t>Do you regularly report on policy and standard compliance, and use that information to guide compliance improvement efforts?</t>
  </si>
  <si>
    <t>Yes, but review is ad-hoc</t>
  </si>
  <si>
    <t>Compliance Management</t>
  </si>
  <si>
    <t>Do you have a complete picture of your external compliance obligations?</t>
  </si>
  <si>
    <t>G-PC-A-1-1</t>
  </si>
  <si>
    <t>G-PC-A-2-1</t>
  </si>
  <si>
    <t>G-PC-A-3-1</t>
  </si>
  <si>
    <t>G-PC-B-1-1</t>
  </si>
  <si>
    <t>G-PC-B-2-1</t>
  </si>
  <si>
    <t>G-PC-B-3-1</t>
  </si>
  <si>
    <t>Team/Application:</t>
  </si>
  <si>
    <t xml:space="preserve">Team Lead: </t>
  </si>
  <si>
    <t>Stream</t>
  </si>
  <si>
    <t>Level</t>
  </si>
  <si>
    <t>Phase I</t>
  </si>
  <si>
    <t>Phase II</t>
  </si>
  <si>
    <t>Phase III</t>
  </si>
  <si>
    <t>Phase IV</t>
  </si>
  <si>
    <t>Team Lead:</t>
  </si>
  <si>
    <t>Yes, most or all of the content</t>
  </si>
  <si>
    <t>Yes, most or all of them</t>
  </si>
  <si>
    <t>Yes, for most or all of the applications</t>
  </si>
  <si>
    <t>Yes, at least annually</t>
  </si>
  <si>
    <t>Yes, most or all of the time</t>
  </si>
  <si>
    <t>Yes, for some of the training</t>
  </si>
  <si>
    <t>Yes, for most or all of the policies and standards</t>
  </si>
  <si>
    <t>Yes, for most or all of the components</t>
  </si>
  <si>
    <t>Yes, for most or all of our data</t>
  </si>
  <si>
    <t>Yes, for some incident types</t>
  </si>
  <si>
    <t>Yes, for at least half of the incident types</t>
  </si>
  <si>
    <t>Yes, for most or all of the incident types</t>
  </si>
  <si>
    <t>Yes, for most or all of the incidents</t>
  </si>
  <si>
    <t>Yes, for most or all of the assets</t>
  </si>
  <si>
    <t>Yes, for most or all of the technology domains</t>
  </si>
  <si>
    <t>System Decomissioning / Legacy Management</t>
  </si>
  <si>
    <t>Are deployment processes automated and employing security checks?</t>
  </si>
  <si>
    <t>Do you harden configurations for key components of your technology stacks?</t>
  </si>
  <si>
    <t>Do you have hardening baselines for your components?</t>
  </si>
  <si>
    <t>Do you limit access to application secrets according to the least privilege principle?</t>
  </si>
  <si>
    <t>Policy &amp; Standards</t>
  </si>
  <si>
    <t>Do you use centralized and quantified application risk profiles to evaluate business risk?</t>
  </si>
  <si>
    <t>Do you improve your security assurance program upon standardized metrics?</t>
  </si>
  <si>
    <t>Is the build process fully automated?</t>
  </si>
  <si>
    <t>Do you handle 3rd party dependency risk by a formal process?</t>
  </si>
  <si>
    <t>Do you classify applications according to business risk based on a simple and predefined set of questions?</t>
  </si>
  <si>
    <t>Do you use basic metrics about recorded security defects to carry out quick win improvement activities?</t>
  </si>
  <si>
    <t>Is your full build process formally described?</t>
  </si>
  <si>
    <t>Do you have solid knowledge about dependencies you're relying on?</t>
  </si>
  <si>
    <t>Is training customized for individual roles such as developers, testers, or security champions?</t>
  </si>
  <si>
    <t>Have you implemented a Learning Management System or equivalent to track employee training and certification processes?</t>
  </si>
  <si>
    <t>Have you identified a Security Champion for each development team?</t>
  </si>
  <si>
    <t>Yes, we consult the plan often, and it is aligned with our application security strategy</t>
  </si>
  <si>
    <t>Do you regularly evaluate the lifecycle state and support status of every software asset and underlying infrastructure component, and estimate their end of life?</t>
  </si>
  <si>
    <t>V-RT-A-3-1</t>
  </si>
  <si>
    <t>V-RT-B-1-1</t>
  </si>
  <si>
    <t>V-RT-B-3-1</t>
  </si>
  <si>
    <t>Do you use a standard requirements framework to streamline the elicitation of security requirements?</t>
  </si>
  <si>
    <t>V-RT-A-1-1</t>
  </si>
  <si>
    <t>Do you follow a documented process for incident detection?</t>
  </si>
  <si>
    <t>V-RT-B-2-1</t>
  </si>
  <si>
    <t>Do you follow an established process for updating components of your technology stacks?</t>
  </si>
  <si>
    <t>V-RT-A-2-1</t>
  </si>
  <si>
    <t>Do you analyze log data for security incidents periodically?</t>
  </si>
  <si>
    <t>Do you respond to detected incidents?</t>
  </si>
  <si>
    <t>Do you regularly report on adherence to external compliance obligations and use that information to guide efforts to close compliance gaps?</t>
  </si>
  <si>
    <t>Do you have and apply a common set of policies and standards throughout your organization?</t>
  </si>
  <si>
    <t>Do you enforce the use of recommended technologies within the organization?</t>
  </si>
  <si>
    <t>Do you update the Application Security strategy and roadmap based on application security metrics and KPIs?</t>
  </si>
  <si>
    <t>Do you use a set of metrics to measure the effectiveness and efficiency of the application security program across applications?</t>
  </si>
  <si>
    <t>Do you evaluate the security quality of important technologies used for development?</t>
  </si>
  <si>
    <t>Do you have a standard set of security requirements and verification procedures addressing the organization's external compliance obligations?</t>
  </si>
  <si>
    <t>Do you publish the organization's policies as test scripts or run-books for easy interpretation by development teams?</t>
  </si>
  <si>
    <t>Do you have a strategic plan for application security and use it to make decisions?</t>
  </si>
  <si>
    <t>Do you have a list of recommended technologies for the organization?</t>
  </si>
  <si>
    <t>Your end of life management process is agreed upon
You inform customers and user groups of product timelines to prevent disruption of service or support
You review the process at least annually</t>
  </si>
  <si>
    <t>You perform conformity checks regularly, preferably using automation
You store conformity check results in an accessible location
You follow an established process to address reported non-conformities
You review each baseline at least annually, and update it when required</t>
  </si>
  <si>
    <t>The vendor has a secure SDLC that includes secure build, secure deployment, defect management, and incident management that align with those used in your organization
You verify the solution meets quality and security objectives before every major release
When standard verification processes are not available, you use compensating controls such as software composition analysis and independent penetration testing</t>
  </si>
  <si>
    <t>Requirements-driven Testing</t>
  </si>
  <si>
    <t>You know the data elements processed and stored by each application
You know the type and sensitivity level of each identified data element
You have controls to prevent propagation of unsanitized sensitive data from production to lower environments</t>
  </si>
  <si>
    <t>You have an up-to-date list of components, including version information
You regularly review public sources for vulnerabilities related to your components</t>
  </si>
  <si>
    <t>You update the list with components and versions
You identify and update missing updates according to existing SLA
You review and update the process based on feedback from the people who perform patching</t>
  </si>
  <si>
    <t>You have automated monitoring to detect attempted or actual violations of the Data Protection Policy
You have tools for data loss prevention, access control and tracking, or anomalous behavior detection
You periodically audit the operation of automated mechanisms, including backups and record deletions</t>
  </si>
  <si>
    <t>Stress tests target specific application resources (e.g. memory exhaustion by saving large amounts of data to a user session)
You design tests around relevant personas with well-defined capabilities (knowledge, resources)
You feed the results back to the Design practices</t>
  </si>
  <si>
    <t>A security requirements framework is available for project teams
The framework is categorized by common requirements and standards-based requirements
The framework gives clear guidance on the quality of requirements and how to describe them
The framework is adaptable to specific business requirements</t>
  </si>
  <si>
    <t>You consider including specific security requirements, activities, and processes when creating third-party agreements
A vendor questionnaire is available and used to assess the strengths and weaknesses of your suppliers</t>
  </si>
  <si>
    <t>You do not use unsupported applications or dependencies
You manage customer/user migration from older versions for each product and customer/user group</t>
  </si>
  <si>
    <t>You have identified the key components in each technology stack used
You have an established configuration standard for each key component</t>
  </si>
  <si>
    <t>The process has a dedicated owner
You store process documentation in an accessible location
The process considers an escalation path for further analysis
You train employees responsible for incident detection in this process
You have a checklist of potential attacks to simplify incident detection</t>
  </si>
  <si>
    <t>The SSCE has a charter defining its role in the organization
Development teams review all significant architectural changes with the SSCE
The SSCE publishes SDLC standards and guidelines related to Application Security
Product Champions are responsible for promoting the use of specific security tools</t>
  </si>
  <si>
    <t>You have an agreed upon incident classification
The process considers Root Case Analysis for high severity incidents
Employees responsible for incident response are trained in this process
Forensic analysis tooling is available</t>
  </si>
  <si>
    <t>Training includes all topics from maturity level 1, and adds more specific tools, techniques, and demonstrations
Training is mandatory for all employees and contractors
Training includes input from in-house SMEs and trainees
Training includes demonstrations of tools and techniques developed in-house
You use feedback to enhance and make future training more relevant</t>
  </si>
  <si>
    <t>The data catalog is stored in an accessible location
You know which data elements are subject to specific regulation
You have controls for protecting and preserving data throughout its lifetime
You have retention requirements for data, and you destroy backups in a timely manner after the relevant retention period ends</t>
  </si>
  <si>
    <t>Important business functionality has corresponding abuse cases
You build abuse stories around relevant personas with well-defined motivations and characteristics
You capture identified weaknesses as security requirements</t>
  </si>
  <si>
    <t>The process includes vendor information for third-party patches
The process considers external sources to gather information about zero day attacks, and includes appropriate risk mitigation steps
The process includes guidance for prioritizing component updates</t>
  </si>
  <si>
    <t>You evaluate the preventive, detective, and response capabilities of security controls
You evaluate the strategy alignment, appropriate support, and scalability of security controls
You evaluate the effectiveness at least yearly
You log identified shortcomings as defects</t>
  </si>
  <si>
    <t>You have enough information to run the deployment processes
Your deployment documentation up to date
Your deployment documentation is accessible to relevant stakeholders
You ensure that only defined qualified personnel can trigger a deployment
You harden the tools that are used within the deployment process</t>
  </si>
  <si>
    <t>You document the status of support for all released versions of your products, in an accessible location
The process includes replacement or upgrade of third-party applications, or application dependencies, that have reached end of life
Operating environments do not contain orphaned accounts, firewall rules, or other configuration artifacts</t>
  </si>
  <si>
    <t>You have assigned an owner for each baseline
The owner keeps their assigned baselines up to date
You store baselines in an accessible location
You train employees responsible for configurations in these baselines</t>
  </si>
  <si>
    <t>You store production secrets protected in a secured location
Developers do not have access to production secrets
Production secrets are not available in non-production environments</t>
  </si>
  <si>
    <t>A Learning Management System (LMS) is used to track trainings and certifications
Training is based on internal standards, policies, and procedures
You use certification programs or attendance records to determine access to development systems and resources</t>
  </si>
  <si>
    <t>The team performs Root Cause Analysis for all security incidents unless there is a specific reason not to do so
You review and update the response process at least annually</t>
  </si>
  <si>
    <t>You have a contact point for the creation of security incidents
You analyze data in accordance with the log data retention periods
The frequency of this analysis is aligned with the criticality of your applications</t>
  </si>
  <si>
    <t>You perform reviews at least annually
You update the checklist of potential attacks with external and internal data</t>
  </si>
  <si>
    <t>You have a defined person or role for incident handling
You document security incidents</t>
  </si>
  <si>
    <t>Training is repeatable, consistent, and available to anyone involved with software development lifecycle
Training includes the latest OWASP Top 10 if appropriate and includes concepts such as Least Privilege, Defense-in-Depth, Fail Secure (Safe), Complete Mediation, Session Management, Open Design, and Psychological Acceptability
Training requires a sign-off or an acknowledgement from attendees
You have updated the training in the last 12 months
Training is required during employees' onboarding process</t>
  </si>
  <si>
    <t>You have procedures (automated, if possible) to regularly generate compliance reports
You deliver compliance reports to all relevant stakeholders
Stakeholders use the reported compliance status information to identify areas for improvement</t>
  </si>
  <si>
    <t>The application risk profile is in line with the organizational risk standard
The application risk profile covers impact to security and privacy
You validate the quality of the risk profile manually and/or automatically
The application risk profiles are stored in a central inventory</t>
  </si>
  <si>
    <t>You have identified all sources of external compliance obligations
You have captured and reconciled compliance obligations from all sources</t>
  </si>
  <si>
    <t>Defect Tracking</t>
  </si>
  <si>
    <t>You have established, well-defined compliance metrics
You measure and report on applications' compliance metrics regularly
Stakeholders use the reported compliance status information to identify compliance gaps and prioritize gap remediation efforts</t>
  </si>
  <si>
    <t>You have adapted existing standards appropriate for the organization’s industry to account for domain-specific considerations
Your standards are aligned with your policies and incorporate technology-specific implementation guidance</t>
  </si>
  <si>
    <t>Metrics and Feedback</t>
  </si>
  <si>
    <t>You capture the risk appetite of your organization's executive leadership
The organization's leadership vet and approve the set of risks
You identify the main business and technical threats to your assets and data
You document risks and store them in an accessible location</t>
  </si>
  <si>
    <t>You have an agreed upon checklist of security principles
You store your checklist in an accessible location
Relevant stakeholders understand security principles</t>
  </si>
  <si>
    <t>The build process itself doesn't require any human interaction
Your build tools are hardened as per best practice and vendor guidance
You encrypt the secrets required by the build tools and control access based on the principle of least privilege</t>
  </si>
  <si>
    <t>You monitor applications regularly for the correct use of the recommended technologies
You solve violations against the list accoranding to organizational policies
You take action if the number of violations falls outside the yearly objectives</t>
  </si>
  <si>
    <t>You review KPIs at least yearly for their efficiency and effectiveness
KPIs and application security metrics trigger most of the changes to the application security strategy</t>
  </si>
  <si>
    <t>You document each metric, including a description of the sources, measurement coverage, and guidance on how to use it to explain application security trends
Metrics include measures of efforts, results, and the environment measurement categories
Most of the metrics are frequently measured, easy or inexpensive to gather, and expressed as a cardinal number or a percentage
Application security and development teams publish metrics</t>
  </si>
  <si>
    <t>You have a list of the most important technologies used in or in support of each application
You identify and track technological risks
You ensure the risks to these technologies are in line with the organizational baseline</t>
  </si>
  <si>
    <t>You have one or more approved reference architectures documented and available to stakeholders
You improve the reference architectures continuously based on insights and best practices
You provide a set of components, libraries, and tools to implement each reference architecture</t>
  </si>
  <si>
    <t>You review and update the plan in response to significant changes in the business environment, the organization, or its risk appetite
Plan update steps include reviewing the plan with all the stakeholders and updating the business drivers and strategies
You adjust the plan and roadmap based on lessons learned from completed roadmap activities
You publish progress information on roadmap activities, making sure they are available to all stakeholders</t>
  </si>
  <si>
    <t>You map each external compliance obligation to a well-defined set of application requirements
You define verification procedures, including automated tests, to verify compliance with compliance-related requirements</t>
  </si>
  <si>
    <t>You create verification checklists and test scripts where applicable, aligned with the policy's requirements and the implementation guidance in the associated standards
You create versions adapted to each development methodology and technology the organization uses</t>
  </si>
  <si>
    <t>The organizational risk standard considers historical feedback to improve the evaluation method
Significant changes in the application or business context trigger a review of the relevant risk profiles</t>
  </si>
  <si>
    <t>You have enough information to recreate the build processes
Your build documentation up to date
Your build documentation is stored in an accessible location
Produced artifact checksums are created during build to support later verification
You harden the tools that are used within the build process</t>
  </si>
  <si>
    <t>You have a documented list of reusable security services, available to relevant stakeholders
You have reviewed the baseline security posture for each selected service
Your designers are trained to integrate each selected service following available guidance</t>
  </si>
  <si>
    <t>The plan reflects the organization's business priorities and risk appetite
The plan includes measurable milestones and a budget
The plan is consistent with the organization's business drivers and risks
The plan lays out a roadmap for strategic and tactical initiatives
You have buy-in from stakeholders, including development teams</t>
  </si>
  <si>
    <t>The list is based on technologies used in the software portfolio
Lead architects and developers review and approve the list
You share the list across the organization
You review and update the list at least yearly</t>
  </si>
  <si>
    <t>You defined KPIs after gathering enough information to establish realistic objectives
You developed KPIs with the buy-in from the leadership and teams responsible for application security
KPIs are available to the application teams and include acceptability thresholds and guidance in case teams need to take action
Success of the application security program is clearly visible based on defined KPIs</t>
  </si>
  <si>
    <t xml:space="preserve">OWASP Software Assurance Maturity Model (SAMM) </t>
  </si>
  <si>
    <t>Our mission is to provide an effective and measurable way for all types of organizations to analyze and improve their software security posture. We want to raise awareness and educate organizations on how to design, develop, and deploy secure software through our self-assessment model.</t>
  </si>
  <si>
    <t>Yan Kravchenko</t>
  </si>
  <si>
    <t>https://owaspsamm.org/</t>
  </si>
  <si>
    <t>SAMM is licensed under the Creative Commons Attribution-Share Alike 4.0 License</t>
  </si>
  <si>
    <t>Creative Commons Attribution-ShareAlike 4.0 License</t>
  </si>
  <si>
    <t>Toolbox for v2.0</t>
  </si>
  <si>
    <t>2.0</t>
  </si>
  <si>
    <t>The SAMM project team</t>
  </si>
  <si>
    <t>Requirements Testing</t>
  </si>
  <si>
    <t>Yes, some content</t>
  </si>
  <si>
    <t>Yes, for some of the metrics</t>
  </si>
  <si>
    <t>Yes, for at least half of the metrics</t>
  </si>
  <si>
    <t>Yes, for most or all of the metrics</t>
  </si>
  <si>
    <t>Yes, for some obligations</t>
  </si>
  <si>
    <t>Yes, for at least half of the obligations</t>
  </si>
  <si>
    <t>Yes, for most or all of the obligations</t>
  </si>
  <si>
    <t>Yes, but reporting is ad-hoc</t>
  </si>
  <si>
    <t>Yes, we report at regular times</t>
  </si>
  <si>
    <t>Yes, we report at least annually</t>
  </si>
  <si>
    <t>Yes, for at least half of the training</t>
  </si>
  <si>
    <t>Yes, for most or all of the training</t>
  </si>
  <si>
    <t>Yes, we started implementing it</t>
  </si>
  <si>
    <t>Yes, for part of the organization</t>
  </si>
  <si>
    <t>Yes, for the entire organization</t>
  </si>
  <si>
    <t>Yes, we review it at regular times</t>
  </si>
  <si>
    <t>Yes, for some incidents</t>
  </si>
  <si>
    <t>Yes, but we improve it ad-hoc</t>
  </si>
  <si>
    <t>Yes, we we improve it at regular times</t>
  </si>
  <si>
    <t>Yes, we improve it at least annually</t>
  </si>
  <si>
    <t>Yes, for some teams</t>
  </si>
  <si>
    <t>Yes, for at least half of the teams</t>
  </si>
  <si>
    <t>Yes, for most or all of the teams</t>
  </si>
  <si>
    <t>Yes, some of it</t>
  </si>
  <si>
    <t>Yes, at least half of it</t>
  </si>
  <si>
    <t>Yes, most or all of it</t>
  </si>
  <si>
    <t>Yes, it covers general risks</t>
  </si>
  <si>
    <t>Yes, it covers organization-specific risks</t>
  </si>
  <si>
    <t>Yes, it covers risks and opportunities</t>
  </si>
  <si>
    <t>Do you monitor and enforce conformity with hardening baselines?</t>
  </si>
  <si>
    <t>Management and business stakeholders track and review test results throughout the development cycle
You merge test results into a central dashboard and feed them into defect management</t>
  </si>
  <si>
    <t>You consistently write tests for all identified bugs (possibly exceeding a pre-defined severity threshhold)
You collect security tests in a test suite that is part of the existing unit testing framework</t>
  </si>
  <si>
    <t>Deployment processes are automated on all stages
Deployment includes automated security testing procedures
You alert responsible staff to identified vulnerabilities
You have logs available for your past deployments for a defined period of time</t>
  </si>
  <si>
    <t>Do you test applications using randomization or fuzzing techniques?</t>
  </si>
  <si>
    <t>Testing covers most or all of the application's main input parameters
You record and inspect all application crashes for security impact on a best-effort basis</t>
  </si>
  <si>
    <t>Teams derive security requirements from functional requirements and customer or organization concerns
Security requirements are specific, measurable, and reasonable
Security requirements are in line with the organizational baseline</t>
  </si>
  <si>
    <t>Criteria exist to help the reviewer focus on high-risk components
Qualified personnel conduct reviews following documented guidelines
You address findings in accordance with the organization's defect management policy</t>
  </si>
  <si>
    <t>Architecture Mitigation</t>
  </si>
  <si>
    <t>Do you regularly evaluate the threats to your architecture?</t>
  </si>
  <si>
    <t>You systematically review each threat identified in the Threat Assessment
Trained or experienced people lead review exercise
You identify mitigating design-level features for each identified threat
You log unhandled threats as defects</t>
  </si>
  <si>
    <t>You use results from other security activities to improve integrated security testing during development
You review test results and incorporate them into security awareness training and security testing playbooks
Stakeholders review the test results and handle them in accordance with the organization's risk management</t>
  </si>
  <si>
    <t>Do you inject production secrets into configuration files during deployment?</t>
  </si>
  <si>
    <t>Source code files no longer contain active application secrets
Under normal circumstances, no humans access secrets during deployment procedures
You log and alert to any abnormal access to secrets</t>
  </si>
  <si>
    <t>You dynamically generate inputs for security tests using automated tools
You choose the security testing tools to fit the organization's architecture and technology stack, and balance depth and accuracy of inspection with usability of findings to the organization</t>
  </si>
  <si>
    <t>Security testing at least verifies the implementation of authentication, access control, input validation, encoding and escaping data, and encryption controls
Security testing executes whenever the application changes its use of the controls</t>
  </si>
  <si>
    <t>Do you regularly review the security mechanisms of your architecture?</t>
  </si>
  <si>
    <t>You review compliance with internal and external requirements
You systematically review each interface in the system
You use a formalized review method and structured validation
You log missing security mechanisms as defects</t>
  </si>
  <si>
    <t>Do you use a repeatable process for incident handling?</t>
  </si>
  <si>
    <t>Do you practice proper lifecycle management for application secrets?</t>
  </si>
  <si>
    <t>You generate and synchronize secrets using a vetted solution
Secrets are different between different application instances
Secrets are regularly updated</t>
  </si>
  <si>
    <t>Do you review the application architecture for mitigations of typical threats on an ad-hoc basis?</t>
  </si>
  <si>
    <t>You have an agreed upon model of the overall software architecture
Security savvy staff conduct the review
You consider different types of threats, including insider and data-related one</t>
  </si>
  <si>
    <t>Do you define, structure, and include prioritization in the artifacts of the security requirements gathering process?</t>
  </si>
  <si>
    <t>Security requirements take into consideration domain specific knowledge when applying policies and guidance to product development
Domain experts are involved in the requirements definition process
You have an agreed upon structured notation for security requirements
Development teams have a security champion dedicated to reviewing security requirements and outcomes</t>
  </si>
  <si>
    <t>Penetration testing uses application-specific security test cases to evaluate security
Penetration testing looks for both technical and logical issues in the application
Stakeholders review the test results and handle them in accordance with the organization's risk management
Qualified personnnel performs penetration testing</t>
  </si>
  <si>
    <t>You prevent or roll back deployment if you detect an integrity breach
The verification is done against signatures created during the build time
If checking of signatures is not possible (e.g. externally build software), you introduce compensating measures</t>
  </si>
  <si>
    <t>Do you review the application architecture for key security objectives on an ad-hoc basis?</t>
  </si>
  <si>
    <t>You have an agreed upon model of the overall software architecture
You include components, interfaces, and integrations in the architecture model
You verify the correct provision of general security mechanisms
You log missing security controls as defects</t>
  </si>
  <si>
    <t>Do you customize the automated security tools to your applications and technology stacks?</t>
  </si>
  <si>
    <t>You tune and select tool features which match your application or technology stack
You minimize false positives by silencing or automatically filter irrelevant warnings or low probability findings
You minimize false negatives by leverage tool extensions or DSLs to customize tools for your application or organizational standards</t>
  </si>
  <si>
    <t>Do you consistently write and execute test scripts to verify the functionality of security requirements?</t>
  </si>
  <si>
    <t>You tailor tests to each application and assert expected security functionality
You capture test results as a pass or fail condition
Tests use a standardized framework or DSL</t>
  </si>
  <si>
    <t>Do vendors meet the security responsibilities and quality measures of service level agreements defined by the organization?</t>
  </si>
  <si>
    <t>You discuss security requirements with the vendor when creating vendor agreements
Vendor agreements provide specific guidance on security defect remediation within an agreed upon timeframe
The organization has a templated agreement of responsibilities and service levels for key vendor security processes
You measure key performance indicators</t>
  </si>
  <si>
    <t>Do you regularly update your reference architectures based on architecture assessment findings?</t>
  </si>
  <si>
    <t>You assess your architectures in a standardized, documented manner
You use recurring findings to trigger a review of reference architectures
You independently review the quality of the architecture assessments on an ad-hoc basis
You use reference architecture updates to trigger reviews of relevant shared solutions, in a risk-based manner</t>
  </si>
  <si>
    <t>Do you have a dedicated incident response team available?</t>
  </si>
  <si>
    <t>Security Champions receive appropriate training
Application Security and Development teams receive periodic briefings from Security Champions on the overall status of security initiatives and fixes
The Security Champion reviews the results of external testing before adding to the application backlog</t>
  </si>
  <si>
    <t>The organization promotes use of a single portal across different teams and business units
The portal is used for timely information such as notification of security incidents, tool updates, architectural standard changes, and other related announcements
The portal is widely recognized by developers and architects as a centralized repository of the organization-specific application security information
All content is considered persistent and searchable
The portal provides access to application-specific security metrics</t>
  </si>
  <si>
    <t>Do you keep an overview of the state of security defects across the organization?</t>
  </si>
  <si>
    <t>A single severity scheme is applied to all defects across the organization
The scheme includes SLAs for fixing particular severity classes
You regularly report compliance to SLAs</t>
  </si>
  <si>
    <t>Do you use a standard methodology, aligned on your application risk levels?</t>
  </si>
  <si>
    <t>You train your architects, security champions, and other stakeholders on how to do practical threat modeling
Your threat modeling methodology includes at least diagramming, threat identification, design flaw mitigations, and how to validate your threat model artifacts
Changes in the application or business context trigger a review of the relevant threat models
You capture the threat modeling artifacts with tools that are used by your application teams</t>
  </si>
  <si>
    <t>You document metrics for defect classification and categorization and keep them up to date
Executive management regularly receives information about defects and has acted upon it in the last year
You regularly share technical details about security defects among teams</t>
  </si>
  <si>
    <t>Do you understand the enterprise-wide risk appetite for your applications ?</t>
  </si>
  <si>
    <t>You keep a list of approved dependencies that meet predefined criteria
You automatically evaluate dependencies for new CVEs and alert responsible staff
You automatically detect and alert to license changes with possible impact on legal application usage
You track and alert to usage of unmaintained dependencies
You reliably detect and remove unnecessary dependencies from the software</t>
  </si>
  <si>
    <t>An agreed-upon risk classification exists
The application team understands the risk classification
The risk classification covers critical aspects of business risks the organization is facing
The organization has an inventory for the applications in scope</t>
  </si>
  <si>
    <t>Do you track all known security defects in accessible locations?</t>
  </si>
  <si>
    <t>You can easily get an overview of all security defects impacting one application
You have at least a rudimentary classification scheme in place
The process includes a strategy for handling false positives and duplicate entries
The defect management system covers defects from various sources and activities</t>
  </si>
  <si>
    <t>Do you regularly evaluate the effectiveness of your security metrics so that its input helps drive your security strategy?</t>
  </si>
  <si>
    <t>You have analyzed the effectivenss of the security metrics at least once in the last year
Where possible, you verify the correctness of the data automatically
The metrics is aggregated with other sources like threat intelligence or incident management
You derived at least one strategic activity from the metrics in the last year</t>
  </si>
  <si>
    <t>Do you regularly review and update the threat modeling methodology for your applications?</t>
  </si>
  <si>
    <t>The threat model methodology considers historical feedback for improvement
You regularly (e.g., yearly) review the existing threat models to verify that no new threats are relevant for your applications
You automate parts of your threat modeling process with threat modeling tools</t>
  </si>
  <si>
    <t>Do you identify and manage architectural design flaws with threat modeling?</t>
  </si>
  <si>
    <t>You perform threat modeling for high-risk applications
You use simple threat checklists, such as STRIDE
You persist the outcome of a threat model for later use</t>
  </si>
  <si>
    <t>You analyzed your recorded metrics at least once in the last year
At least basic information about this initiative is recorded and available
You have identified and carried out at least one quick win activity based on the data</t>
  </si>
  <si>
    <t>Do you enforce SLAs for fixing security defects?</t>
  </si>
  <si>
    <t>You automatically alert of SLA breaches and transfer respective defects to the risk management process
You integrate relevant tooling (e.g. monitoring, build, deployment) with the defect management system</t>
  </si>
  <si>
    <t>Do you use shared security services during design?</t>
  </si>
  <si>
    <t>Your build system is connected to a system for tracking 3rd party dependency risk, causing build to fail unless the vulnerability is evaluated to be a false positive or the risk is explicitly accepted
You scan your dependencies using a static analysis tool
You report findings back to dependency authors using an established responsible disclosure process
Using a new dependency not evaluated for security risks causes the build to fail</t>
  </si>
  <si>
    <t>You have a current bill of materials (BOM) for every application
You can quickly find out which applications are affected by a particular CVE
You have analyzed, addressed, and documented findings from dependencies at least once in the last three months</t>
  </si>
  <si>
    <t>Do you enforce automated security checks in your build processes?</t>
  </si>
  <si>
    <t>Builds fail if the application doesn't meet a predefined security baseline
You have a maximum accepted severity for vulnerabilties
You log warnings and failures in a centralized system
You select and configure tools to evaluate each application against its security requirements at least once a year</t>
  </si>
  <si>
    <t>Team Security Master</t>
  </si>
  <si>
    <t>very easy</t>
  </si>
  <si>
    <t>easy</t>
  </si>
  <si>
    <t>difficult</t>
  </si>
  <si>
    <t>very difficult</t>
  </si>
  <si>
    <t>How confident are you with your answers to the questions in this stream?</t>
  </si>
  <si>
    <t>How easy was it for you to answer the questions in this stream?</t>
  </si>
  <si>
    <t>very confident</t>
  </si>
  <si>
    <t>confident</t>
  </si>
  <si>
    <t>unconfident</t>
  </si>
  <si>
    <t>very unconfident</t>
  </si>
  <si>
    <t>Comments</t>
  </si>
  <si>
    <t>Name:</t>
  </si>
  <si>
    <t>Start Time (hh:mm):</t>
  </si>
  <si>
    <t>End Time (hh:mm):</t>
  </si>
  <si>
    <t>If you are not familiar with a Stream at all, you may choose to leave the entire Stream blank.</t>
  </si>
  <si>
    <t>Security Masters / 
Team Security Masters</t>
  </si>
  <si>
    <t>Add your name (cell D14) and start time (cell I14).</t>
  </si>
  <si>
    <t>Add end time and the bottom (cell I232).</t>
  </si>
  <si>
    <t>If you answer at least one question in a Stream (column F), also answer how easy it was for you to answer (column L) and how confident you were to answer it (column M). If you are not able to answer a question in a Stream, leave it blank.</t>
  </si>
  <si>
    <t>I do not know if this is done within the security team.</t>
  </si>
  <si>
    <t>I am not aware of KPIs</t>
  </si>
  <si>
    <t>Wedo have security assesments for PA-DSS, etc. but do not know about KPIs and review of these might be in security team</t>
  </si>
  <si>
    <t>We have security design rules and organization was resently assesed on process for e.g. ISO 9001</t>
  </si>
  <si>
    <t>Not part of SWT resp.</t>
  </si>
  <si>
    <t>I do not know what test that are done for compliance</t>
  </si>
  <si>
    <t>SWT do not report this</t>
  </si>
  <si>
    <t>I do not know how the security training is followed up and if it is done on 12 months bases.</t>
  </si>
  <si>
    <t xml:space="preserve">I cannot anser for other roles, we have had traing for SWT. </t>
  </si>
  <si>
    <t xml:space="preserve">Maybe line can naswer this. SWT have not done this learning managemnt. </t>
  </si>
  <si>
    <t xml:space="preserve">The process state that we shal lhave security masters, but I can not answer if this is assigned and how the training is followed up. </t>
  </si>
  <si>
    <t>I would say yes. All requirments whne started have security representative in the Initiative analysis. There is also a risk assessment before F3.</t>
  </si>
  <si>
    <t>There are processes for e.g. vulnerability notifications to applications.</t>
  </si>
  <si>
    <t>I think all are classifed e.g. towrds GDPS.There is a standard clasification that is used in risk assesments.</t>
  </si>
  <si>
    <t>I do not know</t>
  </si>
  <si>
    <t>I think this is part of the risk assesment.</t>
  </si>
  <si>
    <t>I do not know not in SWT.</t>
  </si>
  <si>
    <t>We take the security design guide lines in account when defiing scope of new and updated requirment.</t>
  </si>
  <si>
    <t>Do not know how to answer. Security is not a separate requirment.</t>
  </si>
  <si>
    <t xml:space="preserve">Do not know  </t>
  </si>
  <si>
    <t>I do not know details about sourcing process.</t>
  </si>
  <si>
    <t>I do not know who e.g. Oracle was validated and how they meet with this validation</t>
  </si>
  <si>
    <t xml:space="preserve">We do have security controles in the process and it is docuemnted in jira / confluence a part of F process. </t>
  </si>
  <si>
    <t>Can not answer how the DT works</t>
  </si>
  <si>
    <t>Do not understnad the question.</t>
  </si>
  <si>
    <t>We have a process for introducing new 3PPs.</t>
  </si>
  <si>
    <t>Not sure about technoloty, but we have for infroducing 3PPs.</t>
  </si>
  <si>
    <t>Yes and we are improving the 3pp scan to improve the verification of what is included in the deliverable.</t>
  </si>
  <si>
    <t>WE do not have secret in source code</t>
  </si>
  <si>
    <t>It is configurabel in most cases.</t>
  </si>
  <si>
    <t>I do not know how this is tracked</t>
  </si>
  <si>
    <t>We have SLA with customers for ulnerability</t>
  </si>
  <si>
    <t>For 3pp ulnerabilites we do.</t>
  </si>
  <si>
    <t>We do not do this in SWT</t>
  </si>
  <si>
    <t>Not in SWT</t>
  </si>
  <si>
    <t>Not as part of SWT</t>
  </si>
  <si>
    <t>Not as part of SWT, we are not doing ad-hoc review.</t>
  </si>
  <si>
    <t>We have PA-DSS assessment and process for each requirement</t>
  </si>
  <si>
    <t>I am not awer of ad-hoc review</t>
  </si>
  <si>
    <t>Yes, finding fomr e.g. PA-DSS would be mitigated.</t>
  </si>
  <si>
    <t>Can not answer on specific test cases</t>
  </si>
  <si>
    <t>Not part of SWT</t>
  </si>
  <si>
    <t>Yes, but I can not answer on specific test cases as part of SWT</t>
  </si>
  <si>
    <t>Question for design</t>
  </si>
  <si>
    <t xml:space="preserve">Cannot answer on specific process </t>
  </si>
  <si>
    <t>Not part of SWT responsibility</t>
  </si>
  <si>
    <t>What is a key component in this regards?</t>
  </si>
  <si>
    <t>We do patch all 3pp sw for vulnerabilities</t>
  </si>
  <si>
    <t xml:space="preserve">We have some open source that are not maintained. </t>
  </si>
  <si>
    <t>Role</t>
  </si>
  <si>
    <t>architect</t>
  </si>
  <si>
    <t>8941cb9ef8174579ce6aade045499fd0</t>
  </si>
  <si>
    <t>If you wish to provide additional informaiton for a question, please use the Comments column (column I) for it. Please also take Additional Infos for COMPANY (column K) into account.</t>
  </si>
  <si>
    <t>COMPANY</t>
  </si>
  <si>
    <t>Additional Infos for COMPANY</t>
  </si>
  <si>
    <t xml:space="preserve">Do not undersant what risk appertite is. In COMPANY and EWP we do have high focus on securtiy with both corprate and organisation processes. </t>
  </si>
  <si>
    <t>Security Masters and Team Security Masters (Security Champion is a specific role on COMPANY higher up in our organisation)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</si>
</sst>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9" x14ac:knownFonts="1">
    <font>
      <sz val="10"/>
      <name val="Arial"/>
    </font>
    <font>
      <sz val="10"/>
      <color indexed="8"/>
      <name val="Arial"/>
      <family val="2"/>
    </font>
    <font>
      <b/>
      <sz val="10"/>
      <color indexed="8"/>
      <name val="Arial"/>
      <family val="2"/>
    </font>
    <font>
      <b/>
      <sz val="14"/>
      <color indexed="8"/>
      <name val="Arial"/>
      <family val="2"/>
    </font>
    <font>
      <b/>
      <sz val="10"/>
      <color indexed="9"/>
      <name val="Arial"/>
      <family val="2"/>
    </font>
    <font>
      <i/>
      <sz val="10"/>
      <color indexed="8"/>
      <name val="Arial"/>
      <family val="2"/>
    </font>
    <font>
      <sz val="14"/>
      <color indexed="8"/>
      <name val="Arial"/>
      <family val="2"/>
    </font>
    <font>
      <sz val="10"/>
      <name val="Arial"/>
      <family val="2"/>
    </font>
    <font>
      <b/>
      <sz val="11"/>
      <color indexed="8"/>
      <name val="Arial"/>
      <family val="2"/>
    </font>
    <font>
      <b/>
      <sz val="11"/>
      <name val="Arial"/>
      <family val="2"/>
    </font>
    <font>
      <b/>
      <sz val="10"/>
      <name val="Arial"/>
      <family val="2"/>
    </font>
    <font>
      <b/>
      <sz val="22"/>
      <color indexed="8"/>
      <name val="Arial"/>
      <family val="2"/>
    </font>
    <font>
      <sz val="10"/>
      <name val="Arial"/>
      <family val="2"/>
    </font>
    <font>
      <sz val="20"/>
      <name val="Trebuchet MS"/>
      <family val="2"/>
    </font>
    <font>
      <sz val="10"/>
      <name val="Trebuchet MS"/>
      <family val="2"/>
    </font>
    <font>
      <sz val="11"/>
      <name val="Trebuchet MS"/>
      <family val="2"/>
    </font>
    <font>
      <sz val="10"/>
      <color indexed="9"/>
      <name val="Trebuchet MS"/>
      <family val="2"/>
    </font>
    <font>
      <u/>
      <sz val="10"/>
      <name val="Trebuchet MS"/>
      <family val="2"/>
    </font>
    <font>
      <u/>
      <sz val="10"/>
      <color indexed="12"/>
      <name val="Arial"/>
      <family val="2"/>
    </font>
    <font>
      <sz val="20"/>
      <color indexed="9"/>
      <name val="Trebuchet MS"/>
      <family val="2"/>
    </font>
    <font>
      <b/>
      <sz val="10"/>
      <color indexed="9"/>
      <name val="Trebuchet MS"/>
      <family val="2"/>
    </font>
    <font>
      <b/>
      <u/>
      <sz val="10"/>
      <color indexed="9"/>
      <name val="Arial"/>
      <family val="2"/>
    </font>
    <font>
      <b/>
      <sz val="10"/>
      <color rgb="FF791F17"/>
      <name val="Trebuchet MS"/>
      <family val="2"/>
    </font>
    <font>
      <b/>
      <sz val="10"/>
      <color rgb="FF37793E"/>
      <name val="Trebuchet MS"/>
      <family val="2"/>
    </font>
    <font>
      <b/>
      <sz val="10"/>
      <color rgb="FFB75727"/>
      <name val="Trebuchet MS"/>
      <family val="2"/>
    </font>
    <font>
      <b/>
      <sz val="10"/>
      <color rgb="FF3290C4"/>
      <name val="Trebuchet MS"/>
      <family val="2"/>
    </font>
    <font>
      <b/>
      <sz val="10"/>
      <name val="Trebuchet MS"/>
      <family val="2"/>
    </font>
    <font>
      <u/>
      <sz val="10"/>
      <color theme="11"/>
      <name val="Arial"/>
      <family val="2"/>
    </font>
    <font>
      <b/>
      <sz val="12"/>
      <color indexed="8"/>
      <name val="Arial"/>
      <family val="2"/>
    </font>
    <font>
      <b/>
      <sz val="12"/>
      <name val="Arial"/>
      <family val="2"/>
    </font>
    <font>
      <b/>
      <sz val="10"/>
      <color theme="0"/>
      <name val="Arial"/>
      <family val="2"/>
    </font>
    <font>
      <b/>
      <sz val="18"/>
      <name val="Arial"/>
      <family val="2"/>
    </font>
    <font>
      <sz val="10"/>
      <color rgb="FF010000"/>
      <name val="Arial"/>
      <family val="2"/>
    </font>
    <font>
      <b/>
      <sz val="22"/>
      <color rgb="FF010000"/>
      <name val="Arial"/>
      <family val="2"/>
    </font>
    <font>
      <b/>
      <sz val="11"/>
      <color rgb="FF010000"/>
      <name val="Arial"/>
      <family val="2"/>
    </font>
    <font>
      <b/>
      <sz val="10"/>
      <color rgb="FFFFC221"/>
      <name val="Trebuchet MS"/>
      <family val="2"/>
    </font>
    <font>
      <sz val="10"/>
      <name val="Arial"/>
      <charset val="1"/>
    </font>
    <font>
      <b/>
      <sz val="10"/>
      <color rgb="FF010000"/>
      <name val="Arial"/>
      <family val="2"/>
    </font>
    <font>
      <sz val="10"/>
      <color theme="0"/>
      <name val="Arial"/>
      <family val="2"/>
    </font>
  </fonts>
  <fills count="30">
    <fill>
      <patternFill patternType="none"/>
    </fill>
    <fill>
      <patternFill patternType="gray125"/>
    </fill>
    <fill>
      <patternFill patternType="solid">
        <fgColor indexed="18"/>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indexed="22"/>
        <bgColor indexed="64"/>
      </patternFill>
    </fill>
    <fill>
      <patternFill patternType="solid">
        <fgColor indexed="63"/>
        <bgColor indexed="64"/>
      </patternFill>
    </fill>
    <fill>
      <patternFill patternType="solid">
        <fgColor rgb="FF3290C4"/>
        <bgColor indexed="64"/>
      </patternFill>
    </fill>
    <fill>
      <patternFill patternType="solid">
        <fgColor rgb="FF94BCDD"/>
        <bgColor indexed="64"/>
      </patternFill>
    </fill>
    <fill>
      <patternFill patternType="solid">
        <fgColor rgb="FFB75727"/>
        <bgColor indexed="64"/>
      </patternFill>
    </fill>
    <fill>
      <patternFill patternType="solid">
        <fgColor rgb="FFD59E7B"/>
        <bgColor indexed="64"/>
      </patternFill>
    </fill>
    <fill>
      <patternFill patternType="solid">
        <fgColor rgb="FF37793E"/>
        <bgColor indexed="64"/>
      </patternFill>
    </fill>
    <fill>
      <patternFill patternType="solid">
        <fgColor rgb="FF8BAA88"/>
        <bgColor indexed="64"/>
      </patternFill>
    </fill>
    <fill>
      <patternFill patternType="solid">
        <fgColor rgb="FF791F17"/>
        <bgColor indexed="64"/>
      </patternFill>
    </fill>
    <fill>
      <patternFill patternType="solid">
        <fgColor rgb="FFB07667"/>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bgColor theme="0"/>
      </patternFill>
    </fill>
    <fill>
      <patternFill patternType="solid">
        <fgColor rgb="FFD5D514"/>
        <bgColor indexed="64"/>
      </patternFill>
    </fill>
    <fill>
      <patternFill patternType="solid">
        <fgColor rgb="FF8BA988"/>
        <bgColor indexed="64"/>
      </patternFill>
    </fill>
    <fill>
      <patternFill patternType="solid">
        <fgColor rgb="FF94BCDD"/>
        <bgColor rgb="FF000000"/>
      </patternFill>
    </fill>
    <fill>
      <patternFill patternType="solid">
        <fgColor rgb="FFD9D9D9"/>
        <bgColor rgb="FF000000"/>
      </patternFill>
    </fill>
    <fill>
      <patternFill patternType="solid">
        <fgColor rgb="FFB07667"/>
        <bgColor rgb="FF000000"/>
      </patternFill>
    </fill>
    <fill>
      <patternFill patternType="solid">
        <fgColor rgb="FF8BA988"/>
        <bgColor rgb="FF000000"/>
      </patternFill>
    </fill>
    <fill>
      <patternFill patternType="solid">
        <fgColor rgb="FFD59E7B"/>
        <bgColor rgb="FF000000"/>
      </patternFill>
    </fill>
    <fill>
      <patternFill patternType="solid">
        <fgColor rgb="FFD9A619"/>
        <bgColor indexed="64"/>
      </patternFill>
    </fill>
    <fill>
      <patternFill patternType="solid">
        <fgColor rgb="FFFFC221"/>
        <bgColor indexed="64"/>
      </patternFill>
    </fill>
    <fill>
      <patternFill patternType="solid">
        <fgColor rgb="FFFFC221"/>
        <bgColor rgb="FF000000"/>
      </patternFill>
    </fill>
    <fill>
      <patternFill patternType="solid">
        <fgColor theme="0" tint="-4.9989318521683403E-2"/>
        <bgColor indexed="64"/>
      </patternFill>
    </fill>
    <fill>
      <patternFill patternType="solid">
        <fgColor theme="6" tint="0.79998168889431442"/>
        <bgColor indexed="64"/>
      </patternFill>
    </fill>
  </fills>
  <borders count="123">
    <border>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8"/>
      </right>
      <top/>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indexed="8"/>
      </bottom>
      <diagonal/>
    </border>
    <border>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thin">
        <color indexed="8"/>
      </top>
      <bottom/>
      <diagonal/>
    </border>
    <border>
      <left/>
      <right style="medium">
        <color auto="1"/>
      </right>
      <top style="thin">
        <color indexed="8"/>
      </top>
      <bottom/>
      <diagonal/>
    </border>
    <border>
      <left style="thin">
        <color auto="1"/>
      </left>
      <right/>
      <top style="thin">
        <color auto="1"/>
      </top>
      <bottom/>
      <diagonal/>
    </border>
    <border>
      <left/>
      <right style="thin">
        <color indexed="8"/>
      </right>
      <top style="thin">
        <color auto="1"/>
      </top>
      <bottom/>
      <diagonal/>
    </border>
    <border>
      <left style="thin">
        <color indexed="8"/>
      </left>
      <right style="thin">
        <color indexed="8"/>
      </right>
      <top style="thin">
        <color auto="1"/>
      </top>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indexed="8"/>
      </right>
      <top/>
      <bottom style="thin">
        <color auto="1"/>
      </bottom>
      <diagonal/>
    </border>
    <border>
      <left style="thin">
        <color indexed="8"/>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top/>
      <bottom style="thin">
        <color auto="1"/>
      </bottom>
      <diagonal/>
    </border>
    <border>
      <left/>
      <right style="thin">
        <color auto="1"/>
      </right>
      <top/>
      <bottom style="thin">
        <color auto="1"/>
      </bottom>
      <diagonal/>
    </border>
    <border>
      <left/>
      <right/>
      <top style="medium">
        <color auto="1"/>
      </top>
      <bottom style="medium">
        <color auto="1"/>
      </bottom>
      <diagonal/>
    </border>
    <border>
      <left/>
      <right/>
      <top style="medium">
        <color auto="1"/>
      </top>
      <bottom/>
      <diagonal/>
    </border>
    <border>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indexed="8"/>
      </left>
      <right style="thin">
        <color indexed="8"/>
      </right>
      <top style="thin">
        <color auto="1"/>
      </top>
      <bottom style="thin">
        <color indexed="64"/>
      </bottom>
      <diagonal/>
    </border>
    <border>
      <left/>
      <right style="thin">
        <color indexed="8"/>
      </right>
      <top style="thin">
        <color auto="1"/>
      </top>
      <bottom style="thin">
        <color indexed="64"/>
      </bottom>
      <diagonal/>
    </border>
    <border>
      <left style="thin">
        <color indexed="8"/>
      </left>
      <right style="thin">
        <color auto="1"/>
      </right>
      <top style="thin">
        <color auto="1"/>
      </top>
      <bottom style="thin">
        <color indexed="64"/>
      </bottom>
      <diagonal/>
    </border>
    <border>
      <left style="thin">
        <color indexed="8"/>
      </left>
      <right style="thin">
        <color indexed="8"/>
      </right>
      <top style="thin">
        <color indexed="8"/>
      </top>
      <bottom style="thin">
        <color indexed="64"/>
      </bottom>
      <diagonal/>
    </border>
    <border>
      <left style="thin">
        <color indexed="8"/>
      </left>
      <right/>
      <top/>
      <bottom style="thin">
        <color indexed="64"/>
      </bottom>
      <diagonal/>
    </border>
    <border>
      <left style="thin">
        <color auto="1"/>
      </left>
      <right/>
      <top style="thin">
        <color auto="1"/>
      </top>
      <bottom style="thin">
        <color indexed="64"/>
      </bottom>
      <diagonal/>
    </border>
    <border>
      <left/>
      <right style="thin">
        <color indexed="8"/>
      </right>
      <top/>
      <bottom style="thin">
        <color indexed="64"/>
      </bottom>
      <diagonal/>
    </border>
    <border>
      <left style="thin">
        <color indexed="8"/>
      </left>
      <right style="thin">
        <color indexed="8"/>
      </right>
      <top/>
      <bottom style="thin">
        <color indexed="64"/>
      </bottom>
      <diagonal/>
    </border>
    <border>
      <left style="thin">
        <color indexed="64"/>
      </left>
      <right style="thin">
        <color indexed="64"/>
      </right>
      <top style="thin">
        <color indexed="8"/>
      </top>
      <bottom style="thin">
        <color auto="1"/>
      </bottom>
      <diagonal/>
    </border>
    <border>
      <left style="thin">
        <color rgb="FF010000"/>
      </left>
      <right style="thin">
        <color rgb="FF010000"/>
      </right>
      <top style="thin">
        <color rgb="FF010000"/>
      </top>
      <bottom/>
      <diagonal/>
    </border>
    <border>
      <left style="thin">
        <color rgb="FF010000"/>
      </left>
      <right style="thin">
        <color rgb="FF010000"/>
      </right>
      <top/>
      <bottom/>
      <diagonal/>
    </border>
    <border>
      <left style="thin">
        <color rgb="FF010000"/>
      </left>
      <right style="thin">
        <color indexed="64"/>
      </right>
      <top style="thin">
        <color indexed="64"/>
      </top>
      <bottom style="thin">
        <color indexed="64"/>
      </bottom>
      <diagonal/>
    </border>
    <border>
      <left/>
      <right style="thin">
        <color rgb="FF010000"/>
      </right>
      <top style="thin">
        <color indexed="8"/>
      </top>
      <bottom/>
      <diagonal/>
    </border>
    <border>
      <left/>
      <right style="thin">
        <color rgb="FF010000"/>
      </right>
      <top/>
      <bottom style="thin">
        <color rgb="FF010000"/>
      </bottom>
      <diagonal/>
    </border>
    <border>
      <left/>
      <right style="thin">
        <color rgb="FF010000"/>
      </right>
      <top style="thin">
        <color rgb="FF010000"/>
      </top>
      <bottom/>
      <diagonal/>
    </border>
    <border>
      <left/>
      <right style="thin">
        <color rgb="FF010000"/>
      </right>
      <top/>
      <bottom style="thin">
        <color rgb="FF000000"/>
      </bottom>
      <diagonal/>
    </border>
    <border>
      <left/>
      <right style="thin">
        <color rgb="FF010000"/>
      </right>
      <top style="thin">
        <color rgb="FF000000"/>
      </top>
      <bottom/>
      <diagonal/>
    </border>
    <border>
      <left style="thin">
        <color indexed="8"/>
      </left>
      <right style="thin">
        <color indexed="64"/>
      </right>
      <top style="thin">
        <color indexed="8"/>
      </top>
      <bottom/>
      <diagonal/>
    </border>
    <border>
      <left style="thin">
        <color indexed="8"/>
      </left>
      <right style="thin">
        <color indexed="64"/>
      </right>
      <top/>
      <bottom/>
      <diagonal/>
    </border>
    <border>
      <left style="thin">
        <color indexed="8"/>
      </left>
      <right style="thin">
        <color indexed="64"/>
      </right>
      <top/>
      <bottom style="thin">
        <color auto="1"/>
      </bottom>
      <diagonal/>
    </border>
    <border>
      <left style="thin">
        <color indexed="8"/>
      </left>
      <right style="thin">
        <color indexed="64"/>
      </right>
      <top style="thin">
        <color auto="1"/>
      </top>
      <bottom/>
      <diagonal/>
    </border>
    <border>
      <left style="thin">
        <color indexed="8"/>
      </left>
      <right style="thin">
        <color indexed="64"/>
      </right>
      <top/>
      <bottom style="thin">
        <color indexed="64"/>
      </bottom>
      <diagonal/>
    </border>
    <border>
      <left style="thin">
        <color indexed="8"/>
      </left>
      <right style="thin">
        <color indexed="64"/>
      </right>
      <top/>
      <bottom style="thin">
        <color indexed="8"/>
      </bottom>
      <diagonal/>
    </border>
    <border>
      <left style="thin">
        <color indexed="64"/>
      </left>
      <right style="thin">
        <color indexed="8"/>
      </right>
      <top style="thin">
        <color indexed="8"/>
      </top>
      <bottom style="thin">
        <color indexed="64"/>
      </bottom>
      <diagonal/>
    </border>
    <border>
      <left style="thin">
        <color indexed="8"/>
      </left>
      <right style="thin">
        <color indexed="8"/>
      </right>
      <top style="thin">
        <color indexed="8"/>
      </top>
      <bottom style="thin">
        <color indexed="64"/>
      </bottom>
      <diagonal/>
    </border>
    <border>
      <left style="thin">
        <color rgb="FF010000"/>
      </left>
      <right/>
      <top/>
      <bottom/>
      <diagonal/>
    </border>
    <border>
      <left style="thin">
        <color indexed="8"/>
      </left>
      <right style="thin">
        <color indexed="8"/>
      </right>
      <top style="thin">
        <color indexed="64"/>
      </top>
      <bottom style="thin">
        <color indexed="64"/>
      </bottom>
      <diagonal/>
    </border>
    <border>
      <left style="thin">
        <color rgb="FF010000"/>
      </left>
      <right/>
      <top style="thin">
        <color rgb="FF010000"/>
      </top>
      <bottom/>
      <diagonal/>
    </border>
    <border>
      <left style="thin">
        <color indexed="64"/>
      </left>
      <right style="thin">
        <color indexed="64"/>
      </right>
      <top style="thin">
        <color indexed="8"/>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8"/>
      </right>
      <top style="thin">
        <color indexed="8"/>
      </top>
      <bottom style="thin">
        <color indexed="64"/>
      </bottom>
      <diagonal/>
    </border>
    <border>
      <left style="thin">
        <color indexed="64"/>
      </left>
      <right style="thin">
        <color indexed="64"/>
      </right>
      <top/>
      <bottom style="thin">
        <color indexed="8"/>
      </bottom>
      <diagonal/>
    </border>
    <border>
      <left/>
      <right style="thin">
        <color indexed="64"/>
      </right>
      <top style="thin">
        <color indexed="64"/>
      </top>
      <bottom style="thin">
        <color indexed="8"/>
      </bottom>
      <diagonal/>
    </border>
    <border>
      <left/>
      <right/>
      <top style="thin">
        <color indexed="64"/>
      </top>
      <bottom style="thin">
        <color indexed="8"/>
      </bottom>
      <diagonal/>
    </border>
    <border>
      <left style="thin">
        <color indexed="64"/>
      </left>
      <right/>
      <top style="thin">
        <color indexed="64"/>
      </top>
      <bottom style="thin">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auto="1"/>
      </left>
      <right/>
      <top style="thin">
        <color indexed="64"/>
      </top>
      <bottom/>
      <diagonal/>
    </border>
    <border>
      <left style="thin">
        <color auto="1"/>
      </left>
      <right/>
      <top/>
      <bottom/>
      <diagonal/>
    </border>
    <border>
      <left/>
      <right/>
      <top style="thin">
        <color indexed="64"/>
      </top>
      <bottom/>
      <diagonal/>
    </border>
    <border>
      <left style="thin">
        <color auto="1"/>
      </left>
      <right/>
      <top style="thin">
        <color auto="1"/>
      </top>
      <bottom style="medium">
        <color auto="1"/>
      </bottom>
      <diagonal/>
    </border>
    <border>
      <left style="thin">
        <color indexed="64"/>
      </left>
      <right style="medium">
        <color indexed="64"/>
      </right>
      <top style="medium">
        <color auto="1"/>
      </top>
      <bottom style="medium">
        <color indexed="64"/>
      </bottom>
      <diagonal/>
    </border>
    <border>
      <left style="thin">
        <color auto="1"/>
      </left>
      <right/>
      <top style="medium">
        <color auto="1"/>
      </top>
      <bottom style="thin">
        <color auto="1"/>
      </bottom>
      <diagonal/>
    </border>
    <border>
      <left style="thin">
        <color indexed="64"/>
      </left>
      <right style="thin">
        <color indexed="64"/>
      </right>
      <top style="thin">
        <color indexed="64"/>
      </top>
      <bottom style="thin">
        <color indexed="64"/>
      </bottom>
      <diagonal/>
    </border>
    <border>
      <left/>
      <right/>
      <top/>
      <bottom style="thin">
        <color indexed="8"/>
      </bottom>
      <diagonal/>
    </border>
    <border>
      <left style="thin">
        <color indexed="8"/>
      </left>
      <right/>
      <top style="thin">
        <color indexed="8"/>
      </top>
      <bottom style="thin">
        <color indexed="8"/>
      </bottom>
      <diagonal/>
    </border>
    <border>
      <left style="thin">
        <color rgb="FF010000"/>
      </left>
      <right/>
      <top style="thin">
        <color indexed="8"/>
      </top>
      <bottom/>
      <diagonal/>
    </border>
    <border>
      <left style="thin">
        <color indexed="8"/>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auto="1"/>
      </bottom>
      <diagonal/>
    </border>
    <border>
      <left style="thin">
        <color indexed="8"/>
      </left>
      <right style="thin">
        <color indexed="8"/>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auto="1"/>
      </top>
      <bottom style="thin">
        <color indexed="64"/>
      </bottom>
      <diagonal/>
    </border>
    <border>
      <left/>
      <right style="thin">
        <color indexed="8"/>
      </right>
      <top style="thin">
        <color indexed="64"/>
      </top>
      <bottom style="thin">
        <color indexed="64"/>
      </bottom>
      <diagonal/>
    </border>
    <border>
      <left style="thin">
        <color indexed="8"/>
      </left>
      <right style="thin">
        <color auto="1"/>
      </right>
      <top/>
      <bottom/>
      <diagonal/>
    </border>
    <border>
      <left/>
      <right style="thin">
        <color rgb="FF010000"/>
      </right>
      <top/>
      <bottom/>
      <diagonal/>
    </border>
    <border>
      <left style="thin">
        <color indexed="8"/>
      </left>
      <right style="thin">
        <color indexed="8"/>
      </right>
      <top/>
      <bottom style="thin">
        <color indexed="64"/>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8"/>
      </right>
      <top/>
      <bottom style="thin">
        <color indexed="8"/>
      </bottom>
      <diagonal/>
    </border>
    <border>
      <left style="thin">
        <color indexed="64"/>
      </left>
      <right style="thin">
        <color indexed="64"/>
      </right>
      <top/>
      <bottom style="thin">
        <color auto="1"/>
      </bottom>
      <diagonal/>
    </border>
    <border>
      <left style="thin">
        <color indexed="8"/>
      </left>
      <right style="thin">
        <color indexed="8"/>
      </right>
      <top/>
      <bottom style="thin">
        <color indexed="64"/>
      </bottom>
      <diagonal/>
    </border>
  </borders>
  <cellStyleXfs count="6">
    <xf numFmtId="0" fontId="0" fillId="0" borderId="0" applyNumberFormat="0" applyFont="0" applyFill="0" applyBorder="0" applyAlignment="0" applyProtection="0"/>
    <xf numFmtId="0" fontId="12" fillId="0" borderId="0"/>
    <xf numFmtId="9" fontId="7" fillId="0" borderId="0" applyFont="0" applyFill="0" applyBorder="0" applyAlignment="0" applyProtection="0"/>
    <xf numFmtId="0" fontId="18" fillId="0" borderId="0" applyNumberFormat="0" applyFill="0" applyBorder="0" applyAlignment="0" applyProtection="0">
      <alignment vertical="top"/>
      <protection locked="0"/>
    </xf>
    <xf numFmtId="0" fontId="27" fillId="0" borderId="0" applyNumberFormat="0" applyFill="0" applyBorder="0" applyAlignment="0" applyProtection="0"/>
    <xf numFmtId="0" fontId="7" fillId="0" borderId="0"/>
  </cellStyleXfs>
  <cellXfs count="662">
    <xf numFmtId="0" fontId="0" fillId="0" borderId="0" xfId="0" applyNumberFormat="1" applyFont="1" applyFill="1" applyBorder="1" applyAlignment="1"/>
    <xf numFmtId="0" fontId="1" fillId="0" borderId="0" xfId="0" applyNumberFormat="1" applyFont="1" applyFill="1" applyBorder="1" applyAlignment="1">
      <alignment wrapText="1"/>
    </xf>
    <xf numFmtId="0" fontId="1" fillId="0" borderId="1" xfId="0" applyNumberFormat="1" applyFont="1" applyFill="1" applyBorder="1" applyAlignment="1">
      <alignment wrapText="1"/>
    </xf>
    <xf numFmtId="0" fontId="1" fillId="0" borderId="3" xfId="0" applyNumberFormat="1" applyFont="1" applyFill="1" applyBorder="1" applyAlignment="1">
      <alignment wrapText="1"/>
    </xf>
    <xf numFmtId="0" fontId="1" fillId="0" borderId="5" xfId="0" applyNumberFormat="1" applyFont="1" applyFill="1" applyBorder="1" applyAlignment="1">
      <alignment wrapText="1"/>
    </xf>
    <xf numFmtId="0" fontId="2" fillId="0" borderId="4" xfId="0" applyNumberFormat="1" applyFont="1" applyFill="1" applyBorder="1" applyAlignment="1">
      <alignment horizontal="center" wrapText="1"/>
    </xf>
    <xf numFmtId="0" fontId="1" fillId="0" borderId="6" xfId="0" applyNumberFormat="1" applyFont="1" applyFill="1" applyBorder="1" applyAlignment="1">
      <alignment horizontal="center" wrapText="1"/>
    </xf>
    <xf numFmtId="0" fontId="2" fillId="2" borderId="2" xfId="0" applyNumberFormat="1" applyFont="1" applyFill="1" applyBorder="1" applyAlignment="1">
      <alignment horizontal="center" wrapText="1"/>
    </xf>
    <xf numFmtId="0" fontId="2" fillId="0" borderId="3" xfId="0" applyNumberFormat="1" applyFont="1" applyFill="1" applyBorder="1" applyAlignment="1">
      <alignment horizontal="center" wrapText="1"/>
    </xf>
    <xf numFmtId="0" fontId="1" fillId="0" borderId="0" xfId="0" applyNumberFormat="1" applyFont="1" applyFill="1" applyBorder="1" applyAlignment="1"/>
    <xf numFmtId="0" fontId="8" fillId="0" borderId="0" xfId="0" applyNumberFormat="1" applyFont="1" applyFill="1" applyBorder="1" applyAlignment="1">
      <alignment horizontal="left" wrapText="1"/>
    </xf>
    <xf numFmtId="0" fontId="8" fillId="0" borderId="3" xfId="0" applyNumberFormat="1" applyFont="1" applyFill="1" applyBorder="1" applyAlignment="1">
      <alignment horizontal="left" wrapText="1"/>
    </xf>
    <xf numFmtId="0" fontId="9" fillId="0" borderId="0" xfId="0" applyNumberFormat="1" applyFont="1" applyFill="1" applyBorder="1" applyAlignment="1">
      <alignment horizontal="left"/>
    </xf>
    <xf numFmtId="0" fontId="7" fillId="0" borderId="0" xfId="0" applyNumberFormat="1" applyFont="1" applyFill="1" applyBorder="1" applyAlignment="1"/>
    <xf numFmtId="0" fontId="1" fillId="0" borderId="24" xfId="0" applyNumberFormat="1" applyFont="1" applyFill="1" applyBorder="1" applyAlignment="1">
      <alignment wrapText="1"/>
    </xf>
    <xf numFmtId="0" fontId="1" fillId="0" borderId="26" xfId="0" applyNumberFormat="1" applyFont="1" applyFill="1" applyBorder="1" applyAlignment="1">
      <alignment wrapText="1"/>
    </xf>
    <xf numFmtId="15" fontId="1" fillId="0" borderId="26" xfId="0" applyNumberFormat="1" applyFont="1" applyFill="1" applyBorder="1" applyAlignment="1">
      <alignment horizontal="left" wrapText="1"/>
    </xf>
    <xf numFmtId="0" fontId="1" fillId="0" borderId="6" xfId="0" applyNumberFormat="1" applyFont="1" applyFill="1" applyBorder="1" applyAlignment="1">
      <alignment horizontal="center"/>
    </xf>
    <xf numFmtId="0" fontId="2" fillId="0" borderId="6" xfId="0" applyNumberFormat="1" applyFont="1" applyFill="1" applyBorder="1" applyAlignment="1">
      <alignment horizontal="center" wrapText="1"/>
    </xf>
    <xf numFmtId="0" fontId="1" fillId="0" borderId="0" xfId="0" applyNumberFormat="1" applyFont="1" applyFill="1" applyBorder="1" applyAlignment="1">
      <alignment horizontal="center" wrapText="1"/>
    </xf>
    <xf numFmtId="0" fontId="1" fillId="3" borderId="37" xfId="0" applyNumberFormat="1" applyFont="1" applyFill="1" applyBorder="1" applyAlignment="1">
      <alignment horizontal="center" wrapText="1"/>
    </xf>
    <xf numFmtId="0" fontId="1" fillId="3" borderId="40" xfId="0" applyNumberFormat="1" applyFont="1" applyFill="1" applyBorder="1" applyAlignment="1">
      <alignment horizontal="center" wrapText="1"/>
    </xf>
    <xf numFmtId="0" fontId="0" fillId="0" borderId="0" xfId="0" applyNumberFormat="1" applyFont="1" applyFill="1" applyBorder="1" applyAlignment="1">
      <alignment horizontal="center"/>
    </xf>
    <xf numFmtId="0" fontId="2" fillId="0" borderId="0" xfId="0" applyNumberFormat="1" applyFont="1" applyFill="1" applyBorder="1" applyAlignment="1">
      <alignment horizontal="center" wrapText="1"/>
    </xf>
    <xf numFmtId="0" fontId="2" fillId="3" borderId="37" xfId="0" applyNumberFormat="1" applyFont="1" applyFill="1" applyBorder="1" applyAlignment="1">
      <alignment horizontal="center" wrapText="1"/>
    </xf>
    <xf numFmtId="0" fontId="2" fillId="3" borderId="40" xfId="0" applyNumberFormat="1" applyFont="1" applyFill="1" applyBorder="1" applyAlignment="1">
      <alignment horizontal="center" wrapText="1"/>
    </xf>
    <xf numFmtId="0" fontId="10" fillId="0" borderId="0" xfId="0" applyNumberFormat="1" applyFont="1" applyFill="1" applyBorder="1" applyAlignment="1">
      <alignment horizontal="center"/>
    </xf>
    <xf numFmtId="0" fontId="10" fillId="0" borderId="0" xfId="0" applyNumberFormat="1" applyFont="1" applyFill="1" applyBorder="1" applyAlignment="1"/>
    <xf numFmtId="0" fontId="10" fillId="0" borderId="21" xfId="0" applyNumberFormat="1" applyFont="1" applyFill="1" applyBorder="1" applyAlignment="1"/>
    <xf numFmtId="0" fontId="7" fillId="0" borderId="21" xfId="0" applyNumberFormat="1" applyFont="1" applyFill="1" applyBorder="1" applyAlignment="1"/>
    <xf numFmtId="0" fontId="0" fillId="0" borderId="21" xfId="0" applyNumberFormat="1" applyFont="1" applyFill="1" applyBorder="1" applyAlignment="1">
      <alignment horizontal="center" vertical="center"/>
    </xf>
    <xf numFmtId="0" fontId="7" fillId="0" borderId="21" xfId="0" applyNumberFormat="1" applyFont="1" applyFill="1" applyBorder="1" applyAlignment="1">
      <alignment horizontal="center" vertical="center"/>
    </xf>
    <xf numFmtId="0" fontId="0" fillId="0" borderId="21" xfId="0" applyNumberFormat="1" applyFont="1" applyFill="1" applyBorder="1" applyAlignment="1">
      <alignment horizontal="center"/>
    </xf>
    <xf numFmtId="0" fontId="13" fillId="0" borderId="0" xfId="1" applyFont="1"/>
    <xf numFmtId="0" fontId="14" fillId="0" borderId="0" xfId="1" applyFont="1"/>
    <xf numFmtId="0" fontId="15" fillId="0" borderId="0" xfId="1" applyFont="1"/>
    <xf numFmtId="0" fontId="15" fillId="0" borderId="0" xfId="1" applyFont="1" applyAlignment="1">
      <alignment horizontal="center"/>
    </xf>
    <xf numFmtId="0" fontId="16" fillId="0" borderId="46" xfId="1" applyFont="1" applyBorder="1" applyAlignment="1">
      <alignment horizontal="center"/>
    </xf>
    <xf numFmtId="0" fontId="14" fillId="0" borderId="0" xfId="1" applyFont="1" applyAlignment="1">
      <alignment horizontal="center"/>
    </xf>
    <xf numFmtId="0" fontId="16" fillId="0" borderId="0" xfId="1" applyFont="1" applyAlignment="1">
      <alignment horizontal="center"/>
    </xf>
    <xf numFmtId="0" fontId="16" fillId="0" borderId="47" xfId="1" applyFont="1" applyBorder="1" applyAlignment="1">
      <alignment horizontal="center"/>
    </xf>
    <xf numFmtId="0" fontId="16" fillId="0" borderId="44" xfId="1" applyFont="1" applyBorder="1" applyAlignment="1">
      <alignment horizontal="center"/>
    </xf>
    <xf numFmtId="0" fontId="16" fillId="0" borderId="48" xfId="1" applyFont="1" applyBorder="1" applyAlignment="1">
      <alignment horizontal="center"/>
    </xf>
    <xf numFmtId="0" fontId="16" fillId="0" borderId="19" xfId="1" applyFont="1" applyBorder="1" applyAlignment="1">
      <alignment horizontal="center"/>
    </xf>
    <xf numFmtId="0" fontId="17" fillId="0" borderId="0" xfId="1" applyFont="1" applyAlignment="1">
      <alignment horizontal="right"/>
    </xf>
    <xf numFmtId="9" fontId="14" fillId="0" borderId="0" xfId="2" applyFont="1"/>
    <xf numFmtId="9" fontId="14" fillId="0" borderId="0" xfId="2" applyFont="1" applyAlignment="1">
      <alignment horizontal="center"/>
    </xf>
    <xf numFmtId="0" fontId="14" fillId="0" borderId="47" xfId="1" applyFont="1" applyBorder="1"/>
    <xf numFmtId="0" fontId="14" fillId="0" borderId="47" xfId="1" applyFont="1" applyBorder="1" applyAlignment="1">
      <alignment horizontal="center"/>
    </xf>
    <xf numFmtId="0" fontId="14" fillId="0" borderId="19" xfId="1" applyFont="1" applyBorder="1"/>
    <xf numFmtId="0" fontId="14" fillId="0" borderId="19" xfId="1" applyFont="1" applyBorder="1" applyAlignment="1">
      <alignment horizontal="center"/>
    </xf>
    <xf numFmtId="0" fontId="13" fillId="5" borderId="0" xfId="1" applyFont="1" applyFill="1" applyAlignment="1">
      <alignment horizontal="left" vertical="top"/>
    </xf>
    <xf numFmtId="0" fontId="12" fillId="5" borderId="0" xfId="1" applyFill="1"/>
    <xf numFmtId="0" fontId="19" fillId="6" borderId="0" xfId="1" applyFont="1" applyFill="1" applyAlignment="1">
      <alignment horizontal="left" vertical="top"/>
    </xf>
    <xf numFmtId="0" fontId="19" fillId="6" borderId="0" xfId="1" applyFont="1" applyFill="1"/>
    <xf numFmtId="0" fontId="16" fillId="6" borderId="0" xfId="1" applyFont="1" applyFill="1" applyAlignment="1">
      <alignment horizontal="left" vertical="top"/>
    </xf>
    <xf numFmtId="0" fontId="16" fillId="6" borderId="0" xfId="1" applyFont="1" applyFill="1"/>
    <xf numFmtId="0" fontId="16" fillId="6" borderId="0" xfId="1" applyFont="1" applyFill="1" applyAlignment="1">
      <alignment horizontal="left" vertical="top" wrapText="1"/>
    </xf>
    <xf numFmtId="0" fontId="20" fillId="6" borderId="0" xfId="1" applyFont="1" applyFill="1" applyAlignment="1">
      <alignment horizontal="left" vertical="top"/>
    </xf>
    <xf numFmtId="0" fontId="20" fillId="6" borderId="0" xfId="1" applyFont="1" applyFill="1" applyAlignment="1">
      <alignment horizontal="left" vertical="top" wrapText="1"/>
    </xf>
    <xf numFmtId="0" fontId="20" fillId="6" borderId="0" xfId="1" applyFont="1" applyFill="1"/>
    <xf numFmtId="0" fontId="4" fillId="7" borderId="2" xfId="0" applyNumberFormat="1" applyFont="1" applyFill="1" applyBorder="1" applyAlignment="1">
      <alignment horizontal="center" vertical="center" wrapText="1"/>
    </xf>
    <xf numFmtId="0" fontId="2" fillId="8" borderId="2" xfId="0" applyNumberFormat="1" applyFont="1" applyFill="1" applyBorder="1" applyAlignment="1">
      <alignment horizontal="center" wrapText="1"/>
    </xf>
    <xf numFmtId="0" fontId="2" fillId="8" borderId="2" xfId="0" applyNumberFormat="1" applyFont="1" applyFill="1" applyBorder="1" applyAlignment="1">
      <alignment horizontal="center"/>
    </xf>
    <xf numFmtId="0" fontId="2" fillId="8" borderId="8" xfId="0" applyNumberFormat="1" applyFont="1" applyFill="1" applyBorder="1" applyAlignment="1">
      <alignment horizontal="center" wrapText="1"/>
    </xf>
    <xf numFmtId="0" fontId="2" fillId="8" borderId="2" xfId="0" applyNumberFormat="1" applyFont="1" applyFill="1" applyBorder="1" applyAlignment="1">
      <alignment horizontal="left" vertical="center" wrapText="1"/>
    </xf>
    <xf numFmtId="0" fontId="4" fillId="9" borderId="2" xfId="0" applyNumberFormat="1" applyFont="1" applyFill="1" applyBorder="1" applyAlignment="1">
      <alignment horizontal="center" vertical="center" wrapText="1"/>
    </xf>
    <xf numFmtId="0" fontId="2" fillId="10" borderId="2" xfId="0" applyNumberFormat="1" applyFont="1" applyFill="1" applyBorder="1" applyAlignment="1">
      <alignment horizontal="center" wrapText="1"/>
    </xf>
    <xf numFmtId="0" fontId="2" fillId="10" borderId="8" xfId="0" applyNumberFormat="1" applyFont="1" applyFill="1" applyBorder="1" applyAlignment="1">
      <alignment horizontal="center" wrapText="1"/>
    </xf>
    <xf numFmtId="0" fontId="2" fillId="10" borderId="2" xfId="0" applyNumberFormat="1" applyFont="1" applyFill="1" applyBorder="1" applyAlignment="1">
      <alignment vertical="center" wrapText="1"/>
    </xf>
    <xf numFmtId="0" fontId="4" fillId="11" borderId="2" xfId="0" applyNumberFormat="1" applyFont="1" applyFill="1" applyBorder="1" applyAlignment="1">
      <alignment horizontal="center" vertical="center" wrapText="1"/>
    </xf>
    <xf numFmtId="0" fontId="2" fillId="12" borderId="2" xfId="0" applyNumberFormat="1" applyFont="1" applyFill="1" applyBorder="1" applyAlignment="1">
      <alignment horizontal="center" wrapText="1"/>
    </xf>
    <xf numFmtId="0" fontId="2" fillId="12" borderId="8" xfId="0" applyNumberFormat="1" applyFont="1" applyFill="1" applyBorder="1" applyAlignment="1">
      <alignment horizontal="center" wrapText="1"/>
    </xf>
    <xf numFmtId="0" fontId="2" fillId="12" borderId="2" xfId="0" applyNumberFormat="1" applyFont="1" applyFill="1" applyBorder="1" applyAlignment="1">
      <alignment horizontal="left" vertical="center" wrapText="1"/>
    </xf>
    <xf numFmtId="0" fontId="4" fillId="13" borderId="2" xfId="0" applyNumberFormat="1" applyFont="1" applyFill="1" applyBorder="1" applyAlignment="1">
      <alignment horizontal="center" vertical="center" wrapText="1"/>
    </xf>
    <xf numFmtId="0" fontId="2" fillId="14" borderId="2" xfId="0" applyNumberFormat="1" applyFont="1" applyFill="1" applyBorder="1" applyAlignment="1">
      <alignment horizontal="center" wrapText="1"/>
    </xf>
    <xf numFmtId="0" fontId="2" fillId="14" borderId="8" xfId="0" applyNumberFormat="1" applyFont="1" applyFill="1" applyBorder="1" applyAlignment="1">
      <alignment horizontal="center" wrapText="1"/>
    </xf>
    <xf numFmtId="0" fontId="2" fillId="14" borderId="2" xfId="0" applyNumberFormat="1" applyFont="1" applyFill="1" applyBorder="1" applyAlignment="1">
      <alignment vertical="center" wrapText="1"/>
    </xf>
    <xf numFmtId="0" fontId="22" fillId="0" borderId="48" xfId="1" applyFont="1" applyBorder="1"/>
    <xf numFmtId="0" fontId="22" fillId="0" borderId="0" xfId="1" applyFont="1"/>
    <xf numFmtId="0" fontId="22" fillId="0" borderId="19" xfId="1" applyFont="1" applyBorder="1"/>
    <xf numFmtId="0" fontId="23" fillId="0" borderId="48" xfId="1" applyFont="1" applyBorder="1"/>
    <xf numFmtId="0" fontId="23" fillId="0" borderId="0" xfId="1" applyFont="1"/>
    <xf numFmtId="0" fontId="23" fillId="0" borderId="44" xfId="1" applyFont="1" applyBorder="1"/>
    <xf numFmtId="0" fontId="24" fillId="0" borderId="48" xfId="1" applyFont="1" applyBorder="1"/>
    <xf numFmtId="0" fontId="24" fillId="0" borderId="0" xfId="1" applyFont="1"/>
    <xf numFmtId="0" fontId="24" fillId="0" borderId="44" xfId="1" applyFont="1" applyBorder="1"/>
    <xf numFmtId="0" fontId="25" fillId="0" borderId="47" xfId="1" applyFont="1" applyBorder="1"/>
    <xf numFmtId="0" fontId="25" fillId="0" borderId="0" xfId="1" applyFont="1"/>
    <xf numFmtId="0" fontId="25" fillId="0" borderId="44" xfId="1" applyFont="1" applyBorder="1"/>
    <xf numFmtId="0" fontId="26" fillId="0" borderId="46" xfId="1" applyFont="1" applyBorder="1"/>
    <xf numFmtId="0" fontId="26" fillId="0" borderId="46" xfId="1" applyFont="1" applyBorder="1" applyAlignment="1">
      <alignment horizontal="center"/>
    </xf>
    <xf numFmtId="0" fontId="20" fillId="0" borderId="46" xfId="1" applyFont="1" applyBorder="1" applyAlignment="1">
      <alignment horizontal="center"/>
    </xf>
    <xf numFmtId="2" fontId="2" fillId="0" borderId="2" xfId="0" applyNumberFormat="1" applyFont="1" applyFill="1" applyBorder="1" applyAlignment="1">
      <alignment horizontal="center" vertical="center" wrapText="1"/>
    </xf>
    <xf numFmtId="164" fontId="1" fillId="0" borderId="4" xfId="0" applyNumberFormat="1" applyFont="1" applyFill="1" applyBorder="1" applyAlignment="1">
      <alignment horizontal="center"/>
    </xf>
    <xf numFmtId="164" fontId="1" fillId="0" borderId="6" xfId="0" applyNumberFormat="1" applyFont="1" applyFill="1" applyBorder="1" applyAlignment="1">
      <alignment horizontal="center" wrapText="1"/>
    </xf>
    <xf numFmtId="2" fontId="1" fillId="0" borderId="49" xfId="0" applyNumberFormat="1" applyFont="1" applyFill="1" applyBorder="1" applyAlignment="1">
      <alignment horizontal="center" wrapText="1"/>
    </xf>
    <xf numFmtId="2" fontId="1" fillId="0" borderId="50" xfId="0" applyNumberFormat="1" applyFont="1" applyFill="1" applyBorder="1" applyAlignment="1">
      <alignment horizontal="center" wrapText="1"/>
    </xf>
    <xf numFmtId="2" fontId="1" fillId="0" borderId="51" xfId="0" applyNumberFormat="1" applyFont="1" applyFill="1" applyBorder="1" applyAlignment="1">
      <alignment horizontal="center" wrapText="1"/>
    </xf>
    <xf numFmtId="0" fontId="0" fillId="10" borderId="0" xfId="0" applyNumberFormat="1" applyFont="1" applyFill="1" applyBorder="1" applyAlignment="1">
      <alignment horizontal="center"/>
    </xf>
    <xf numFmtId="0" fontId="0" fillId="8" borderId="0" xfId="0" applyNumberFormat="1" applyFont="1" applyFill="1" applyBorder="1" applyAlignment="1">
      <alignment horizontal="center"/>
    </xf>
    <xf numFmtId="0" fontId="0" fillId="12" borderId="0" xfId="0" applyNumberFormat="1" applyFont="1" applyFill="1" applyBorder="1" applyAlignment="1">
      <alignment horizontal="center"/>
    </xf>
    <xf numFmtId="0" fontId="0" fillId="14" borderId="0" xfId="0" applyNumberFormat="1" applyFont="1" applyFill="1" applyBorder="1" applyAlignment="1">
      <alignment horizontal="center"/>
    </xf>
    <xf numFmtId="0" fontId="0" fillId="0" borderId="0" xfId="0" applyNumberFormat="1" applyFont="1" applyFill="1" applyBorder="1" applyAlignment="1">
      <alignment horizontal="center" vertical="center"/>
    </xf>
    <xf numFmtId="0" fontId="0" fillId="8" borderId="0" xfId="0" applyNumberFormat="1" applyFont="1" applyFill="1" applyBorder="1" applyAlignment="1">
      <alignment horizontal="center" vertical="center"/>
    </xf>
    <xf numFmtId="164" fontId="1" fillId="0" borderId="0" xfId="0" applyNumberFormat="1" applyFont="1" applyFill="1" applyBorder="1" applyAlignment="1">
      <alignment horizontal="center" wrapText="1"/>
    </xf>
    <xf numFmtId="164" fontId="2" fillId="8" borderId="2" xfId="0" applyNumberFormat="1" applyFont="1" applyFill="1" applyBorder="1" applyAlignment="1">
      <alignment horizontal="center" wrapText="1"/>
    </xf>
    <xf numFmtId="164" fontId="1" fillId="3" borderId="41" xfId="0" applyNumberFormat="1" applyFont="1" applyFill="1" applyBorder="1" applyAlignment="1">
      <alignment horizontal="center" wrapText="1"/>
    </xf>
    <xf numFmtId="164" fontId="1" fillId="3" borderId="38" xfId="0" applyNumberFormat="1" applyFont="1" applyFill="1" applyBorder="1" applyAlignment="1">
      <alignment horizontal="center" wrapText="1"/>
    </xf>
    <xf numFmtId="164" fontId="2" fillId="8" borderId="8" xfId="0" applyNumberFormat="1" applyFont="1" applyFill="1" applyBorder="1" applyAlignment="1">
      <alignment horizontal="center" wrapText="1"/>
    </xf>
    <xf numFmtId="164" fontId="2" fillId="10" borderId="2" xfId="0" applyNumberFormat="1" applyFont="1" applyFill="1" applyBorder="1" applyAlignment="1">
      <alignment horizontal="center" wrapText="1"/>
    </xf>
    <xf numFmtId="164" fontId="2" fillId="10" borderId="8" xfId="0" applyNumberFormat="1" applyFont="1" applyFill="1" applyBorder="1" applyAlignment="1">
      <alignment horizontal="center" wrapText="1"/>
    </xf>
    <xf numFmtId="164" fontId="2" fillId="12" borderId="2" xfId="0" applyNumberFormat="1" applyFont="1" applyFill="1" applyBorder="1" applyAlignment="1">
      <alignment horizontal="center" wrapText="1"/>
    </xf>
    <xf numFmtId="164" fontId="2" fillId="12" borderId="8" xfId="0" applyNumberFormat="1" applyFont="1" applyFill="1" applyBorder="1" applyAlignment="1">
      <alignment horizontal="center" wrapText="1"/>
    </xf>
    <xf numFmtId="164" fontId="2" fillId="14" borderId="2" xfId="0" applyNumberFormat="1" applyFont="1" applyFill="1" applyBorder="1" applyAlignment="1">
      <alignment horizontal="center" wrapText="1"/>
    </xf>
    <xf numFmtId="164" fontId="2" fillId="14" borderId="8" xfId="0" applyNumberFormat="1" applyFont="1" applyFill="1" applyBorder="1" applyAlignment="1">
      <alignment horizontal="center" wrapText="1"/>
    </xf>
    <xf numFmtId="164" fontId="0" fillId="0" borderId="0" xfId="0" applyNumberFormat="1" applyFont="1" applyFill="1" applyBorder="1" applyAlignment="1">
      <alignment horizontal="center"/>
    </xf>
    <xf numFmtId="2" fontId="14" fillId="0" borderId="0" xfId="1" applyNumberFormat="1" applyFont="1" applyAlignment="1">
      <alignment horizontal="center"/>
    </xf>
    <xf numFmtId="2" fontId="14" fillId="0" borderId="0" xfId="1" applyNumberFormat="1" applyFont="1"/>
    <xf numFmtId="0" fontId="2" fillId="2" borderId="8" xfId="0" applyNumberFormat="1" applyFont="1" applyFill="1" applyBorder="1" applyAlignment="1">
      <alignment horizontal="center" vertical="center"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horizontal="center" vertical="center" wrapText="1"/>
    </xf>
    <xf numFmtId="164" fontId="1" fillId="0" borderId="3" xfId="0" applyNumberFormat="1" applyFont="1" applyFill="1" applyBorder="1" applyAlignment="1">
      <alignment horizontal="center" wrapText="1"/>
    </xf>
    <xf numFmtId="0" fontId="1" fillId="4" borderId="43" xfId="0" applyNumberFormat="1" applyFont="1" applyFill="1" applyBorder="1" applyAlignment="1">
      <alignment horizontal="center" vertical="center" wrapText="1"/>
    </xf>
    <xf numFmtId="2" fontId="14" fillId="0" borderId="47" xfId="1" applyNumberFormat="1" applyFont="1" applyBorder="1" applyAlignment="1" applyProtection="1">
      <alignment horizontal="center"/>
      <protection locked="0"/>
    </xf>
    <xf numFmtId="2" fontId="14" fillId="0" borderId="0" xfId="1" applyNumberFormat="1" applyFont="1" applyAlignment="1" applyProtection="1">
      <alignment horizontal="center"/>
      <protection locked="0"/>
    </xf>
    <xf numFmtId="0" fontId="21" fillId="6" borderId="0" xfId="0" applyFont="1" applyFill="1" applyAlignment="1" applyProtection="1">
      <alignment horizontal="left" vertical="top"/>
    </xf>
    <xf numFmtId="0" fontId="15" fillId="17" borderId="0" xfId="1" applyFont="1" applyFill="1"/>
    <xf numFmtId="0" fontId="15" fillId="17" borderId="19" xfId="1" applyFont="1" applyFill="1" applyBorder="1"/>
    <xf numFmtId="0" fontId="14" fillId="17" borderId="0" xfId="1" applyFont="1" applyFill="1" applyAlignment="1">
      <alignment horizontal="center"/>
    </xf>
    <xf numFmtId="0" fontId="14" fillId="17" borderId="0" xfId="1" applyFont="1" applyFill="1"/>
    <xf numFmtId="0" fontId="14" fillId="17" borderId="19" xfId="1" applyFont="1" applyFill="1" applyBorder="1"/>
    <xf numFmtId="0" fontId="0" fillId="0" borderId="0" xfId="0" applyNumberFormat="1" applyFont="1" applyFill="1" applyBorder="1" applyAlignment="1">
      <alignment wrapText="1"/>
    </xf>
    <xf numFmtId="0" fontId="5" fillId="3" borderId="35" xfId="0" applyNumberFormat="1" applyFont="1" applyFill="1" applyBorder="1" applyAlignment="1">
      <alignment horizontal="right" vertical="top" wrapText="1"/>
    </xf>
    <xf numFmtId="0" fontId="1" fillId="0" borderId="0" xfId="0" applyNumberFormat="1" applyFont="1" applyFill="1" applyBorder="1" applyAlignment="1">
      <alignment vertical="top" wrapText="1"/>
    </xf>
    <xf numFmtId="0" fontId="0" fillId="0" borderId="0" xfId="0" applyNumberFormat="1" applyFont="1" applyFill="1" applyBorder="1" applyAlignment="1">
      <alignment vertical="top"/>
    </xf>
    <xf numFmtId="0" fontId="2" fillId="8" borderId="12" xfId="0" applyFont="1" applyFill="1" applyBorder="1" applyAlignment="1">
      <alignment horizontal="center" wrapText="1"/>
    </xf>
    <xf numFmtId="0" fontId="2" fillId="14" borderId="9" xfId="0" applyFont="1" applyFill="1" applyBorder="1" applyAlignment="1">
      <alignment horizontal="center" wrapText="1"/>
    </xf>
    <xf numFmtId="0" fontId="0" fillId="9" borderId="0" xfId="0" applyNumberFormat="1" applyFont="1" applyFill="1" applyBorder="1" applyAlignment="1">
      <alignment horizontal="center"/>
    </xf>
    <xf numFmtId="0" fontId="0" fillId="18" borderId="0" xfId="0" applyNumberFormat="1" applyFont="1" applyFill="1" applyBorder="1" applyAlignment="1">
      <alignment horizontal="center"/>
    </xf>
    <xf numFmtId="0" fontId="0" fillId="0" borderId="0" xfId="0"/>
    <xf numFmtId="0" fontId="7" fillId="0" borderId="0" xfId="0" applyFont="1"/>
    <xf numFmtId="0" fontId="7" fillId="0" borderId="0" xfId="0" applyNumberFormat="1" applyFont="1" applyFill="1" applyBorder="1" applyAlignment="1">
      <alignment horizontal="center"/>
    </xf>
    <xf numFmtId="15" fontId="1" fillId="0" borderId="0" xfId="0" applyNumberFormat="1" applyFont="1" applyFill="1" applyBorder="1" applyAlignment="1">
      <alignment horizontal="center" wrapText="1"/>
    </xf>
    <xf numFmtId="0" fontId="2" fillId="0" borderId="15" xfId="0" applyFont="1" applyBorder="1" applyAlignment="1">
      <alignment horizontal="center" wrapText="1"/>
    </xf>
    <xf numFmtId="0" fontId="1" fillId="3" borderId="36" xfId="0" applyNumberFormat="1" applyFont="1" applyFill="1" applyBorder="1" applyAlignment="1">
      <alignment horizontal="center" wrapText="1"/>
    </xf>
    <xf numFmtId="0" fontId="2" fillId="0" borderId="7" xfId="0" applyFont="1" applyBorder="1" applyAlignment="1">
      <alignment horizontal="center" wrapText="1"/>
    </xf>
    <xf numFmtId="0" fontId="0" fillId="0" borderId="0" xfId="0" applyNumberFormat="1" applyFont="1" applyFill="1" applyBorder="1" applyAlignment="1">
      <alignment horizontal="center" wrapText="1"/>
    </xf>
    <xf numFmtId="0" fontId="1" fillId="3" borderId="54" xfId="0" applyNumberFormat="1" applyFont="1" applyFill="1" applyBorder="1" applyAlignment="1">
      <alignment wrapText="1"/>
    </xf>
    <xf numFmtId="0" fontId="1" fillId="3" borderId="55" xfId="0" applyNumberFormat="1" applyFont="1" applyFill="1" applyBorder="1" applyAlignment="1">
      <alignment horizontal="center" wrapText="1"/>
    </xf>
    <xf numFmtId="0" fontId="1" fillId="3" borderId="54" xfId="0" applyNumberFormat="1" applyFont="1" applyFill="1" applyBorder="1" applyAlignment="1">
      <alignment horizontal="center" wrapText="1"/>
    </xf>
    <xf numFmtId="164" fontId="1" fillId="3" borderId="56" xfId="0" applyNumberFormat="1" applyFont="1" applyFill="1" applyBorder="1" applyAlignment="1">
      <alignment horizontal="center"/>
    </xf>
    <xf numFmtId="0" fontId="1" fillId="0" borderId="4" xfId="0" applyNumberFormat="1" applyFont="1" applyFill="1" applyBorder="1" applyAlignment="1">
      <alignment horizontal="center"/>
    </xf>
    <xf numFmtId="0" fontId="5" fillId="3" borderId="59" xfId="0" applyNumberFormat="1" applyFont="1" applyFill="1" applyBorder="1" applyAlignment="1">
      <alignment horizontal="right" vertical="top" wrapText="1"/>
    </xf>
    <xf numFmtId="0" fontId="2" fillId="3" borderId="54" xfId="0" applyNumberFormat="1" applyFont="1" applyFill="1" applyBorder="1" applyAlignment="1">
      <alignment horizontal="center" wrapText="1"/>
    </xf>
    <xf numFmtId="164" fontId="1" fillId="3" borderId="56" xfId="0" applyNumberFormat="1" applyFont="1" applyFill="1" applyBorder="1" applyAlignment="1">
      <alignment horizontal="center" wrapText="1"/>
    </xf>
    <xf numFmtId="0" fontId="2" fillId="18" borderId="9" xfId="0" applyFont="1" applyFill="1" applyBorder="1" applyAlignment="1">
      <alignment horizontal="center" wrapText="1"/>
    </xf>
    <xf numFmtId="0" fontId="2" fillId="18" borderId="8" xfId="0" applyNumberFormat="1" applyFont="1" applyFill="1" applyBorder="1" applyAlignment="1">
      <alignment horizontal="center" wrapText="1"/>
    </xf>
    <xf numFmtId="164" fontId="2" fillId="18" borderId="8" xfId="0" applyNumberFormat="1" applyFont="1" applyFill="1" applyBorder="1" applyAlignment="1">
      <alignment horizontal="center" wrapText="1"/>
    </xf>
    <xf numFmtId="0" fontId="1" fillId="3" borderId="55" xfId="0" applyNumberFormat="1" applyFont="1" applyFill="1" applyBorder="1" applyAlignment="1">
      <alignment vertical="top" wrapText="1"/>
    </xf>
    <xf numFmtId="0" fontId="2" fillId="0" borderId="15" xfId="0" applyFont="1" applyBorder="1" applyAlignment="1">
      <alignment horizontal="center" vertical="top" wrapText="1"/>
    </xf>
    <xf numFmtId="0" fontId="1" fillId="0" borderId="6" xfId="0" applyNumberFormat="1" applyFont="1" applyFill="1" applyBorder="1" applyAlignment="1">
      <alignment horizontal="center" vertical="top"/>
    </xf>
    <xf numFmtId="164" fontId="1" fillId="0" borderId="6" xfId="0" applyNumberFormat="1" applyFont="1" applyFill="1" applyBorder="1" applyAlignment="1">
      <alignment horizontal="center" vertical="top" wrapText="1"/>
    </xf>
    <xf numFmtId="0" fontId="1" fillId="3" borderId="55" xfId="0" applyNumberFormat="1" applyFont="1" applyFill="1" applyBorder="1" applyAlignment="1">
      <alignment horizontal="center" vertical="top" wrapText="1"/>
    </xf>
    <xf numFmtId="0" fontId="2" fillId="3" borderId="40" xfId="0" applyNumberFormat="1" applyFont="1" applyFill="1" applyBorder="1" applyAlignment="1">
      <alignment horizontal="center" vertical="top" wrapText="1"/>
    </xf>
    <xf numFmtId="0" fontId="1" fillId="3" borderId="40" xfId="0" applyNumberFormat="1" applyFont="1" applyFill="1" applyBorder="1" applyAlignment="1">
      <alignment horizontal="center" vertical="top" wrapText="1"/>
    </xf>
    <xf numFmtId="164" fontId="1" fillId="3" borderId="41" xfId="0" applyNumberFormat="1" applyFont="1" applyFill="1" applyBorder="1" applyAlignment="1">
      <alignment horizontal="center" vertical="top" wrapText="1"/>
    </xf>
    <xf numFmtId="0" fontId="1" fillId="3" borderId="36" xfId="0" applyNumberFormat="1" applyFont="1" applyFill="1" applyBorder="1" applyAlignment="1">
      <alignment vertical="top" wrapText="1"/>
    </xf>
    <xf numFmtId="0" fontId="31" fillId="0" borderId="0" xfId="0" applyNumberFormat="1" applyFont="1" applyFill="1" applyBorder="1" applyAlignment="1"/>
    <xf numFmtId="0" fontId="2" fillId="0" borderId="57" xfId="0" applyNumberFormat="1" applyFont="1" applyFill="1" applyBorder="1" applyAlignment="1">
      <alignment horizontal="center" wrapText="1"/>
    </xf>
    <xf numFmtId="0" fontId="1" fillId="0" borderId="61" xfId="0" applyNumberFormat="1" applyFont="1" applyFill="1" applyBorder="1" applyAlignment="1">
      <alignment horizontal="center"/>
    </xf>
    <xf numFmtId="164" fontId="1" fillId="0" borderId="61" xfId="0" applyNumberFormat="1" applyFont="1" applyFill="1" applyBorder="1" applyAlignment="1">
      <alignment horizontal="center" wrapText="1"/>
    </xf>
    <xf numFmtId="0" fontId="2" fillId="0" borderId="54" xfId="0" applyNumberFormat="1" applyFont="1" applyFill="1" applyBorder="1" applyAlignment="1">
      <alignment horizontal="center" wrapText="1"/>
    </xf>
    <xf numFmtId="0" fontId="2" fillId="0" borderId="61" xfId="0" applyNumberFormat="1" applyFont="1" applyFill="1" applyBorder="1" applyAlignment="1">
      <alignment horizontal="center" wrapText="1"/>
    </xf>
    <xf numFmtId="0" fontId="2" fillId="0" borderId="57" xfId="0" applyNumberFormat="1" applyFont="1" applyFill="1" applyBorder="1" applyAlignment="1">
      <alignment horizontal="center" vertical="top" wrapText="1"/>
    </xf>
    <xf numFmtId="0" fontId="2" fillId="0" borderId="61" xfId="0" applyNumberFormat="1" applyFont="1" applyFill="1" applyBorder="1" applyAlignment="1">
      <alignment horizontal="center" vertical="top" wrapText="1"/>
    </xf>
    <xf numFmtId="0" fontId="2" fillId="0" borderId="15" xfId="0" applyFont="1" applyBorder="1" applyAlignment="1">
      <alignment vertical="top" wrapText="1"/>
    </xf>
    <xf numFmtId="0" fontId="2" fillId="8" borderId="11" xfId="0" applyFont="1" applyFill="1" applyBorder="1" applyAlignment="1">
      <alignment horizontal="center" wrapText="1"/>
    </xf>
    <xf numFmtId="0" fontId="2" fillId="8" borderId="13" xfId="0" applyFont="1" applyFill="1" applyBorder="1" applyAlignment="1">
      <alignment horizontal="center" wrapText="1"/>
    </xf>
    <xf numFmtId="0" fontId="2" fillId="8" borderId="11" xfId="0" applyFont="1" applyFill="1" applyBorder="1" applyAlignment="1">
      <alignment wrapText="1"/>
    </xf>
    <xf numFmtId="0" fontId="2" fillId="8" borderId="62" xfId="0" applyFont="1" applyFill="1" applyBorder="1" applyAlignment="1">
      <alignment horizontal="center" wrapText="1"/>
    </xf>
    <xf numFmtId="0" fontId="2" fillId="10" borderId="62" xfId="0" applyFont="1" applyFill="1" applyBorder="1" applyAlignment="1">
      <alignment horizontal="center" wrapText="1"/>
    </xf>
    <xf numFmtId="0" fontId="2" fillId="19" borderId="62" xfId="0" applyFont="1" applyFill="1" applyBorder="1" applyAlignment="1">
      <alignment horizontal="center" vertical="top" wrapText="1"/>
    </xf>
    <xf numFmtId="0" fontId="2" fillId="14" borderId="62" xfId="0" applyFont="1" applyFill="1" applyBorder="1" applyAlignment="1">
      <alignment horizontal="center" vertical="top" wrapText="1"/>
    </xf>
    <xf numFmtId="164" fontId="32" fillId="0" borderId="63" xfId="0" applyNumberFormat="1" applyFont="1" applyFill="1" applyBorder="1" applyAlignment="1">
      <alignment horizontal="center"/>
    </xf>
    <xf numFmtId="164" fontId="32" fillId="21" borderId="65" xfId="0" applyNumberFormat="1" applyFont="1" applyFill="1" applyBorder="1" applyAlignment="1">
      <alignment horizontal="center"/>
    </xf>
    <xf numFmtId="164" fontId="32" fillId="0" borderId="64" xfId="0" applyNumberFormat="1" applyFont="1" applyFill="1" applyBorder="1" applyAlignment="1">
      <alignment horizontal="center" wrapText="1"/>
    </xf>
    <xf numFmtId="0" fontId="34" fillId="0" borderId="0" xfId="0" applyNumberFormat="1" applyFont="1" applyFill="1" applyBorder="1" applyAlignment="1">
      <alignment horizontal="left" wrapText="1"/>
    </xf>
    <xf numFmtId="164" fontId="32" fillId="21" borderId="65" xfId="0" applyNumberFormat="1" applyFont="1" applyFill="1" applyBorder="1" applyAlignment="1">
      <alignment horizontal="center" wrapText="1"/>
    </xf>
    <xf numFmtId="0" fontId="2" fillId="8" borderId="10" xfId="0" applyFont="1" applyFill="1" applyBorder="1" applyAlignment="1">
      <alignment horizontal="center" wrapText="1"/>
    </xf>
    <xf numFmtId="0" fontId="2" fillId="8" borderId="9" xfId="0" applyFont="1" applyFill="1" applyBorder="1" applyAlignment="1">
      <alignment horizontal="center" wrapText="1"/>
    </xf>
    <xf numFmtId="0" fontId="1" fillId="15" borderId="5" xfId="0" applyFont="1" applyFill="1" applyBorder="1" applyAlignment="1">
      <alignment wrapText="1"/>
    </xf>
    <xf numFmtId="0" fontId="1" fillId="15" borderId="0" xfId="0" applyFont="1" applyFill="1" applyBorder="1" applyAlignment="1">
      <alignment wrapText="1"/>
    </xf>
    <xf numFmtId="0" fontId="1" fillId="15" borderId="19" xfId="0" applyFont="1" applyFill="1" applyBorder="1" applyAlignment="1">
      <alignment wrapText="1"/>
    </xf>
    <xf numFmtId="0" fontId="2" fillId="12" borderId="9" xfId="0" applyFont="1" applyFill="1" applyBorder="1" applyAlignment="1">
      <alignment horizontal="center" wrapText="1"/>
    </xf>
    <xf numFmtId="0" fontId="2" fillId="14" borderId="12" xfId="0" applyFont="1" applyFill="1" applyBorder="1" applyAlignment="1">
      <alignment horizontal="center" wrapText="1"/>
    </xf>
    <xf numFmtId="0" fontId="2" fillId="12" borderId="12" xfId="0" applyFont="1" applyFill="1" applyBorder="1" applyAlignment="1">
      <alignment horizontal="center" wrapText="1"/>
    </xf>
    <xf numFmtId="0" fontId="2" fillId="10" borderId="10" xfId="0" applyFont="1" applyFill="1" applyBorder="1" applyAlignment="1">
      <alignment horizontal="center" wrapText="1"/>
    </xf>
    <xf numFmtId="0" fontId="2" fillId="10" borderId="9" xfId="0" applyFont="1" applyFill="1" applyBorder="1" applyAlignment="1">
      <alignment horizontal="center" wrapText="1"/>
    </xf>
    <xf numFmtId="0" fontId="2" fillId="10" borderId="11" xfId="0" applyFont="1" applyFill="1" applyBorder="1" applyAlignment="1">
      <alignment horizontal="center" wrapText="1"/>
    </xf>
    <xf numFmtId="0" fontId="2" fillId="10" borderId="12" xfId="0" applyFont="1" applyFill="1" applyBorder="1" applyAlignment="1">
      <alignment horizontal="center" wrapText="1"/>
    </xf>
    <xf numFmtId="0" fontId="3" fillId="0" borderId="0" xfId="0" applyNumberFormat="1" applyFont="1" applyFill="1" applyBorder="1" applyAlignment="1">
      <alignment horizontal="center" vertical="center" wrapText="1"/>
    </xf>
    <xf numFmtId="0" fontId="1" fillId="0" borderId="24" xfId="0" applyNumberFormat="1" applyFont="1" applyFill="1" applyBorder="1" applyAlignment="1">
      <alignment horizontal="left" wrapText="1"/>
    </xf>
    <xf numFmtId="14" fontId="1" fillId="0" borderId="24" xfId="0" applyNumberFormat="1" applyFont="1" applyFill="1" applyBorder="1" applyAlignment="1">
      <alignment horizontal="left" wrapText="1"/>
    </xf>
    <xf numFmtId="0" fontId="1" fillId="4" borderId="1" xfId="0" applyNumberFormat="1" applyFont="1" applyFill="1" applyBorder="1" applyAlignment="1">
      <alignment wrapText="1"/>
    </xf>
    <xf numFmtId="0" fontId="4" fillId="13" borderId="1" xfId="0" applyFont="1" applyFill="1" applyBorder="1" applyAlignment="1">
      <alignment wrapText="1"/>
    </xf>
    <xf numFmtId="0" fontId="1" fillId="4" borderId="1" xfId="0" applyNumberFormat="1" applyFont="1" applyFill="1" applyBorder="1" applyAlignment="1">
      <alignment vertical="top" wrapText="1"/>
    </xf>
    <xf numFmtId="0" fontId="4" fillId="11" borderId="1" xfId="0" applyFont="1" applyFill="1" applyBorder="1" applyAlignment="1">
      <alignment wrapText="1"/>
    </xf>
    <xf numFmtId="0" fontId="4" fillId="9" borderId="1" xfId="0" applyFont="1" applyFill="1" applyBorder="1" applyAlignment="1">
      <alignment wrapText="1"/>
    </xf>
    <xf numFmtId="0" fontId="1" fillId="4" borderId="43" xfId="0" applyNumberFormat="1" applyFont="1" applyFill="1" applyBorder="1" applyAlignment="1">
      <alignment wrapText="1"/>
    </xf>
    <xf numFmtId="0" fontId="3" fillId="0" borderId="0" xfId="0" applyNumberFormat="1" applyFont="1" applyFill="1" applyBorder="1" applyAlignment="1">
      <alignment wrapText="1"/>
    </xf>
    <xf numFmtId="0" fontId="2" fillId="16" borderId="31" xfId="0" applyFont="1" applyFill="1" applyBorder="1" applyAlignment="1">
      <alignment wrapText="1"/>
    </xf>
    <xf numFmtId="0" fontId="8" fillId="8" borderId="2" xfId="0" applyNumberFormat="1" applyFont="1" applyFill="1" applyBorder="1" applyAlignment="1">
      <alignment horizontal="center"/>
    </xf>
    <xf numFmtId="0" fontId="8" fillId="10" borderId="2" xfId="0" applyNumberFormat="1" applyFont="1" applyFill="1" applyBorder="1" applyAlignment="1">
      <alignment horizontal="center"/>
    </xf>
    <xf numFmtId="0" fontId="8" fillId="12" borderId="2" xfId="0" applyNumberFormat="1" applyFont="1" applyFill="1" applyBorder="1" applyAlignment="1">
      <alignment horizontal="center"/>
    </xf>
    <xf numFmtId="0" fontId="8" fillId="14" borderId="2" xfId="0" applyNumberFormat="1" applyFont="1" applyFill="1" applyBorder="1" applyAlignment="1">
      <alignment horizontal="center"/>
    </xf>
    <xf numFmtId="0" fontId="2" fillId="16" borderId="31" xfId="0" applyFont="1" applyFill="1" applyBorder="1" applyAlignment="1">
      <alignment horizontal="center" vertical="center" wrapText="1"/>
    </xf>
    <xf numFmtId="0" fontId="1" fillId="15" borderId="5" xfId="0" applyFont="1" applyFill="1" applyBorder="1" applyAlignment="1">
      <alignment horizontal="center" vertical="center" wrapText="1"/>
    </xf>
    <xf numFmtId="0" fontId="1" fillId="15" borderId="0" xfId="0" applyFont="1" applyFill="1" applyBorder="1" applyAlignment="1">
      <alignment horizontal="center" vertical="center" wrapText="1"/>
    </xf>
    <xf numFmtId="0" fontId="1" fillId="15" borderId="19" xfId="0" applyFont="1" applyFill="1" applyBorder="1" applyAlignment="1">
      <alignment horizontal="center" vertical="center" wrapText="1"/>
    </xf>
    <xf numFmtId="0" fontId="2" fillId="8" borderId="13" xfId="0" applyFont="1" applyFill="1" applyBorder="1" applyAlignment="1">
      <alignment horizontal="center" vertical="center" wrapText="1"/>
    </xf>
    <xf numFmtId="0" fontId="2" fillId="8" borderId="62" xfId="0" applyFont="1" applyFill="1" applyBorder="1" applyAlignment="1">
      <alignment horizontal="center" vertical="center" wrapText="1"/>
    </xf>
    <xf numFmtId="0" fontId="1" fillId="4" borderId="1" xfId="0" applyNumberFormat="1" applyFont="1" applyFill="1" applyBorder="1" applyAlignment="1">
      <alignment horizontal="center" vertical="center" wrapText="1"/>
    </xf>
    <xf numFmtId="0" fontId="4" fillId="9" borderId="1" xfId="0" applyFont="1" applyFill="1" applyBorder="1" applyAlignment="1">
      <alignment horizontal="center" vertical="center" wrapText="1"/>
    </xf>
    <xf numFmtId="0" fontId="2" fillId="10" borderId="13" xfId="0" applyFont="1" applyFill="1" applyBorder="1" applyAlignment="1">
      <alignment horizontal="center" vertical="center" wrapText="1"/>
    </xf>
    <xf numFmtId="0" fontId="2" fillId="10" borderId="62" xfId="0" applyFont="1" applyFill="1" applyBorder="1" applyAlignment="1">
      <alignment horizontal="center" vertical="center" wrapText="1"/>
    </xf>
    <xf numFmtId="0" fontId="4" fillId="11" borderId="1" xfId="0" applyFont="1" applyFill="1" applyBorder="1" applyAlignment="1">
      <alignment horizontal="center" vertical="center" wrapText="1"/>
    </xf>
    <xf numFmtId="0" fontId="2" fillId="12" borderId="13" xfId="0" applyFont="1" applyFill="1" applyBorder="1" applyAlignment="1">
      <alignment horizontal="center" vertical="center" wrapText="1"/>
    </xf>
    <xf numFmtId="0" fontId="2" fillId="19" borderId="62" xfId="0" applyFont="1" applyFill="1" applyBorder="1" applyAlignment="1">
      <alignment horizontal="center" vertical="center" wrapText="1"/>
    </xf>
    <xf numFmtId="0" fontId="4" fillId="13" borderId="1" xfId="0" applyFont="1" applyFill="1" applyBorder="1" applyAlignment="1">
      <alignment horizontal="center" vertical="center" wrapText="1"/>
    </xf>
    <xf numFmtId="0" fontId="2" fillId="14" borderId="13" xfId="0" applyFont="1" applyFill="1" applyBorder="1" applyAlignment="1">
      <alignment horizontal="center" vertical="center" wrapText="1"/>
    </xf>
    <xf numFmtId="0" fontId="2" fillId="14" borderId="62" xfId="0" applyFont="1" applyFill="1" applyBorder="1" applyAlignment="1">
      <alignment horizontal="center" vertical="center" wrapText="1"/>
    </xf>
    <xf numFmtId="0" fontId="2" fillId="8" borderId="11" xfId="0" applyFont="1" applyFill="1" applyBorder="1" applyAlignment="1">
      <alignment horizontal="center" vertical="center" wrapText="1"/>
    </xf>
    <xf numFmtId="0" fontId="1" fillId="4" borderId="10" xfId="0" applyNumberFormat="1" applyFont="1" applyFill="1" applyBorder="1" applyAlignment="1">
      <alignment horizontal="center" vertical="center" wrapText="1"/>
    </xf>
    <xf numFmtId="0" fontId="1" fillId="4" borderId="42" xfId="0" applyNumberFormat="1" applyFont="1" applyFill="1" applyBorder="1" applyAlignment="1">
      <alignment horizontal="center" vertical="center" wrapText="1"/>
    </xf>
    <xf numFmtId="0" fontId="2" fillId="10" borderId="11" xfId="0" applyFont="1" applyFill="1" applyBorder="1" applyAlignment="1">
      <alignment horizontal="center" vertical="center" wrapText="1"/>
    </xf>
    <xf numFmtId="0" fontId="1" fillId="4" borderId="11" xfId="0" applyNumberFormat="1" applyFont="1" applyFill="1" applyBorder="1" applyAlignment="1">
      <alignment horizontal="center" vertical="center" wrapText="1"/>
    </xf>
    <xf numFmtId="0" fontId="2" fillId="12" borderId="11" xfId="0" applyFont="1" applyFill="1" applyBorder="1" applyAlignment="1">
      <alignment horizontal="center" vertical="center" wrapText="1"/>
    </xf>
    <xf numFmtId="0" fontId="2" fillId="14" borderId="11" xfId="0" applyFont="1" applyFill="1" applyBorder="1" applyAlignment="1">
      <alignment horizontal="center" vertical="center" wrapText="1"/>
    </xf>
    <xf numFmtId="0" fontId="3" fillId="0" borderId="0" xfId="0" applyNumberFormat="1" applyFont="1" applyFill="1" applyBorder="1" applyAlignment="1">
      <alignment horizontal="left" vertical="top"/>
    </xf>
    <xf numFmtId="0" fontId="1" fillId="0" borderId="0" xfId="0" applyNumberFormat="1" applyFont="1" applyFill="1" applyBorder="1" applyAlignment="1">
      <alignment horizontal="left" vertical="top"/>
    </xf>
    <xf numFmtId="0" fontId="2" fillId="16" borderId="30" xfId="0" applyFont="1" applyFill="1" applyBorder="1" applyAlignment="1">
      <alignment horizontal="left" vertical="top"/>
    </xf>
    <xf numFmtId="0" fontId="1" fillId="15" borderId="33" xfId="0" applyFont="1" applyFill="1" applyBorder="1" applyAlignment="1">
      <alignment horizontal="left" vertical="top"/>
    </xf>
    <xf numFmtId="0" fontId="1" fillId="15" borderId="16" xfId="0" applyFont="1" applyFill="1" applyBorder="1" applyAlignment="1">
      <alignment horizontal="left" vertical="top"/>
    </xf>
    <xf numFmtId="0" fontId="1" fillId="15" borderId="18" xfId="0" applyFont="1" applyFill="1" applyBorder="1" applyAlignment="1">
      <alignment horizontal="left" vertical="top"/>
    </xf>
    <xf numFmtId="0" fontId="2" fillId="0" borderId="22" xfId="0" applyNumberFormat="1" applyFont="1" applyFill="1" applyBorder="1" applyAlignment="1">
      <alignment horizontal="left" vertical="top"/>
    </xf>
    <xf numFmtId="0" fontId="2" fillId="0" borderId="25" xfId="0" applyNumberFormat="1" applyFont="1" applyFill="1" applyBorder="1" applyAlignment="1">
      <alignment horizontal="left" vertical="top"/>
    </xf>
    <xf numFmtId="0" fontId="2" fillId="0" borderId="27" xfId="0" applyNumberFormat="1" applyFont="1" applyFill="1" applyBorder="1" applyAlignment="1">
      <alignment horizontal="left" vertical="top"/>
    </xf>
    <xf numFmtId="0" fontId="2" fillId="12" borderId="11" xfId="0" applyFont="1" applyFill="1" applyBorder="1" applyAlignment="1">
      <alignment horizontal="left" vertical="center" wrapText="1"/>
    </xf>
    <xf numFmtId="0" fontId="2" fillId="12" borderId="10" xfId="0" applyFont="1" applyFill="1" applyBorder="1" applyAlignment="1">
      <alignment horizontal="left" vertical="center" wrapText="1"/>
    </xf>
    <xf numFmtId="0" fontId="2" fillId="14" borderId="11" xfId="0" applyFont="1" applyFill="1" applyBorder="1" applyAlignment="1">
      <alignment horizontal="left" vertical="center" wrapText="1"/>
    </xf>
    <xf numFmtId="0" fontId="2" fillId="14" borderId="10" xfId="0" applyFont="1" applyFill="1" applyBorder="1" applyAlignment="1">
      <alignment horizontal="left" vertical="center" wrapText="1"/>
    </xf>
    <xf numFmtId="0" fontId="2" fillId="0" borderId="77" xfId="0" applyFont="1" applyBorder="1" applyAlignment="1">
      <alignment vertical="top" wrapText="1"/>
    </xf>
    <xf numFmtId="0" fontId="2" fillId="0" borderId="78" xfId="0" applyFont="1" applyBorder="1" applyAlignment="1">
      <alignment horizontal="center" wrapText="1"/>
    </xf>
    <xf numFmtId="0" fontId="2" fillId="0" borderId="78" xfId="0" applyNumberFormat="1" applyFont="1" applyFill="1" applyBorder="1" applyAlignment="1">
      <alignment horizontal="center" wrapText="1"/>
    </xf>
    <xf numFmtId="0" fontId="2" fillId="8" borderId="4" xfId="0" applyNumberFormat="1" applyFont="1" applyFill="1" applyBorder="1" applyAlignment="1">
      <alignment horizontal="center" wrapText="1"/>
    </xf>
    <xf numFmtId="0" fontId="2" fillId="0" borderId="80" xfId="0" applyNumberFormat="1" applyFont="1" applyFill="1" applyBorder="1" applyAlignment="1">
      <alignment horizontal="center" wrapText="1"/>
    </xf>
    <xf numFmtId="164" fontId="32" fillId="0" borderId="81" xfId="0" applyNumberFormat="1" applyFont="1" applyFill="1" applyBorder="1" applyAlignment="1">
      <alignment horizontal="center"/>
    </xf>
    <xf numFmtId="164" fontId="1" fillId="0" borderId="3" xfId="0" applyNumberFormat="1" applyFont="1" applyFill="1" applyBorder="1" applyAlignment="1">
      <alignment horizontal="center" vertical="top" wrapText="1"/>
    </xf>
    <xf numFmtId="164" fontId="32" fillId="0" borderId="79" xfId="0" applyNumberFormat="1" applyFont="1" applyFill="1" applyBorder="1" applyAlignment="1">
      <alignment horizontal="center" wrapText="1"/>
    </xf>
    <xf numFmtId="164" fontId="1" fillId="0" borderId="14" xfId="0" applyNumberFormat="1" applyFont="1" applyFill="1" applyBorder="1" applyAlignment="1">
      <alignment horizontal="center"/>
    </xf>
    <xf numFmtId="164" fontId="1" fillId="0" borderId="58" xfId="0" applyNumberFormat="1" applyFont="1" applyFill="1" applyBorder="1" applyAlignment="1">
      <alignment horizontal="center" wrapText="1"/>
    </xf>
    <xf numFmtId="0" fontId="2" fillId="0" borderId="85" xfId="0" applyNumberFormat="1" applyFont="1" applyFill="1" applyBorder="1" applyAlignment="1">
      <alignment horizontal="center" wrapText="1"/>
    </xf>
    <xf numFmtId="0" fontId="4" fillId="7" borderId="88" xfId="0" applyFont="1" applyFill="1" applyBorder="1" applyAlignment="1">
      <alignment horizontal="center" vertical="center" wrapText="1"/>
    </xf>
    <xf numFmtId="0" fontId="4" fillId="7" borderId="88" xfId="0" applyFont="1" applyFill="1" applyBorder="1" applyAlignment="1">
      <alignment wrapText="1"/>
    </xf>
    <xf numFmtId="2" fontId="14" fillId="0" borderId="92" xfId="1" applyNumberFormat="1" applyFont="1" applyBorder="1" applyAlignment="1" applyProtection="1">
      <alignment horizontal="center"/>
      <protection locked="0"/>
    </xf>
    <xf numFmtId="2" fontId="1" fillId="0" borderId="93" xfId="0" applyNumberFormat="1" applyFont="1" applyFill="1" applyBorder="1" applyAlignment="1">
      <alignment horizontal="center" wrapText="1"/>
    </xf>
    <xf numFmtId="2" fontId="14" fillId="0" borderId="94" xfId="1" applyNumberFormat="1" applyFont="1" applyBorder="1" applyAlignment="1" applyProtection="1">
      <alignment horizontal="center"/>
      <protection locked="0"/>
    </xf>
    <xf numFmtId="2" fontId="1" fillId="0" borderId="92" xfId="0" applyNumberFormat="1" applyFont="1" applyFill="1" applyBorder="1" applyAlignment="1">
      <alignment horizontal="center" wrapText="1"/>
    </xf>
    <xf numFmtId="2" fontId="14" fillId="0" borderId="39" xfId="1" applyNumberFormat="1" applyFont="1" applyBorder="1" applyAlignment="1" applyProtection="1">
      <alignment horizontal="center"/>
      <protection locked="0"/>
    </xf>
    <xf numFmtId="0" fontId="2" fillId="0" borderId="95" xfId="0" applyNumberFormat="1" applyFont="1" applyFill="1" applyBorder="1" applyAlignment="1">
      <alignment horizontal="center" vertical="center" wrapText="1"/>
    </xf>
    <xf numFmtId="0" fontId="2" fillId="0" borderId="97" xfId="0" applyNumberFormat="1" applyFont="1" applyFill="1" applyBorder="1" applyAlignment="1">
      <alignment horizontal="center" vertical="center" wrapText="1"/>
    </xf>
    <xf numFmtId="0" fontId="1" fillId="0" borderId="59" xfId="0" applyNumberFormat="1" applyFont="1" applyFill="1" applyBorder="1" applyAlignment="1">
      <alignment horizontal="center" vertical="center" wrapText="1"/>
    </xf>
    <xf numFmtId="0" fontId="2" fillId="0" borderId="59" xfId="0" applyNumberFormat="1" applyFont="1" applyFill="1" applyBorder="1" applyAlignment="1">
      <alignment horizontal="center" vertical="center" wrapText="1"/>
    </xf>
    <xf numFmtId="0" fontId="1" fillId="0" borderId="96" xfId="0" applyNumberFormat="1" applyFont="1" applyFill="1" applyBorder="1" applyAlignment="1">
      <alignment horizontal="left" wrapText="1"/>
    </xf>
    <xf numFmtId="14" fontId="15" fillId="0" borderId="0" xfId="1" applyNumberFormat="1" applyFont="1" applyAlignment="1">
      <alignment horizontal="left"/>
    </xf>
    <xf numFmtId="0" fontId="16" fillId="6" borderId="0" xfId="1" quotePrefix="1" applyFont="1" applyFill="1" applyAlignment="1">
      <alignment horizontal="left" vertical="top"/>
    </xf>
    <xf numFmtId="0" fontId="4" fillId="25" borderId="2" xfId="0" applyNumberFormat="1" applyFont="1" applyFill="1" applyBorder="1" applyAlignment="1">
      <alignment horizontal="center" vertical="center" wrapText="1"/>
    </xf>
    <xf numFmtId="0" fontId="2" fillId="26" borderId="2" xfId="0" applyNumberFormat="1" applyFont="1" applyFill="1" applyBorder="1" applyAlignment="1">
      <alignment vertical="center" wrapText="1"/>
    </xf>
    <xf numFmtId="0" fontId="2" fillId="26" borderId="2" xfId="0" applyNumberFormat="1" applyFont="1" applyFill="1" applyBorder="1" applyAlignment="1">
      <alignment horizontal="left" vertical="center" wrapText="1"/>
    </xf>
    <xf numFmtId="0" fontId="30" fillId="25" borderId="1" xfId="0" applyFont="1" applyFill="1" applyBorder="1" applyAlignment="1">
      <alignment horizontal="center" vertical="center" wrapText="1"/>
    </xf>
    <xf numFmtId="0" fontId="30" fillId="25" borderId="1" xfId="0" applyFont="1" applyFill="1" applyBorder="1" applyAlignment="1">
      <alignment wrapText="1"/>
    </xf>
    <xf numFmtId="0" fontId="2" fillId="26" borderId="11" xfId="0" applyFont="1" applyFill="1" applyBorder="1" applyAlignment="1">
      <alignment horizontal="center" vertical="center" wrapText="1"/>
    </xf>
    <xf numFmtId="0" fontId="2" fillId="26" borderId="13" xfId="0" applyFont="1" applyFill="1" applyBorder="1" applyAlignment="1">
      <alignment horizontal="center" vertical="center" wrapText="1"/>
    </xf>
    <xf numFmtId="0" fontId="2" fillId="26" borderId="62" xfId="0" applyFont="1" applyFill="1" applyBorder="1" applyAlignment="1">
      <alignment horizontal="center" vertical="center" wrapText="1"/>
    </xf>
    <xf numFmtId="0" fontId="2" fillId="26" borderId="12" xfId="0" applyFont="1" applyFill="1" applyBorder="1" applyAlignment="1">
      <alignment horizontal="center" wrapText="1"/>
    </xf>
    <xf numFmtId="0" fontId="2" fillId="26" borderId="2" xfId="0" applyNumberFormat="1" applyFont="1" applyFill="1" applyBorder="1" applyAlignment="1">
      <alignment horizontal="center" wrapText="1"/>
    </xf>
    <xf numFmtId="164" fontId="2" fillId="26" borderId="2" xfId="0" applyNumberFormat="1" applyFont="1" applyFill="1" applyBorder="1" applyAlignment="1">
      <alignment horizontal="center" wrapText="1"/>
    </xf>
    <xf numFmtId="0" fontId="8" fillId="26" borderId="2" xfId="0" applyNumberFormat="1" applyFont="1" applyFill="1" applyBorder="1" applyAlignment="1">
      <alignment horizontal="center"/>
    </xf>
    <xf numFmtId="0" fontId="2" fillId="26" borderId="10" xfId="0" applyFont="1" applyFill="1" applyBorder="1" applyAlignment="1">
      <alignment horizontal="center" vertical="center" wrapText="1"/>
    </xf>
    <xf numFmtId="0" fontId="2" fillId="26" borderId="9" xfId="0" applyFont="1" applyFill="1" applyBorder="1" applyAlignment="1">
      <alignment horizontal="center" wrapText="1"/>
    </xf>
    <xf numFmtId="0" fontId="2" fillId="26" borderId="8" xfId="0" applyNumberFormat="1" applyFont="1" applyFill="1" applyBorder="1" applyAlignment="1">
      <alignment horizontal="center" wrapText="1"/>
    </xf>
    <xf numFmtId="164" fontId="2" fillId="26" borderId="8" xfId="0" applyNumberFormat="1" applyFont="1" applyFill="1" applyBorder="1" applyAlignment="1">
      <alignment horizontal="center" wrapText="1"/>
    </xf>
    <xf numFmtId="0" fontId="35" fillId="0" borderId="0" xfId="1" applyFont="1"/>
    <xf numFmtId="0" fontId="2" fillId="26" borderId="62" xfId="0" applyFont="1" applyFill="1" applyBorder="1" applyAlignment="1">
      <alignment horizontal="center" wrapText="1"/>
    </xf>
    <xf numFmtId="0" fontId="36" fillId="0" borderId="0" xfId="0" applyFont="1" applyFill="1" applyBorder="1" applyAlignment="1" applyProtection="1"/>
    <xf numFmtId="0" fontId="0" fillId="0" borderId="0" xfId="0" applyFont="1" applyFill="1" applyBorder="1" applyAlignment="1" applyProtection="1"/>
    <xf numFmtId="0" fontId="2" fillId="8" borderId="100" xfId="0" applyNumberFormat="1" applyFont="1" applyFill="1" applyBorder="1" applyAlignment="1">
      <alignment horizontal="center"/>
    </xf>
    <xf numFmtId="0" fontId="8" fillId="0" borderId="0" xfId="0" applyNumberFormat="1" applyFont="1" applyFill="1" applyBorder="1" applyAlignment="1">
      <alignment horizontal="left" vertical="center" wrapText="1"/>
    </xf>
    <xf numFmtId="0" fontId="37" fillId="28" borderId="98" xfId="0" applyNumberFormat="1" applyFont="1" applyFill="1" applyBorder="1" applyAlignment="1">
      <alignment vertical="center"/>
    </xf>
    <xf numFmtId="0" fontId="8" fillId="0" borderId="102" xfId="0" applyNumberFormat="1" applyFont="1" applyFill="1" applyBorder="1" applyAlignment="1">
      <alignment horizontal="left" wrapText="1"/>
    </xf>
    <xf numFmtId="0" fontId="2" fillId="8" borderId="104" xfId="0" applyFont="1" applyFill="1" applyBorder="1" applyAlignment="1">
      <alignment horizontal="center" wrapText="1"/>
    </xf>
    <xf numFmtId="0" fontId="2" fillId="0" borderId="7" xfId="0" applyFont="1" applyBorder="1" applyAlignment="1">
      <alignment vertical="top" wrapText="1"/>
    </xf>
    <xf numFmtId="0" fontId="1" fillId="0" borderId="105" xfId="0" applyNumberFormat="1" applyFont="1" applyFill="1" applyBorder="1" applyAlignment="1">
      <alignment horizontal="center"/>
    </xf>
    <xf numFmtId="164" fontId="1" fillId="0" borderId="105" xfId="0" applyNumberFormat="1" applyFont="1" applyFill="1" applyBorder="1" applyAlignment="1">
      <alignment horizontal="center"/>
    </xf>
    <xf numFmtId="0" fontId="1" fillId="4" borderId="106" xfId="0" applyNumberFormat="1" applyFont="1" applyFill="1" applyBorder="1" applyAlignment="1">
      <alignment wrapText="1"/>
    </xf>
    <xf numFmtId="0" fontId="1" fillId="4" borderId="107" xfId="0" applyNumberFormat="1" applyFont="1" applyFill="1" applyBorder="1" applyAlignment="1">
      <alignment wrapText="1"/>
    </xf>
    <xf numFmtId="0" fontId="2" fillId="0" borderId="98" xfId="0" applyNumberFormat="1" applyFont="1" applyFill="1" applyBorder="1" applyAlignment="1">
      <alignment vertical="center" wrapText="1"/>
    </xf>
    <xf numFmtId="164" fontId="1" fillId="0" borderId="102" xfId="0" applyNumberFormat="1" applyFont="1" applyFill="1" applyBorder="1" applyAlignment="1">
      <alignment horizontal="center" wrapText="1"/>
    </xf>
    <xf numFmtId="164" fontId="1" fillId="3" borderId="109" xfId="0" applyNumberFormat="1" applyFont="1" applyFill="1" applyBorder="1" applyAlignment="1">
      <alignment horizontal="center" wrapText="1"/>
    </xf>
    <xf numFmtId="0" fontId="8" fillId="0" borderId="98" xfId="0" applyNumberFormat="1" applyFont="1" applyFill="1" applyBorder="1" applyAlignment="1">
      <alignment horizontal="left" wrapText="1"/>
    </xf>
    <xf numFmtId="0" fontId="2" fillId="0" borderId="98" xfId="0" applyNumberFormat="1" applyFont="1" applyFill="1" applyBorder="1" applyAlignment="1">
      <alignment horizontal="center" vertical="center" wrapText="1"/>
    </xf>
    <xf numFmtId="0" fontId="1" fillId="0" borderId="98" xfId="0" applyNumberFormat="1" applyFont="1" applyFill="1" applyBorder="1" applyAlignment="1">
      <alignment horizontal="center" vertical="center" wrapText="1"/>
    </xf>
    <xf numFmtId="164" fontId="1" fillId="0" borderId="98" xfId="0" applyNumberFormat="1" applyFont="1" applyFill="1" applyBorder="1" applyAlignment="1">
      <alignment horizontal="center" vertical="center" wrapText="1"/>
    </xf>
    <xf numFmtId="0" fontId="2" fillId="8" borderId="110" xfId="0" applyFont="1" applyFill="1" applyBorder="1" applyAlignment="1">
      <alignment horizontal="center" wrapText="1"/>
    </xf>
    <xf numFmtId="0" fontId="2" fillId="8" borderId="80" xfId="0" applyNumberFormat="1" applyFont="1" applyFill="1" applyBorder="1" applyAlignment="1">
      <alignment horizontal="center" wrapText="1"/>
    </xf>
    <xf numFmtId="164" fontId="2" fillId="8" borderId="80" xfId="0" applyNumberFormat="1" applyFont="1" applyFill="1" applyBorder="1" applyAlignment="1">
      <alignment horizontal="center" wrapText="1"/>
    </xf>
    <xf numFmtId="0" fontId="2" fillId="3" borderId="105" xfId="0" applyNumberFormat="1" applyFont="1" applyFill="1" applyBorder="1" applyAlignment="1">
      <alignment horizontal="center" wrapText="1"/>
    </xf>
    <xf numFmtId="0" fontId="1" fillId="3" borderId="105" xfId="0" applyNumberFormat="1" applyFont="1" applyFill="1" applyBorder="1" applyAlignment="1">
      <alignment horizontal="center" wrapText="1"/>
    </xf>
    <xf numFmtId="164" fontId="1" fillId="3" borderId="111" xfId="0" applyNumberFormat="1" applyFont="1" applyFill="1" applyBorder="1" applyAlignment="1">
      <alignment horizontal="center" wrapText="1"/>
    </xf>
    <xf numFmtId="164" fontId="32" fillId="0" borderId="64" xfId="0" applyNumberFormat="1" applyFont="1" applyFill="1" applyBorder="1" applyAlignment="1">
      <alignment horizontal="center"/>
    </xf>
    <xf numFmtId="0" fontId="2" fillId="10" borderId="104" xfId="0" applyFont="1" applyFill="1" applyBorder="1" applyAlignment="1">
      <alignment horizontal="center" wrapText="1"/>
    </xf>
    <xf numFmtId="0" fontId="2" fillId="10" borderId="110" xfId="0" applyFont="1" applyFill="1" applyBorder="1" applyAlignment="1">
      <alignment horizontal="center" wrapText="1"/>
    </xf>
    <xf numFmtId="0" fontId="2" fillId="10" borderId="80" xfId="0" applyNumberFormat="1" applyFont="1" applyFill="1" applyBorder="1" applyAlignment="1">
      <alignment horizontal="center" wrapText="1"/>
    </xf>
    <xf numFmtId="164" fontId="2" fillId="10" borderId="80" xfId="0" applyNumberFormat="1" applyFont="1" applyFill="1" applyBorder="1" applyAlignment="1">
      <alignment horizontal="center" wrapText="1"/>
    </xf>
    <xf numFmtId="0" fontId="2" fillId="26" borderId="104" xfId="0" applyFont="1" applyFill="1" applyBorder="1" applyAlignment="1">
      <alignment horizontal="center" wrapText="1"/>
    </xf>
    <xf numFmtId="0" fontId="2" fillId="18" borderId="110" xfId="0" applyFont="1" applyFill="1" applyBorder="1" applyAlignment="1">
      <alignment horizontal="center" wrapText="1"/>
    </xf>
    <xf numFmtId="0" fontId="2" fillId="26" borderId="80" xfId="0" applyNumberFormat="1" applyFont="1" applyFill="1" applyBorder="1" applyAlignment="1">
      <alignment horizontal="center" wrapText="1"/>
    </xf>
    <xf numFmtId="0" fontId="2" fillId="18" borderId="80" xfId="0" applyNumberFormat="1" applyFont="1" applyFill="1" applyBorder="1" applyAlignment="1">
      <alignment horizontal="center" wrapText="1"/>
    </xf>
    <xf numFmtId="164" fontId="2" fillId="18" borderId="80" xfId="0" applyNumberFormat="1" applyFont="1" applyFill="1" applyBorder="1" applyAlignment="1">
      <alignment horizontal="center" wrapText="1"/>
    </xf>
    <xf numFmtId="0" fontId="1" fillId="3" borderId="36" xfId="0" applyNumberFormat="1" applyFont="1" applyFill="1" applyBorder="1" applyAlignment="1">
      <alignment horizontal="center" vertical="top" wrapText="1"/>
    </xf>
    <xf numFmtId="0" fontId="2" fillId="3" borderId="105" xfId="0" applyNumberFormat="1" applyFont="1" applyFill="1" applyBorder="1" applyAlignment="1">
      <alignment horizontal="center" vertical="top" wrapText="1"/>
    </xf>
    <xf numFmtId="0" fontId="1" fillId="3" borderId="105" xfId="0" applyNumberFormat="1" applyFont="1" applyFill="1" applyBorder="1" applyAlignment="1">
      <alignment horizontal="center" vertical="top" wrapText="1"/>
    </xf>
    <xf numFmtId="164" fontId="1" fillId="3" borderId="111" xfId="0" applyNumberFormat="1" applyFont="1" applyFill="1" applyBorder="1" applyAlignment="1">
      <alignment horizontal="center" vertical="top" wrapText="1"/>
    </xf>
    <xf numFmtId="0" fontId="2" fillId="19" borderId="104" xfId="0" applyFont="1" applyFill="1" applyBorder="1" applyAlignment="1">
      <alignment horizontal="center" vertical="top" wrapText="1"/>
    </xf>
    <xf numFmtId="0" fontId="2" fillId="12" borderId="110" xfId="0" applyFont="1" applyFill="1" applyBorder="1" applyAlignment="1">
      <alignment horizontal="center" wrapText="1"/>
    </xf>
    <xf numFmtId="0" fontId="2" fillId="12" borderId="80" xfId="0" applyNumberFormat="1" applyFont="1" applyFill="1" applyBorder="1" applyAlignment="1">
      <alignment horizontal="center" wrapText="1"/>
    </xf>
    <xf numFmtId="164" fontId="2" fillId="12" borderId="80" xfId="0" applyNumberFormat="1" applyFont="1" applyFill="1" applyBorder="1" applyAlignment="1">
      <alignment horizontal="center" wrapText="1"/>
    </xf>
    <xf numFmtId="0" fontId="2" fillId="14" borderId="121" xfId="0" applyFont="1" applyFill="1" applyBorder="1" applyAlignment="1">
      <alignment horizontal="center" vertical="top" wrapText="1"/>
    </xf>
    <xf numFmtId="0" fontId="2" fillId="14" borderId="110" xfId="0" applyFont="1" applyFill="1" applyBorder="1" applyAlignment="1">
      <alignment horizontal="center" wrapText="1"/>
    </xf>
    <xf numFmtId="0" fontId="2" fillId="14" borderId="80" xfId="0" applyNumberFormat="1" applyFont="1" applyFill="1" applyBorder="1" applyAlignment="1">
      <alignment horizontal="center" wrapText="1"/>
    </xf>
    <xf numFmtId="164" fontId="2" fillId="14" borderId="80" xfId="0" applyNumberFormat="1" applyFont="1" applyFill="1" applyBorder="1" applyAlignment="1">
      <alignment horizontal="center" wrapText="1"/>
    </xf>
    <xf numFmtId="0" fontId="1" fillId="0" borderId="107" xfId="0" applyNumberFormat="1" applyFont="1" applyFill="1" applyBorder="1" applyAlignment="1">
      <alignment horizontal="center" vertical="center" wrapText="1"/>
    </xf>
    <xf numFmtId="164" fontId="1" fillId="0" borderId="107" xfId="0" applyNumberFormat="1" applyFont="1" applyFill="1" applyBorder="1" applyAlignment="1">
      <alignment horizontal="center" vertical="center" wrapText="1"/>
    </xf>
    <xf numFmtId="0" fontId="38" fillId="0" borderId="0" xfId="0" applyNumberFormat="1" applyFont="1" applyFill="1" applyBorder="1" applyAlignment="1">
      <alignment wrapText="1"/>
    </xf>
    <xf numFmtId="0" fontId="1" fillId="29" borderId="29" xfId="0" applyNumberFormat="1" applyFont="1" applyFill="1" applyBorder="1" applyAlignment="1" applyProtection="1">
      <alignment vertical="center" wrapText="1"/>
      <protection locked="0"/>
    </xf>
    <xf numFmtId="0" fontId="34" fillId="0" borderId="0" xfId="0" applyNumberFormat="1" applyFont="1" applyFill="1" applyBorder="1" applyAlignment="1" applyProtection="1">
      <alignment horizontal="left" wrapText="1"/>
      <protection locked="0"/>
    </xf>
    <xf numFmtId="0" fontId="8" fillId="0" borderId="3" xfId="0" applyNumberFormat="1" applyFont="1" applyFill="1" applyBorder="1" applyAlignment="1" applyProtection="1">
      <alignment horizontal="left" wrapText="1"/>
      <protection locked="0"/>
    </xf>
    <xf numFmtId="0" fontId="8" fillId="0" borderId="102" xfId="0" applyNumberFormat="1" applyFont="1" applyFill="1" applyBorder="1" applyAlignment="1" applyProtection="1">
      <alignment horizontal="left" wrapText="1"/>
      <protection locked="0"/>
    </xf>
    <xf numFmtId="0" fontId="1" fillId="4" borderId="107" xfId="0" applyNumberFormat="1" applyFont="1" applyFill="1" applyBorder="1" applyAlignment="1" applyProtection="1">
      <alignment wrapText="1"/>
    </xf>
    <xf numFmtId="0" fontId="8" fillId="0" borderId="107" xfId="0" applyNumberFormat="1" applyFont="1" applyFill="1" applyBorder="1" applyAlignment="1" applyProtection="1">
      <alignment horizontal="left" wrapText="1"/>
    </xf>
    <xf numFmtId="0" fontId="1" fillId="4" borderId="108" xfId="0" applyNumberFormat="1" applyFont="1" applyFill="1" applyBorder="1" applyAlignment="1" applyProtection="1">
      <alignment wrapText="1"/>
    </xf>
    <xf numFmtId="0" fontId="2" fillId="8" borderId="80" xfId="0" applyNumberFormat="1" applyFont="1" applyFill="1" applyBorder="1" applyAlignment="1" applyProtection="1">
      <alignment horizontal="center"/>
    </xf>
    <xf numFmtId="0" fontId="2" fillId="8" borderId="109" xfId="0" applyNumberFormat="1" applyFont="1" applyFill="1" applyBorder="1" applyAlignment="1" applyProtection="1">
      <alignment horizontal="center"/>
    </xf>
    <xf numFmtId="0" fontId="2" fillId="8" borderId="109" xfId="0" applyFont="1" applyFill="1" applyBorder="1" applyAlignment="1" applyProtection="1">
      <alignment wrapText="1"/>
    </xf>
    <xf numFmtId="0" fontId="2" fillId="8" borderId="107" xfId="0" applyFont="1" applyFill="1" applyBorder="1" applyAlignment="1" applyProtection="1">
      <alignment wrapText="1"/>
    </xf>
    <xf numFmtId="0" fontId="2" fillId="8" borderId="108" xfId="0" applyFont="1" applyFill="1" applyBorder="1" applyAlignment="1" applyProtection="1">
      <alignment wrapText="1"/>
    </xf>
    <xf numFmtId="0" fontId="4" fillId="9" borderId="1" xfId="0" applyFont="1" applyFill="1" applyBorder="1" applyAlignment="1" applyProtection="1">
      <alignment wrapText="1"/>
    </xf>
    <xf numFmtId="0" fontId="2" fillId="10" borderId="12" xfId="0" applyFont="1" applyFill="1" applyBorder="1" applyAlignment="1" applyProtection="1">
      <alignment horizontal="center" wrapText="1"/>
    </xf>
    <xf numFmtId="0" fontId="2" fillId="10" borderId="2" xfId="0" applyNumberFormat="1" applyFont="1" applyFill="1" applyBorder="1" applyAlignment="1" applyProtection="1">
      <alignment horizontal="center" wrapText="1"/>
    </xf>
    <xf numFmtId="164" fontId="2" fillId="10" borderId="2" xfId="0" applyNumberFormat="1" applyFont="1" applyFill="1" applyBorder="1" applyAlignment="1" applyProtection="1">
      <alignment horizontal="center" wrapText="1"/>
    </xf>
    <xf numFmtId="0" fontId="2" fillId="10" borderId="2" xfId="0" applyNumberFormat="1" applyFont="1" applyFill="1" applyBorder="1" applyAlignment="1" applyProtection="1">
      <alignment horizontal="center"/>
    </xf>
    <xf numFmtId="0" fontId="2" fillId="10" borderId="100" xfId="0" applyNumberFormat="1" applyFont="1" applyFill="1" applyBorder="1" applyAlignment="1" applyProtection="1">
      <alignment horizontal="center"/>
    </xf>
    <xf numFmtId="0" fontId="2" fillId="10" borderId="11" xfId="0" applyFont="1" applyFill="1" applyBorder="1" applyAlignment="1" applyProtection="1">
      <alignment wrapText="1"/>
    </xf>
    <xf numFmtId="0" fontId="2" fillId="10" borderId="13" xfId="0" applyFont="1" applyFill="1" applyBorder="1" applyAlignment="1" applyProtection="1">
      <alignment wrapText="1"/>
    </xf>
    <xf numFmtId="0" fontId="2" fillId="10" borderId="12" xfId="0" applyFont="1" applyFill="1" applyBorder="1" applyAlignment="1" applyProtection="1">
      <alignment wrapText="1"/>
    </xf>
    <xf numFmtId="0" fontId="2" fillId="10" borderId="80" xfId="0" applyNumberFormat="1" applyFont="1" applyFill="1" applyBorder="1" applyAlignment="1" applyProtection="1">
      <alignment horizontal="center"/>
    </xf>
    <xf numFmtId="0" fontId="2" fillId="10" borderId="109" xfId="0" applyNumberFormat="1" applyFont="1" applyFill="1" applyBorder="1" applyAlignment="1" applyProtection="1">
      <alignment horizontal="center"/>
    </xf>
    <xf numFmtId="0" fontId="2" fillId="10" borderId="109" xfId="0" applyFont="1" applyFill="1" applyBorder="1" applyAlignment="1" applyProtection="1">
      <alignment wrapText="1"/>
    </xf>
    <xf numFmtId="0" fontId="2" fillId="10" borderId="107" xfId="0" applyFont="1" applyFill="1" applyBorder="1" applyAlignment="1" applyProtection="1">
      <alignment wrapText="1"/>
    </xf>
    <xf numFmtId="0" fontId="2" fillId="10" borderId="108" xfId="0" applyFont="1" applyFill="1" applyBorder="1" applyAlignment="1" applyProtection="1">
      <alignment wrapText="1"/>
    </xf>
    <xf numFmtId="0" fontId="30" fillId="25" borderId="107" xfId="0" applyFont="1" applyFill="1" applyBorder="1" applyAlignment="1" applyProtection="1">
      <alignment wrapText="1"/>
    </xf>
    <xf numFmtId="0" fontId="30" fillId="25" borderId="108" xfId="0" applyFont="1" applyFill="1" applyBorder="1" applyAlignment="1" applyProtection="1">
      <alignment wrapText="1"/>
    </xf>
    <xf numFmtId="0" fontId="2" fillId="26" borderId="115" xfId="0" applyFont="1" applyFill="1" applyBorder="1" applyAlignment="1" applyProtection="1">
      <alignment horizontal="center" wrapText="1"/>
    </xf>
    <xf numFmtId="0" fontId="2" fillId="26" borderId="116" xfId="0" applyNumberFormat="1" applyFont="1" applyFill="1" applyBorder="1" applyAlignment="1" applyProtection="1">
      <alignment horizontal="center" wrapText="1"/>
    </xf>
    <xf numFmtId="164" fontId="2" fillId="26" borderId="116" xfId="0" applyNumberFormat="1" applyFont="1" applyFill="1" applyBorder="1" applyAlignment="1" applyProtection="1">
      <alignment horizontal="center" wrapText="1"/>
    </xf>
    <xf numFmtId="0" fontId="2" fillId="26" borderId="116" xfId="0" applyNumberFormat="1" applyFont="1" applyFill="1" applyBorder="1" applyAlignment="1" applyProtection="1">
      <alignment horizontal="center"/>
    </xf>
    <xf numFmtId="0" fontId="2" fillId="26" borderId="114" xfId="0" applyNumberFormat="1" applyFont="1" applyFill="1" applyBorder="1" applyAlignment="1" applyProtection="1">
      <alignment horizontal="center"/>
    </xf>
    <xf numFmtId="0" fontId="2" fillId="26" borderId="114" xfId="0" applyFont="1" applyFill="1" applyBorder="1" applyAlignment="1" applyProtection="1">
      <alignment wrapText="1"/>
    </xf>
    <xf numFmtId="0" fontId="2" fillId="26" borderId="99" xfId="0" applyFont="1" applyFill="1" applyBorder="1" applyAlignment="1" applyProtection="1">
      <alignment wrapText="1"/>
    </xf>
    <xf numFmtId="0" fontId="2" fillId="26" borderId="115" xfId="0" applyFont="1" applyFill="1" applyBorder="1" applyAlignment="1" applyProtection="1">
      <alignment wrapText="1"/>
    </xf>
    <xf numFmtId="0" fontId="2" fillId="26" borderId="80" xfId="0" applyNumberFormat="1" applyFont="1" applyFill="1" applyBorder="1" applyAlignment="1" applyProtection="1">
      <alignment horizontal="center"/>
    </xf>
    <xf numFmtId="0" fontId="2" fillId="26" borderId="109" xfId="0" applyNumberFormat="1" applyFont="1" applyFill="1" applyBorder="1" applyAlignment="1" applyProtection="1">
      <alignment horizontal="center"/>
    </xf>
    <xf numFmtId="0" fontId="2" fillId="26" borderId="109" xfId="0" applyFont="1" applyFill="1" applyBorder="1" applyAlignment="1" applyProtection="1">
      <alignment wrapText="1"/>
    </xf>
    <xf numFmtId="0" fontId="2" fillId="26" borderId="107" xfId="0" applyFont="1" applyFill="1" applyBorder="1" applyAlignment="1" applyProtection="1">
      <alignment wrapText="1"/>
    </xf>
    <xf numFmtId="0" fontId="2" fillId="26" borderId="108" xfId="0" applyFont="1" applyFill="1" applyBorder="1" applyAlignment="1" applyProtection="1">
      <alignment wrapText="1"/>
    </xf>
    <xf numFmtId="0" fontId="2" fillId="26" borderId="2" xfId="0" applyNumberFormat="1" applyFont="1" applyFill="1" applyBorder="1" applyAlignment="1" applyProtection="1">
      <alignment horizontal="center"/>
    </xf>
    <xf numFmtId="0" fontId="2" fillId="26" borderId="100" xfId="0" applyNumberFormat="1" applyFont="1" applyFill="1" applyBorder="1" applyAlignment="1" applyProtection="1">
      <alignment horizontal="center"/>
    </xf>
    <xf numFmtId="0" fontId="2" fillId="26" borderId="10" xfId="0" applyFont="1" applyFill="1" applyBorder="1" applyAlignment="1" applyProtection="1">
      <alignment wrapText="1"/>
    </xf>
    <xf numFmtId="0" fontId="2" fillId="26" borderId="1" xfId="0" applyFont="1" applyFill="1" applyBorder="1" applyAlignment="1" applyProtection="1">
      <alignment wrapText="1"/>
    </xf>
    <xf numFmtId="0" fontId="2" fillId="26" borderId="9" xfId="0" applyFont="1" applyFill="1" applyBorder="1" applyAlignment="1" applyProtection="1">
      <alignment wrapText="1"/>
    </xf>
    <xf numFmtId="0" fontId="4" fillId="11" borderId="1" xfId="0" applyFont="1" applyFill="1" applyBorder="1" applyAlignment="1" applyProtection="1">
      <alignment wrapText="1"/>
    </xf>
    <xf numFmtId="0" fontId="2" fillId="12" borderId="12" xfId="0" applyFont="1" applyFill="1" applyBorder="1" applyAlignment="1" applyProtection="1">
      <alignment horizontal="center" wrapText="1"/>
    </xf>
    <xf numFmtId="0" fontId="2" fillId="12" borderId="2" xfId="0" applyNumberFormat="1" applyFont="1" applyFill="1" applyBorder="1" applyAlignment="1" applyProtection="1">
      <alignment horizontal="center" wrapText="1"/>
    </xf>
    <xf numFmtId="164" fontId="2" fillId="12" borderId="2" xfId="0" applyNumberFormat="1" applyFont="1" applyFill="1" applyBorder="1" applyAlignment="1" applyProtection="1">
      <alignment horizontal="center" wrapText="1"/>
    </xf>
    <xf numFmtId="0" fontId="2" fillId="12" borderId="2" xfId="0" applyNumberFormat="1" applyFont="1" applyFill="1" applyBorder="1" applyAlignment="1" applyProtection="1">
      <alignment horizontal="center"/>
    </xf>
    <xf numFmtId="0" fontId="2" fillId="12" borderId="100" xfId="0" applyNumberFormat="1" applyFont="1" applyFill="1" applyBorder="1" applyAlignment="1" applyProtection="1">
      <alignment horizontal="center"/>
    </xf>
    <xf numFmtId="0" fontId="2" fillId="12" borderId="11" xfId="0" applyFont="1" applyFill="1" applyBorder="1" applyAlignment="1" applyProtection="1">
      <alignment wrapText="1"/>
    </xf>
    <xf numFmtId="0" fontId="2" fillId="12" borderId="13" xfId="0" applyFont="1" applyFill="1" applyBorder="1" applyAlignment="1" applyProtection="1">
      <alignment wrapText="1"/>
    </xf>
    <xf numFmtId="0" fontId="2" fillId="12" borderId="12" xfId="0" applyFont="1" applyFill="1" applyBorder="1" applyAlignment="1" applyProtection="1">
      <alignment wrapText="1"/>
    </xf>
    <xf numFmtId="0" fontId="2" fillId="12" borderId="80" xfId="0" applyNumberFormat="1" applyFont="1" applyFill="1" applyBorder="1" applyAlignment="1" applyProtection="1">
      <alignment horizontal="center"/>
    </xf>
    <xf numFmtId="0" fontId="2" fillId="12" borderId="109" xfId="0" applyNumberFormat="1" applyFont="1" applyFill="1" applyBorder="1" applyAlignment="1" applyProtection="1">
      <alignment horizontal="center"/>
    </xf>
    <xf numFmtId="0" fontId="2" fillId="12" borderId="109" xfId="0" applyFont="1" applyFill="1" applyBorder="1" applyAlignment="1" applyProtection="1">
      <alignment wrapText="1"/>
    </xf>
    <xf numFmtId="0" fontId="2" fillId="12" borderId="107" xfId="0" applyFont="1" applyFill="1" applyBorder="1" applyAlignment="1" applyProtection="1">
      <alignment wrapText="1"/>
    </xf>
    <xf numFmtId="0" fontId="2" fillId="12" borderId="108" xfId="0" applyFont="1" applyFill="1" applyBorder="1" applyAlignment="1" applyProtection="1">
      <alignment wrapText="1"/>
    </xf>
    <xf numFmtId="0" fontId="4" fillId="13" borderId="107" xfId="0" applyFont="1" applyFill="1" applyBorder="1" applyAlignment="1" applyProtection="1">
      <alignment wrapText="1"/>
    </xf>
    <xf numFmtId="0" fontId="4" fillId="13" borderId="108" xfId="0" applyFont="1" applyFill="1" applyBorder="1" applyAlignment="1" applyProtection="1">
      <alignment wrapText="1"/>
    </xf>
    <xf numFmtId="0" fontId="2" fillId="14" borderId="119" xfId="0" applyFont="1" applyFill="1" applyBorder="1" applyAlignment="1" applyProtection="1">
      <alignment horizontal="center" wrapText="1"/>
    </xf>
    <xf numFmtId="0" fontId="2" fillId="14" borderId="120" xfId="0" applyNumberFormat="1" applyFont="1" applyFill="1" applyBorder="1" applyAlignment="1" applyProtection="1">
      <alignment horizontal="center" wrapText="1"/>
    </xf>
    <xf numFmtId="164" fontId="2" fillId="14" borderId="120" xfId="0" applyNumberFormat="1" applyFont="1" applyFill="1" applyBorder="1" applyAlignment="1" applyProtection="1">
      <alignment horizontal="center" wrapText="1"/>
    </xf>
    <xf numFmtId="0" fontId="2" fillId="14" borderId="120" xfId="0" applyNumberFormat="1" applyFont="1" applyFill="1" applyBorder="1" applyAlignment="1" applyProtection="1">
      <alignment horizontal="center"/>
    </xf>
    <xf numFmtId="0" fontId="2" fillId="14" borderId="117" xfId="0" applyNumberFormat="1" applyFont="1" applyFill="1" applyBorder="1" applyAlignment="1" applyProtection="1">
      <alignment horizontal="center"/>
    </xf>
    <xf numFmtId="0" fontId="2" fillId="14" borderId="117" xfId="0" applyFont="1" applyFill="1" applyBorder="1" applyAlignment="1" applyProtection="1">
      <alignment wrapText="1"/>
    </xf>
    <xf numFmtId="0" fontId="2" fillId="14" borderId="118" xfId="0" applyFont="1" applyFill="1" applyBorder="1" applyAlignment="1" applyProtection="1">
      <alignment wrapText="1"/>
    </xf>
    <xf numFmtId="0" fontId="2" fillId="14" borderId="119" xfId="0" applyFont="1" applyFill="1" applyBorder="1" applyAlignment="1" applyProtection="1">
      <alignment wrapText="1"/>
    </xf>
    <xf numFmtId="0" fontId="2" fillId="14" borderId="2" xfId="0" applyNumberFormat="1" applyFont="1" applyFill="1" applyBorder="1" applyAlignment="1" applyProtection="1">
      <alignment horizontal="center"/>
    </xf>
    <xf numFmtId="0" fontId="2" fillId="14" borderId="100" xfId="0" applyNumberFormat="1" applyFont="1" applyFill="1" applyBorder="1" applyAlignment="1" applyProtection="1">
      <alignment horizontal="center"/>
    </xf>
    <xf numFmtId="0" fontId="2" fillId="14" borderId="10" xfId="0" applyFont="1" applyFill="1" applyBorder="1" applyAlignment="1" applyProtection="1">
      <alignment wrapText="1"/>
    </xf>
    <xf numFmtId="0" fontId="2" fillId="14" borderId="1" xfId="0" applyFont="1" applyFill="1" applyBorder="1" applyAlignment="1" applyProtection="1">
      <alignment wrapText="1"/>
    </xf>
    <xf numFmtId="0" fontId="2" fillId="14" borderId="9" xfId="0" applyFont="1" applyFill="1" applyBorder="1" applyAlignment="1" applyProtection="1">
      <alignment wrapText="1"/>
    </xf>
    <xf numFmtId="0" fontId="2" fillId="14" borderId="80" xfId="0" applyNumberFormat="1" applyFont="1" applyFill="1" applyBorder="1" applyAlignment="1" applyProtection="1">
      <alignment horizontal="center"/>
    </xf>
    <xf numFmtId="0" fontId="2" fillId="14" borderId="109" xfId="0" applyNumberFormat="1" applyFont="1" applyFill="1" applyBorder="1" applyAlignment="1" applyProtection="1">
      <alignment horizontal="center"/>
    </xf>
    <xf numFmtId="0" fontId="2" fillId="14" borderId="109" xfId="0" applyFont="1" applyFill="1" applyBorder="1" applyAlignment="1" applyProtection="1">
      <alignment wrapText="1"/>
    </xf>
    <xf numFmtId="0" fontId="2" fillId="14" borderId="107" xfId="0" applyFont="1" applyFill="1" applyBorder="1" applyAlignment="1" applyProtection="1">
      <alignment wrapText="1"/>
    </xf>
    <xf numFmtId="0" fontId="2" fillId="14" borderId="108" xfId="0" applyFont="1" applyFill="1" applyBorder="1" applyAlignment="1" applyProtection="1">
      <alignment wrapText="1"/>
    </xf>
    <xf numFmtId="0" fontId="2" fillId="29" borderId="4" xfId="0" applyNumberFormat="1" applyFont="1" applyFill="1" applyBorder="1" applyAlignment="1" applyProtection="1">
      <alignment horizontal="center" wrapText="1"/>
      <protection locked="0"/>
    </xf>
    <xf numFmtId="0" fontId="2" fillId="29" borderId="6" xfId="0" applyNumberFormat="1" applyFont="1" applyFill="1" applyBorder="1" applyAlignment="1" applyProtection="1">
      <alignment horizontal="center" wrapText="1"/>
      <protection locked="0"/>
    </xf>
    <xf numFmtId="0" fontId="2" fillId="29" borderId="105" xfId="0" applyNumberFormat="1" applyFont="1" applyFill="1" applyBorder="1" applyAlignment="1" applyProtection="1">
      <alignment horizontal="center" wrapText="1"/>
      <protection locked="0"/>
    </xf>
    <xf numFmtId="0" fontId="2" fillId="29" borderId="54" xfId="0" applyNumberFormat="1" applyFont="1" applyFill="1" applyBorder="1" applyAlignment="1" applyProtection="1">
      <alignment horizontal="center" wrapText="1"/>
      <protection locked="0"/>
    </xf>
    <xf numFmtId="0" fontId="2" fillId="29" borderId="57" xfId="0" applyNumberFormat="1" applyFont="1" applyFill="1" applyBorder="1" applyAlignment="1" applyProtection="1">
      <alignment horizontal="center" wrapText="1"/>
      <protection locked="0"/>
    </xf>
    <xf numFmtId="0" fontId="2" fillId="29" borderId="113" xfId="0" applyNumberFormat="1" applyFont="1" applyFill="1" applyBorder="1" applyAlignment="1" applyProtection="1">
      <alignment horizontal="center" wrapText="1"/>
      <protection locked="0"/>
    </xf>
    <xf numFmtId="0" fontId="2" fillId="29" borderId="61" xfId="0" applyNumberFormat="1" applyFont="1" applyFill="1" applyBorder="1" applyAlignment="1" applyProtection="1">
      <alignment horizontal="center" wrapText="1"/>
      <protection locked="0"/>
    </xf>
    <xf numFmtId="0" fontId="2" fillId="29" borderId="122" xfId="0" applyNumberFormat="1" applyFont="1" applyFill="1" applyBorder="1" applyAlignment="1" applyProtection="1">
      <alignment horizontal="center" wrapText="1"/>
      <protection locked="0"/>
    </xf>
    <xf numFmtId="0" fontId="2" fillId="3" borderId="54" xfId="0" applyNumberFormat="1" applyFont="1" applyFill="1" applyBorder="1" applyAlignment="1" applyProtection="1">
      <alignment horizontal="center" wrapText="1"/>
    </xf>
    <xf numFmtId="0" fontId="2" fillId="3" borderId="37" xfId="0" applyNumberFormat="1" applyFont="1" applyFill="1" applyBorder="1" applyAlignment="1" applyProtection="1">
      <alignment horizontal="center" wrapText="1"/>
    </xf>
    <xf numFmtId="0" fontId="2" fillId="14" borderId="80" xfId="0" applyNumberFormat="1" applyFont="1" applyFill="1" applyBorder="1" applyAlignment="1" applyProtection="1">
      <alignment horizontal="center" wrapText="1"/>
    </xf>
    <xf numFmtId="20" fontId="1" fillId="29" borderId="108" xfId="0" applyNumberFormat="1" applyFont="1" applyFill="1" applyBorder="1" applyAlignment="1" applyProtection="1">
      <alignment horizontal="center" vertical="center"/>
      <protection locked="0"/>
    </xf>
    <xf numFmtId="20" fontId="1" fillId="29" borderId="98" xfId="0" applyNumberFormat="1" applyFont="1" applyFill="1" applyBorder="1" applyAlignment="1" applyProtection="1">
      <alignment horizontal="center" vertical="center"/>
      <protection locked="0"/>
    </xf>
    <xf numFmtId="0" fontId="1" fillId="29" borderId="103" xfId="0" applyNumberFormat="1" applyFont="1" applyFill="1" applyBorder="1" applyAlignment="1" applyProtection="1">
      <alignment horizontal="center" vertical="center" wrapText="1"/>
      <protection locked="0"/>
    </xf>
    <xf numFmtId="0" fontId="1" fillId="29" borderId="83" xfId="0" applyNumberFormat="1" applyFont="1" applyFill="1" applyBorder="1" applyAlignment="1" applyProtection="1">
      <alignment horizontal="center" vertical="center" wrapText="1"/>
      <protection locked="0"/>
    </xf>
    <xf numFmtId="0" fontId="1" fillId="29" borderId="104" xfId="0" applyNumberFormat="1" applyFont="1" applyFill="1" applyBorder="1" applyAlignment="1" applyProtection="1">
      <alignment horizontal="center" vertical="center" wrapText="1"/>
      <protection locked="0"/>
    </xf>
    <xf numFmtId="0" fontId="7" fillId="29" borderId="103" xfId="0" applyNumberFormat="1" applyFont="1" applyFill="1" applyBorder="1" applyAlignment="1" applyProtection="1">
      <alignment horizontal="center" vertical="center"/>
      <protection locked="0"/>
    </xf>
    <xf numFmtId="0" fontId="0" fillId="29" borderId="83" xfId="0" applyNumberFormat="1" applyFont="1" applyFill="1" applyBorder="1" applyAlignment="1" applyProtection="1">
      <alignment horizontal="center" vertical="center"/>
      <protection locked="0"/>
    </xf>
    <xf numFmtId="0" fontId="0" fillId="29" borderId="104" xfId="0" applyNumberFormat="1" applyFont="1" applyFill="1" applyBorder="1" applyAlignment="1" applyProtection="1">
      <alignment horizontal="center" vertical="center"/>
      <protection locked="0"/>
    </xf>
    <xf numFmtId="0" fontId="1" fillId="0" borderId="98" xfId="0" applyNumberFormat="1" applyFont="1" applyFill="1" applyBorder="1" applyAlignment="1">
      <alignment horizontal="left" vertical="center"/>
    </xf>
    <xf numFmtId="0" fontId="32" fillId="0" borderId="66" xfId="0" applyNumberFormat="1" applyFont="1" applyFill="1" applyBorder="1" applyAlignment="1">
      <alignment horizontal="left" vertical="center"/>
    </xf>
    <xf numFmtId="0" fontId="32" fillId="0" borderId="67" xfId="0" applyNumberFormat="1" applyFont="1" applyFill="1" applyBorder="1" applyAlignment="1">
      <alignment horizontal="left" vertical="center"/>
    </xf>
    <xf numFmtId="0" fontId="1" fillId="0" borderId="4" xfId="0" applyNumberFormat="1" applyFont="1" applyFill="1" applyBorder="1" applyAlignment="1">
      <alignment horizontal="left" vertical="center"/>
    </xf>
    <xf numFmtId="0" fontId="1" fillId="0" borderId="7" xfId="0" applyNumberFormat="1" applyFont="1" applyFill="1" applyBorder="1" applyAlignment="1">
      <alignment horizontal="left" vertical="center"/>
    </xf>
    <xf numFmtId="0" fontId="32" fillId="0" borderId="112" xfId="0" applyNumberFormat="1" applyFont="1" applyFill="1" applyBorder="1" applyAlignment="1">
      <alignment horizontal="left" vertical="center"/>
    </xf>
    <xf numFmtId="0" fontId="1" fillId="0" borderId="15" xfId="0" applyNumberFormat="1" applyFont="1" applyFill="1" applyBorder="1" applyAlignment="1">
      <alignment horizontal="left" vertical="center"/>
    </xf>
    <xf numFmtId="0" fontId="32" fillId="0" borderId="70" xfId="0" applyNumberFormat="1" applyFont="1" applyFill="1" applyBorder="1" applyAlignment="1">
      <alignment horizontal="left" vertical="center"/>
    </xf>
    <xf numFmtId="0" fontId="32" fillId="0" borderId="69" xfId="0" applyNumberFormat="1" applyFont="1" applyFill="1" applyBorder="1" applyAlignment="1">
      <alignment horizontal="left" vertical="center"/>
    </xf>
    <xf numFmtId="0" fontId="1" fillId="0" borderId="9" xfId="0" applyNumberFormat="1" applyFont="1" applyFill="1" applyBorder="1" applyAlignment="1">
      <alignment horizontal="left" vertical="center"/>
    </xf>
    <xf numFmtId="0" fontId="32" fillId="0" borderId="68" xfId="0" applyNumberFormat="1" applyFont="1" applyFill="1" applyBorder="1" applyAlignment="1">
      <alignment horizontal="left" vertical="center"/>
    </xf>
    <xf numFmtId="0" fontId="1" fillId="0" borderId="15" xfId="0" applyNumberFormat="1" applyFont="1" applyFill="1" applyBorder="1" applyAlignment="1">
      <alignment horizontal="left" vertical="top"/>
    </xf>
    <xf numFmtId="0" fontId="1" fillId="0" borderId="9" xfId="0" applyNumberFormat="1" applyFont="1" applyFill="1" applyBorder="1" applyAlignment="1">
      <alignment horizontal="left" vertical="top"/>
    </xf>
    <xf numFmtId="0" fontId="1" fillId="0" borderId="7" xfId="0" applyNumberFormat="1" applyFont="1" applyFill="1" applyBorder="1" applyAlignment="1">
      <alignment horizontal="left" vertical="top"/>
    </xf>
    <xf numFmtId="0" fontId="1" fillId="28" borderId="4" xfId="0" applyNumberFormat="1" applyFont="1" applyFill="1" applyBorder="1" applyAlignment="1">
      <alignment horizontal="left" vertical="center" wrapText="1"/>
    </xf>
    <xf numFmtId="0" fontId="1" fillId="28" borderId="9" xfId="0" applyNumberFormat="1" applyFont="1" applyFill="1" applyBorder="1" applyAlignment="1">
      <alignment horizontal="left" vertical="center" wrapText="1"/>
    </xf>
    <xf numFmtId="0" fontId="1" fillId="28" borderId="15" xfId="0" applyNumberFormat="1" applyFont="1" applyFill="1" applyBorder="1" applyAlignment="1">
      <alignment horizontal="left" vertical="center" wrapText="1"/>
    </xf>
    <xf numFmtId="0" fontId="1" fillId="28" borderId="9" xfId="0" applyNumberFormat="1" applyFont="1" applyFill="1" applyBorder="1" applyAlignment="1">
      <alignment horizontal="left" vertical="center"/>
    </xf>
    <xf numFmtId="0" fontId="1" fillId="0" borderId="60" xfId="0" applyNumberFormat="1" applyFont="1" applyFill="1" applyBorder="1" applyAlignment="1">
      <alignment horizontal="left" vertical="center"/>
    </xf>
    <xf numFmtId="0" fontId="1" fillId="0" borderId="6" xfId="0" applyNumberFormat="1" applyFont="1" applyFill="1" applyBorder="1" applyAlignment="1">
      <alignment horizontal="left" vertical="center"/>
    </xf>
    <xf numFmtId="0" fontId="32" fillId="28" borderId="68" xfId="0" applyNumberFormat="1" applyFont="1" applyFill="1" applyBorder="1" applyAlignment="1">
      <alignment horizontal="left" vertical="center" wrapText="1"/>
    </xf>
    <xf numFmtId="0" fontId="32" fillId="28" borderId="69" xfId="0" applyNumberFormat="1" applyFont="1" applyFill="1" applyBorder="1" applyAlignment="1">
      <alignment horizontal="left" vertical="center" wrapText="1"/>
    </xf>
    <xf numFmtId="0" fontId="1" fillId="28" borderId="4" xfId="0" applyNumberFormat="1" applyFont="1" applyFill="1" applyBorder="1" applyAlignment="1">
      <alignment horizontal="left" vertical="center"/>
    </xf>
    <xf numFmtId="0" fontId="1" fillId="28" borderId="7" xfId="0" applyNumberFormat="1" applyFont="1" applyFill="1" applyBorder="1" applyAlignment="1">
      <alignment horizontal="left" vertical="center"/>
    </xf>
    <xf numFmtId="0" fontId="4" fillId="7" borderId="1" xfId="0" applyFont="1" applyFill="1" applyBorder="1" applyAlignment="1">
      <alignment horizontal="center" wrapText="1"/>
    </xf>
    <xf numFmtId="0" fontId="1" fillId="0" borderId="105" xfId="0" applyNumberFormat="1" applyFont="1" applyFill="1" applyBorder="1" applyAlignment="1">
      <alignment horizontal="left" vertical="center"/>
    </xf>
    <xf numFmtId="0" fontId="32" fillId="29" borderId="68" xfId="0" applyNumberFormat="1" applyFont="1" applyFill="1" applyBorder="1" applyAlignment="1" applyProtection="1">
      <alignment horizontal="left" vertical="center"/>
      <protection locked="0"/>
    </xf>
    <xf numFmtId="0" fontId="32" fillId="29" borderId="69" xfId="0" applyNumberFormat="1" applyFont="1" applyFill="1" applyBorder="1" applyAlignment="1" applyProtection="1">
      <alignment horizontal="left" vertical="center"/>
      <protection locked="0"/>
    </xf>
    <xf numFmtId="0" fontId="1" fillId="29" borderId="6" xfId="0" applyNumberFormat="1" applyFont="1" applyFill="1" applyBorder="1" applyAlignment="1" applyProtection="1">
      <alignment horizontal="left" vertical="center"/>
      <protection locked="0"/>
    </xf>
    <xf numFmtId="0" fontId="1" fillId="29" borderId="9" xfId="0" applyNumberFormat="1" applyFont="1" applyFill="1" applyBorder="1" applyAlignment="1" applyProtection="1">
      <alignment horizontal="left" vertical="center"/>
      <protection locked="0"/>
    </xf>
    <xf numFmtId="0" fontId="2" fillId="8" borderId="102" xfId="0" applyNumberFormat="1" applyFont="1" applyFill="1" applyBorder="1" applyAlignment="1">
      <alignment horizontal="center" vertical="center" wrapText="1"/>
    </xf>
    <xf numFmtId="0" fontId="2" fillId="8" borderId="3" xfId="0" applyNumberFormat="1" applyFont="1" applyFill="1" applyBorder="1" applyAlignment="1">
      <alignment horizontal="center" vertical="center" wrapText="1"/>
    </xf>
    <xf numFmtId="0" fontId="2" fillId="8" borderId="58" xfId="0" applyNumberFormat="1" applyFont="1" applyFill="1" applyBorder="1" applyAlignment="1">
      <alignment horizontal="center" vertical="center" wrapText="1"/>
    </xf>
    <xf numFmtId="0" fontId="2" fillId="8" borderId="14" xfId="0" applyNumberFormat="1" applyFont="1" applyFill="1" applyBorder="1" applyAlignment="1">
      <alignment horizontal="center" vertical="center" wrapText="1"/>
    </xf>
    <xf numFmtId="0" fontId="32" fillId="29" borderId="112" xfId="0" applyNumberFormat="1" applyFont="1" applyFill="1" applyBorder="1" applyAlignment="1" applyProtection="1">
      <alignment horizontal="left" vertical="center"/>
      <protection locked="0"/>
    </xf>
    <xf numFmtId="0" fontId="32" fillId="29" borderId="67" xfId="0" applyNumberFormat="1" applyFont="1" applyFill="1" applyBorder="1" applyAlignment="1" applyProtection="1">
      <alignment horizontal="left" vertical="center"/>
      <protection locked="0"/>
    </xf>
    <xf numFmtId="0" fontId="32" fillId="29" borderId="70" xfId="0" applyNumberFormat="1" applyFont="1" applyFill="1" applyBorder="1" applyAlignment="1" applyProtection="1">
      <alignment horizontal="left" vertical="center"/>
      <protection locked="0"/>
    </xf>
    <xf numFmtId="0" fontId="4" fillId="9" borderId="1" xfId="0" applyFont="1" applyFill="1" applyBorder="1" applyAlignment="1" applyProtection="1">
      <alignment horizontal="center" wrapText="1"/>
    </xf>
    <xf numFmtId="0" fontId="4" fillId="9" borderId="99" xfId="0" applyFont="1" applyFill="1" applyBorder="1" applyAlignment="1" applyProtection="1">
      <alignment horizontal="center" wrapText="1"/>
    </xf>
    <xf numFmtId="2" fontId="11" fillId="8" borderId="102" xfId="0" applyNumberFormat="1" applyFont="1" applyFill="1" applyBorder="1" applyAlignment="1">
      <alignment horizontal="center" vertical="center"/>
    </xf>
    <xf numFmtId="2" fontId="11" fillId="8" borderId="3" xfId="0" applyNumberFormat="1" applyFont="1" applyFill="1" applyBorder="1" applyAlignment="1">
      <alignment horizontal="center" vertical="center"/>
    </xf>
    <xf numFmtId="0" fontId="1" fillId="29" borderId="4" xfId="0" applyNumberFormat="1" applyFont="1" applyFill="1" applyBorder="1" applyAlignment="1" applyProtection="1">
      <alignment horizontal="left" vertical="center"/>
      <protection locked="0"/>
    </xf>
    <xf numFmtId="0" fontId="1" fillId="29" borderId="7" xfId="0" applyNumberFormat="1" applyFont="1" applyFill="1" applyBorder="1" applyAlignment="1" applyProtection="1">
      <alignment horizontal="left" vertical="center"/>
      <protection locked="0"/>
    </xf>
    <xf numFmtId="0" fontId="1" fillId="29" borderId="60" xfId="0" applyNumberFormat="1" applyFont="1" applyFill="1" applyBorder="1" applyAlignment="1" applyProtection="1">
      <alignment horizontal="left" vertical="center"/>
      <protection locked="0"/>
    </xf>
    <xf numFmtId="0" fontId="2" fillId="10" borderId="14" xfId="0" applyFont="1" applyFill="1" applyBorder="1" applyAlignment="1">
      <alignment horizontal="center" vertical="center" wrapText="1"/>
    </xf>
    <xf numFmtId="0" fontId="2" fillId="10" borderId="3" xfId="0" applyFont="1" applyFill="1" applyBorder="1" applyAlignment="1">
      <alignment horizontal="center" vertical="center" wrapText="1"/>
    </xf>
    <xf numFmtId="0" fontId="2" fillId="10" borderId="10" xfId="0" applyFont="1" applyFill="1" applyBorder="1" applyAlignment="1">
      <alignment horizontal="center" vertical="center" wrapText="1"/>
    </xf>
    <xf numFmtId="0" fontId="2" fillId="10" borderId="102" xfId="0" applyFont="1" applyFill="1" applyBorder="1" applyAlignment="1">
      <alignment horizontal="center" vertical="center" wrapText="1"/>
    </xf>
    <xf numFmtId="2" fontId="11" fillId="8" borderId="14" xfId="0" applyNumberFormat="1" applyFont="1" applyFill="1" applyBorder="1" applyAlignment="1">
      <alignment horizontal="center" vertical="center"/>
    </xf>
    <xf numFmtId="0" fontId="1" fillId="29" borderId="15" xfId="0" applyNumberFormat="1" applyFont="1" applyFill="1" applyBorder="1" applyAlignment="1" applyProtection="1">
      <alignment horizontal="left" vertical="center"/>
      <protection locked="0"/>
    </xf>
    <xf numFmtId="0" fontId="32" fillId="29" borderId="66" xfId="0" applyNumberFormat="1" applyFont="1" applyFill="1" applyBorder="1" applyAlignment="1" applyProtection="1">
      <alignment horizontal="left" vertical="center"/>
      <protection locked="0"/>
    </xf>
    <xf numFmtId="0" fontId="2" fillId="26" borderId="102" xfId="0" applyFont="1" applyFill="1" applyBorder="1" applyAlignment="1">
      <alignment horizontal="center" vertical="center" wrapText="1"/>
    </xf>
    <xf numFmtId="0" fontId="2" fillId="26" borderId="3" xfId="0" applyFont="1" applyFill="1" applyBorder="1" applyAlignment="1">
      <alignment horizontal="center" vertical="center" wrapText="1"/>
    </xf>
    <xf numFmtId="0" fontId="2" fillId="26" borderId="10" xfId="0" applyFont="1" applyFill="1" applyBorder="1" applyAlignment="1">
      <alignment horizontal="center" vertical="center" wrapText="1"/>
    </xf>
    <xf numFmtId="0" fontId="2" fillId="8" borderId="106" xfId="0" applyFont="1" applyFill="1" applyBorder="1" applyAlignment="1">
      <alignment horizontal="center" wrapText="1"/>
    </xf>
    <xf numFmtId="0" fontId="2" fillId="8" borderId="107" xfId="0" applyFont="1" applyFill="1" applyBorder="1" applyAlignment="1">
      <alignment horizontal="center" wrapText="1"/>
    </xf>
    <xf numFmtId="0" fontId="2" fillId="8" borderId="110" xfId="0" applyFont="1" applyFill="1" applyBorder="1" applyAlignment="1">
      <alignment horizontal="center" wrapText="1"/>
    </xf>
    <xf numFmtId="0" fontId="2" fillId="26" borderId="14" xfId="0" applyFont="1" applyFill="1" applyBorder="1" applyAlignment="1">
      <alignment horizontal="center" vertical="center" wrapText="1"/>
    </xf>
    <xf numFmtId="0" fontId="1" fillId="29" borderId="105" xfId="0" applyNumberFormat="1" applyFont="1" applyFill="1" applyBorder="1" applyAlignment="1" applyProtection="1">
      <alignment horizontal="left" vertical="center"/>
      <protection locked="0"/>
    </xf>
    <xf numFmtId="0" fontId="3" fillId="0" borderId="0" xfId="0" applyNumberFormat="1" applyFont="1" applyFill="1" applyBorder="1" applyAlignment="1">
      <alignment horizontal="center" wrapText="1"/>
    </xf>
    <xf numFmtId="0" fontId="2" fillId="16" borderId="30" xfId="0" applyFont="1" applyFill="1" applyBorder="1" applyAlignment="1">
      <alignment horizontal="center" wrapText="1"/>
    </xf>
    <xf numFmtId="0" fontId="2" fillId="16" borderId="31" xfId="0" applyFont="1" applyFill="1" applyBorder="1" applyAlignment="1">
      <alignment horizontal="center" wrapText="1"/>
    </xf>
    <xf numFmtId="0" fontId="2" fillId="16" borderId="32" xfId="0" applyFont="1" applyFill="1" applyBorder="1" applyAlignment="1">
      <alignment horizontal="center" wrapText="1"/>
    </xf>
    <xf numFmtId="0" fontId="1" fillId="15" borderId="33" xfId="0" applyFont="1" applyFill="1" applyBorder="1" applyAlignment="1">
      <alignment wrapText="1"/>
    </xf>
    <xf numFmtId="0" fontId="1" fillId="15" borderId="5" xfId="0" applyFont="1" applyFill="1" applyBorder="1" applyAlignment="1">
      <alignment wrapText="1"/>
    </xf>
    <xf numFmtId="0" fontId="1" fillId="15" borderId="34" xfId="0" applyFont="1" applyFill="1" applyBorder="1" applyAlignment="1">
      <alignment wrapText="1"/>
    </xf>
    <xf numFmtId="0" fontId="1" fillId="15" borderId="16" xfId="0" applyFont="1" applyFill="1" applyBorder="1" applyAlignment="1">
      <alignment wrapText="1"/>
    </xf>
    <xf numFmtId="0" fontId="1" fillId="15" borderId="0" xfId="0" applyFont="1" applyFill="1" applyBorder="1" applyAlignment="1">
      <alignment wrapText="1"/>
    </xf>
    <xf numFmtId="0" fontId="1" fillId="15" borderId="17" xfId="0" applyFont="1" applyFill="1" applyBorder="1" applyAlignment="1">
      <alignment wrapText="1"/>
    </xf>
    <xf numFmtId="0" fontId="2" fillId="0" borderId="25" xfId="0" applyNumberFormat="1" applyFont="1" applyFill="1" applyBorder="1" applyAlignment="1">
      <alignment horizontal="right" wrapText="1"/>
    </xf>
    <xf numFmtId="0" fontId="1" fillId="0" borderId="21" xfId="0" applyNumberFormat="1" applyFont="1" applyFill="1" applyBorder="1" applyAlignment="1">
      <alignment horizontal="right" wrapText="1"/>
    </xf>
    <xf numFmtId="0" fontId="2" fillId="0" borderId="21" xfId="0" applyNumberFormat="1" applyFont="1" applyFill="1" applyBorder="1" applyAlignment="1">
      <alignment horizontal="right" wrapText="1"/>
    </xf>
    <xf numFmtId="0" fontId="2" fillId="0" borderId="27" xfId="0" applyNumberFormat="1" applyFont="1" applyFill="1" applyBorder="1" applyAlignment="1">
      <alignment horizontal="right" vertical="center" wrapText="1"/>
    </xf>
    <xf numFmtId="0" fontId="2" fillId="0" borderId="28" xfId="0" applyNumberFormat="1" applyFont="1" applyFill="1" applyBorder="1" applyAlignment="1">
      <alignment horizontal="right" vertical="center" wrapText="1"/>
    </xf>
    <xf numFmtId="0" fontId="1" fillId="15" borderId="18" xfId="0" applyFont="1" applyFill="1" applyBorder="1" applyAlignment="1">
      <alignment wrapText="1"/>
    </xf>
    <xf numFmtId="0" fontId="1" fillId="15" borderId="19" xfId="0" applyFont="1" applyFill="1" applyBorder="1" applyAlignment="1">
      <alignment wrapText="1"/>
    </xf>
    <xf numFmtId="0" fontId="1" fillId="15" borderId="20" xfId="0" applyFont="1" applyFill="1" applyBorder="1" applyAlignment="1">
      <alignment wrapText="1"/>
    </xf>
    <xf numFmtId="0" fontId="2" fillId="0" borderId="22" xfId="0" applyNumberFormat="1" applyFont="1" applyFill="1" applyBorder="1" applyAlignment="1">
      <alignment horizontal="right" wrapText="1"/>
    </xf>
    <xf numFmtId="0" fontId="2" fillId="0" borderId="23" xfId="0" applyNumberFormat="1" applyFont="1" applyFill="1" applyBorder="1" applyAlignment="1">
      <alignment horizontal="right" wrapText="1"/>
    </xf>
    <xf numFmtId="0" fontId="4" fillId="7" borderId="99" xfId="0" applyFont="1" applyFill="1" applyBorder="1" applyAlignment="1">
      <alignment horizontal="center" wrapText="1"/>
    </xf>
    <xf numFmtId="0" fontId="2" fillId="19" borderId="14" xfId="0" applyFont="1" applyFill="1" applyBorder="1" applyAlignment="1">
      <alignment horizontal="center" vertical="center" wrapText="1"/>
    </xf>
    <xf numFmtId="0" fontId="2" fillId="19" borderId="3" xfId="0" applyFont="1" applyFill="1" applyBorder="1" applyAlignment="1">
      <alignment horizontal="center" vertical="center" wrapText="1"/>
    </xf>
    <xf numFmtId="0" fontId="2" fillId="19" borderId="102" xfId="0" applyFont="1" applyFill="1" applyBorder="1" applyAlignment="1">
      <alignment horizontal="center" vertical="center" wrapText="1"/>
    </xf>
    <xf numFmtId="0" fontId="2" fillId="19" borderId="10" xfId="0" applyFont="1" applyFill="1" applyBorder="1" applyAlignment="1">
      <alignment horizontal="center" vertical="center" wrapText="1"/>
    </xf>
    <xf numFmtId="0" fontId="2" fillId="12" borderId="106" xfId="0" applyFont="1" applyFill="1" applyBorder="1" applyAlignment="1">
      <alignment horizontal="center" wrapText="1"/>
    </xf>
    <xf numFmtId="0" fontId="2" fillId="12" borderId="107" xfId="0" applyFont="1" applyFill="1" applyBorder="1" applyAlignment="1">
      <alignment horizontal="center" wrapText="1"/>
    </xf>
    <xf numFmtId="0" fontId="2" fillId="12" borderId="110" xfId="0" applyFont="1" applyFill="1" applyBorder="1" applyAlignment="1">
      <alignment horizontal="center" wrapText="1"/>
    </xf>
    <xf numFmtId="0" fontId="4" fillId="11" borderId="1" xfId="0" applyFont="1" applyFill="1" applyBorder="1" applyAlignment="1" applyProtection="1">
      <alignment horizontal="center" wrapText="1"/>
    </xf>
    <xf numFmtId="0" fontId="4" fillId="11" borderId="99" xfId="0" applyFont="1" applyFill="1" applyBorder="1" applyAlignment="1" applyProtection="1">
      <alignment horizontal="center" wrapText="1"/>
    </xf>
    <xf numFmtId="2" fontId="33" fillId="23" borderId="101" xfId="0" applyNumberFormat="1" applyFont="1" applyFill="1" applyBorder="1" applyAlignment="1" applyProtection="1">
      <alignment horizontal="center" vertical="center"/>
      <protection locked="0"/>
    </xf>
    <xf numFmtId="2" fontId="33" fillId="23" borderId="79" xfId="0" applyNumberFormat="1" applyFont="1" applyFill="1" applyBorder="1" applyAlignment="1" applyProtection="1">
      <alignment horizontal="center" vertical="center"/>
      <protection locked="0"/>
    </xf>
    <xf numFmtId="0" fontId="2" fillId="14" borderId="117" xfId="0" applyFont="1" applyFill="1" applyBorder="1" applyAlignment="1" applyProtection="1">
      <alignment horizontal="center" wrapText="1"/>
    </xf>
    <xf numFmtId="0" fontId="2" fillId="14" borderId="118" xfId="0" applyFont="1" applyFill="1" applyBorder="1" applyAlignment="1" applyProtection="1">
      <alignment horizontal="center" wrapText="1"/>
    </xf>
    <xf numFmtId="0" fontId="2" fillId="14" borderId="119" xfId="0" applyFont="1" applyFill="1" applyBorder="1" applyAlignment="1" applyProtection="1">
      <alignment horizontal="center" wrapText="1"/>
    </xf>
    <xf numFmtId="2" fontId="33" fillId="22" borderId="101" xfId="0" applyNumberFormat="1" applyFont="1" applyFill="1" applyBorder="1" applyAlignment="1">
      <alignment horizontal="center" vertical="center"/>
    </xf>
    <xf numFmtId="2" fontId="33" fillId="22" borderId="79" xfId="0" applyNumberFormat="1" applyFont="1" applyFill="1" applyBorder="1" applyAlignment="1">
      <alignment horizontal="center" vertical="center"/>
    </xf>
    <xf numFmtId="2" fontId="33" fillId="27" borderId="101" xfId="0" applyNumberFormat="1" applyFont="1" applyFill="1" applyBorder="1" applyAlignment="1" applyProtection="1">
      <alignment horizontal="center" vertical="center"/>
      <protection locked="0"/>
    </xf>
    <xf numFmtId="2" fontId="33" fillId="27" borderId="79" xfId="0" applyNumberFormat="1" applyFont="1" applyFill="1" applyBorder="1" applyAlignment="1" applyProtection="1">
      <alignment horizontal="center" vertical="center"/>
      <protection locked="0"/>
    </xf>
    <xf numFmtId="2" fontId="33" fillId="24" borderId="79" xfId="0" applyNumberFormat="1" applyFont="1" applyFill="1" applyBorder="1" applyAlignment="1" applyProtection="1">
      <alignment horizontal="center" vertical="center"/>
      <protection locked="0"/>
    </xf>
    <xf numFmtId="0" fontId="4" fillId="13" borderId="106" xfId="0" applyFont="1" applyFill="1" applyBorder="1" applyAlignment="1" applyProtection="1">
      <alignment horizontal="center" wrapText="1"/>
    </xf>
    <xf numFmtId="0" fontId="4" fillId="13" borderId="107" xfId="0" applyFont="1" applyFill="1" applyBorder="1" applyAlignment="1" applyProtection="1">
      <alignment horizontal="center" wrapText="1"/>
    </xf>
    <xf numFmtId="0" fontId="2" fillId="26" borderId="106" xfId="0" applyFont="1" applyFill="1" applyBorder="1" applyAlignment="1">
      <alignment horizontal="center" wrapText="1"/>
    </xf>
    <xf numFmtId="0" fontId="2" fillId="26" borderId="107" xfId="0" applyFont="1" applyFill="1" applyBorder="1" applyAlignment="1">
      <alignment horizontal="center" wrapText="1"/>
    </xf>
    <xf numFmtId="0" fontId="2" fillId="26" borderId="110" xfId="0" applyFont="1" applyFill="1" applyBorder="1" applyAlignment="1">
      <alignment horizontal="center" wrapText="1"/>
    </xf>
    <xf numFmtId="0" fontId="2" fillId="26" borderId="10" xfId="0" applyFont="1" applyFill="1" applyBorder="1" applyAlignment="1">
      <alignment horizontal="center" wrapText="1"/>
    </xf>
    <xf numFmtId="0" fontId="2" fillId="26" borderId="1" xfId="0" applyFont="1" applyFill="1" applyBorder="1" applyAlignment="1">
      <alignment horizontal="center" wrapText="1"/>
    </xf>
    <xf numFmtId="0" fontId="2" fillId="26" borderId="9" xfId="0" applyFont="1" applyFill="1" applyBorder="1" applyAlignment="1">
      <alignment horizontal="center" wrapText="1"/>
    </xf>
    <xf numFmtId="0" fontId="2" fillId="14" borderId="14" xfId="0" applyFont="1" applyFill="1" applyBorder="1" applyAlignment="1">
      <alignment horizontal="center" vertical="center" wrapText="1"/>
    </xf>
    <xf numFmtId="0" fontId="2" fillId="14" borderId="3" xfId="0" applyFont="1" applyFill="1" applyBorder="1" applyAlignment="1">
      <alignment horizontal="center" vertical="center" wrapText="1"/>
    </xf>
    <xf numFmtId="0" fontId="2" fillId="14" borderId="10" xfId="0" applyFont="1" applyFill="1" applyBorder="1" applyAlignment="1">
      <alignment horizontal="center" vertical="center" wrapText="1"/>
    </xf>
    <xf numFmtId="0" fontId="2" fillId="14" borderId="102" xfId="0" applyFont="1" applyFill="1" applyBorder="1" applyAlignment="1">
      <alignment horizontal="center" vertical="center" wrapText="1"/>
    </xf>
    <xf numFmtId="0" fontId="2" fillId="14" borderId="106" xfId="0" applyFont="1" applyFill="1" applyBorder="1" applyAlignment="1">
      <alignment horizontal="center" wrapText="1"/>
    </xf>
    <xf numFmtId="0" fontId="2" fillId="14" borderId="107" xfId="0" applyFont="1" applyFill="1" applyBorder="1" applyAlignment="1">
      <alignment horizontal="center" wrapText="1"/>
    </xf>
    <xf numFmtId="0" fontId="2" fillId="14" borderId="110" xfId="0" applyFont="1" applyFill="1" applyBorder="1" applyAlignment="1">
      <alignment horizontal="center" wrapText="1"/>
    </xf>
    <xf numFmtId="0" fontId="2" fillId="14" borderId="10" xfId="0" applyFont="1" applyFill="1" applyBorder="1" applyAlignment="1">
      <alignment horizontal="center" wrapText="1"/>
    </xf>
    <xf numFmtId="0" fontId="2" fillId="14" borderId="1" xfId="0" applyFont="1" applyFill="1" applyBorder="1" applyAlignment="1">
      <alignment horizontal="center" wrapText="1"/>
    </xf>
    <xf numFmtId="0" fontId="2" fillId="14" borderId="9" xfId="0" applyFont="1" applyFill="1" applyBorder="1" applyAlignment="1">
      <alignment horizontal="center" wrapText="1"/>
    </xf>
    <xf numFmtId="2" fontId="33" fillId="20" borderId="79" xfId="0" applyNumberFormat="1" applyFont="1" applyFill="1" applyBorder="1" applyAlignment="1">
      <alignment horizontal="center" vertical="center"/>
    </xf>
    <xf numFmtId="2" fontId="33" fillId="24" borderId="101" xfId="0" applyNumberFormat="1" applyFont="1" applyFill="1" applyBorder="1" applyAlignment="1" applyProtection="1">
      <alignment horizontal="center" vertical="center"/>
      <protection locked="0"/>
    </xf>
    <xf numFmtId="0" fontId="2" fillId="12" borderId="11" xfId="0" applyFont="1" applyFill="1" applyBorder="1" applyAlignment="1" applyProtection="1">
      <alignment horizontal="center" wrapText="1"/>
    </xf>
    <xf numFmtId="0" fontId="2" fillId="12" borderId="13" xfId="0" applyFont="1" applyFill="1" applyBorder="1" applyAlignment="1" applyProtection="1">
      <alignment horizontal="center" wrapText="1"/>
    </xf>
    <xf numFmtId="0" fontId="2" fillId="12" borderId="12" xfId="0" applyFont="1" applyFill="1" applyBorder="1" applyAlignment="1" applyProtection="1">
      <alignment horizontal="center" wrapText="1"/>
    </xf>
    <xf numFmtId="0" fontId="2" fillId="10" borderId="106" xfId="0" applyFont="1" applyFill="1" applyBorder="1" applyAlignment="1">
      <alignment horizontal="center" wrapText="1"/>
    </xf>
    <xf numFmtId="0" fontId="2" fillId="10" borderId="107" xfId="0" applyFont="1" applyFill="1" applyBorder="1" applyAlignment="1">
      <alignment horizontal="center" wrapText="1"/>
    </xf>
    <xf numFmtId="0" fontId="2" fillId="10" borderId="110" xfId="0" applyFont="1" applyFill="1" applyBorder="1" applyAlignment="1">
      <alignment horizontal="center" wrapText="1"/>
    </xf>
    <xf numFmtId="0" fontId="2" fillId="10" borderId="11" xfId="0" applyFont="1" applyFill="1" applyBorder="1" applyAlignment="1" applyProtection="1">
      <alignment horizontal="center" wrapText="1"/>
    </xf>
    <xf numFmtId="0" fontId="2" fillId="10" borderId="13" xfId="0" applyFont="1" applyFill="1" applyBorder="1" applyAlignment="1" applyProtection="1">
      <alignment horizontal="center" wrapText="1"/>
    </xf>
    <xf numFmtId="0" fontId="2" fillId="10" borderId="12" xfId="0" applyFont="1" applyFill="1" applyBorder="1" applyAlignment="1" applyProtection="1">
      <alignment horizontal="center" wrapText="1"/>
    </xf>
    <xf numFmtId="0" fontId="30" fillId="25" borderId="106" xfId="0" applyFont="1" applyFill="1" applyBorder="1" applyAlignment="1" applyProtection="1">
      <alignment horizontal="center" wrapText="1"/>
    </xf>
    <xf numFmtId="0" fontId="30" fillId="25" borderId="107" xfId="0" applyFont="1" applyFill="1" applyBorder="1" applyAlignment="1" applyProtection="1">
      <alignment horizontal="center" wrapText="1"/>
    </xf>
    <xf numFmtId="0" fontId="2" fillId="26" borderId="114" xfId="0" applyFont="1" applyFill="1" applyBorder="1" applyAlignment="1" applyProtection="1">
      <alignment horizontal="center" wrapText="1"/>
    </xf>
    <xf numFmtId="0" fontId="2" fillId="26" borderId="99" xfId="0" applyFont="1" applyFill="1" applyBorder="1" applyAlignment="1" applyProtection="1">
      <alignment horizontal="center" wrapText="1"/>
    </xf>
    <xf numFmtId="0" fontId="2" fillId="26" borderId="115" xfId="0" applyFont="1" applyFill="1" applyBorder="1" applyAlignment="1" applyProtection="1">
      <alignment horizontal="center" wrapText="1"/>
    </xf>
    <xf numFmtId="0" fontId="2" fillId="2" borderId="39" xfId="0" applyNumberFormat="1" applyFont="1" applyFill="1" applyBorder="1" applyAlignment="1">
      <alignment horizontal="center" vertical="center" wrapText="1"/>
    </xf>
    <xf numFmtId="0" fontId="2" fillId="2" borderId="44" xfId="0" applyNumberFormat="1" applyFont="1" applyFill="1" applyBorder="1" applyAlignment="1">
      <alignment horizontal="center" vertical="center" wrapText="1"/>
    </xf>
    <xf numFmtId="0" fontId="2" fillId="2" borderId="45" xfId="0" applyNumberFormat="1" applyFont="1" applyFill="1" applyBorder="1" applyAlignment="1">
      <alignment horizontal="center" vertical="center" wrapText="1"/>
    </xf>
    <xf numFmtId="0" fontId="28" fillId="4" borderId="52" xfId="0" applyNumberFormat="1" applyFont="1" applyFill="1" applyBorder="1" applyAlignment="1">
      <alignment horizontal="center" vertical="center" wrapText="1"/>
    </xf>
    <xf numFmtId="0" fontId="28" fillId="4" borderId="46" xfId="0" applyNumberFormat="1" applyFont="1" applyFill="1" applyBorder="1" applyAlignment="1">
      <alignment horizontal="center" vertical="center" wrapText="1"/>
    </xf>
    <xf numFmtId="0" fontId="28" fillId="4" borderId="53" xfId="0" applyNumberFormat="1" applyFont="1" applyFill="1" applyBorder="1" applyAlignment="1">
      <alignment horizontal="center" vertical="center" wrapText="1"/>
    </xf>
    <xf numFmtId="0" fontId="29" fillId="4" borderId="52" xfId="0" applyNumberFormat="1" applyFont="1" applyFill="1" applyBorder="1" applyAlignment="1">
      <alignment horizontal="center" vertical="center"/>
    </xf>
    <xf numFmtId="0" fontId="29" fillId="4" borderId="46" xfId="0" applyNumberFormat="1" applyFont="1" applyFill="1" applyBorder="1" applyAlignment="1">
      <alignment horizontal="center" vertical="center"/>
    </xf>
    <xf numFmtId="0" fontId="29" fillId="4" borderId="53" xfId="0" applyNumberFormat="1" applyFont="1" applyFill="1" applyBorder="1" applyAlignment="1">
      <alignment horizontal="center" vertical="center"/>
    </xf>
    <xf numFmtId="0" fontId="3" fillId="0" borderId="0" xfId="0" applyNumberFormat="1" applyFont="1" applyFill="1" applyBorder="1" applyAlignment="1">
      <alignment horizontal="center" vertical="center" wrapText="1"/>
    </xf>
    <xf numFmtId="0" fontId="6" fillId="0" borderId="0" xfId="0" applyNumberFormat="1" applyFont="1" applyFill="1" applyBorder="1" applyAlignment="1">
      <alignment vertical="center" wrapText="1"/>
    </xf>
    <xf numFmtId="0" fontId="1" fillId="0" borderId="0" xfId="0" applyNumberFormat="1" applyFont="1" applyFill="1" applyBorder="1" applyAlignment="1">
      <alignment vertical="center"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wrapText="1"/>
    </xf>
    <xf numFmtId="14" fontId="1" fillId="0" borderId="0" xfId="0" applyNumberFormat="1" applyFont="1" applyFill="1" applyBorder="1" applyAlignment="1">
      <alignment horizontal="left" wrapText="1"/>
    </xf>
    <xf numFmtId="0" fontId="26" fillId="15" borderId="52" xfId="1" applyFont="1" applyFill="1" applyBorder="1" applyAlignment="1">
      <alignment horizontal="left" vertical="center" wrapText="1"/>
    </xf>
    <xf numFmtId="0" fontId="26" fillId="15" borderId="46" xfId="1" applyFont="1" applyFill="1" applyBorder="1" applyAlignment="1">
      <alignment horizontal="left" vertical="center"/>
    </xf>
    <xf numFmtId="0" fontId="26" fillId="15" borderId="53" xfId="1" applyFont="1" applyFill="1" applyBorder="1" applyAlignment="1">
      <alignment horizontal="left" vertical="center"/>
    </xf>
    <xf numFmtId="0" fontId="1" fillId="0" borderId="0" xfId="0" applyNumberFormat="1" applyFont="1" applyFill="1" applyBorder="1" applyAlignment="1">
      <alignment horizontal="left" wrapText="1"/>
    </xf>
    <xf numFmtId="2" fontId="33" fillId="22" borderId="82" xfId="0" applyNumberFormat="1" applyFont="1" applyFill="1" applyBorder="1" applyAlignment="1">
      <alignment horizontal="center" vertical="center"/>
    </xf>
    <xf numFmtId="2" fontId="33" fillId="22" borderId="83" xfId="0" applyNumberFormat="1" applyFont="1" applyFill="1" applyBorder="1" applyAlignment="1">
      <alignment horizontal="center" vertical="center"/>
    </xf>
    <xf numFmtId="2" fontId="33" fillId="22" borderId="86" xfId="0" applyNumberFormat="1" applyFont="1" applyFill="1" applyBorder="1" applyAlignment="1">
      <alignment horizontal="center" vertical="center"/>
    </xf>
    <xf numFmtId="2" fontId="11" fillId="8" borderId="71" xfId="0" applyNumberFormat="1" applyFont="1" applyFill="1" applyBorder="1" applyAlignment="1">
      <alignment horizontal="center" vertical="center"/>
    </xf>
    <xf numFmtId="2" fontId="11" fillId="8" borderId="72" xfId="0" applyNumberFormat="1" applyFont="1" applyFill="1" applyBorder="1" applyAlignment="1">
      <alignment horizontal="center" vertical="center"/>
    </xf>
    <xf numFmtId="2" fontId="11" fillId="8" borderId="76" xfId="0" applyNumberFormat="1" applyFont="1" applyFill="1" applyBorder="1" applyAlignment="1">
      <alignment horizontal="center" vertical="center"/>
    </xf>
    <xf numFmtId="2" fontId="11" fillId="8" borderId="82" xfId="0" applyNumberFormat="1" applyFont="1" applyFill="1" applyBorder="1" applyAlignment="1">
      <alignment horizontal="center" vertical="center"/>
    </xf>
    <xf numFmtId="2" fontId="11" fillId="8" borderId="83" xfId="0" applyNumberFormat="1" applyFont="1" applyFill="1" applyBorder="1" applyAlignment="1">
      <alignment horizontal="center" vertical="center"/>
    </xf>
    <xf numFmtId="2" fontId="11" fillId="8" borderId="86" xfId="0" applyNumberFormat="1" applyFont="1" applyFill="1" applyBorder="1" applyAlignment="1">
      <alignment horizontal="center" vertical="center"/>
    </xf>
    <xf numFmtId="2" fontId="33" fillId="20" borderId="82" xfId="0" applyNumberFormat="1" applyFont="1" applyFill="1" applyBorder="1" applyAlignment="1">
      <alignment horizontal="center" vertical="center"/>
    </xf>
    <xf numFmtId="2" fontId="33" fillId="20" borderId="83" xfId="0" applyNumberFormat="1" applyFont="1" applyFill="1" applyBorder="1" applyAlignment="1">
      <alignment horizontal="center" vertical="center"/>
    </xf>
    <xf numFmtId="2" fontId="33" fillId="20" borderId="84" xfId="0" applyNumberFormat="1" applyFont="1" applyFill="1" applyBorder="1" applyAlignment="1">
      <alignment horizontal="center" vertical="center"/>
    </xf>
    <xf numFmtId="2" fontId="33" fillId="24" borderId="82" xfId="0" applyNumberFormat="1" applyFont="1" applyFill="1" applyBorder="1" applyAlignment="1">
      <alignment horizontal="center" vertical="center"/>
    </xf>
    <xf numFmtId="2" fontId="33" fillId="24" borderId="83" xfId="0" applyNumberFormat="1" applyFont="1" applyFill="1" applyBorder="1" applyAlignment="1">
      <alignment horizontal="center" vertical="center"/>
    </xf>
    <xf numFmtId="2" fontId="33" fillId="24" borderId="86" xfId="0" applyNumberFormat="1" applyFont="1" applyFill="1" applyBorder="1" applyAlignment="1">
      <alignment horizontal="center" vertical="center"/>
    </xf>
    <xf numFmtId="2" fontId="33" fillId="24" borderId="84" xfId="0" applyNumberFormat="1" applyFont="1" applyFill="1" applyBorder="1" applyAlignment="1">
      <alignment horizontal="center" vertical="center"/>
    </xf>
    <xf numFmtId="2" fontId="33" fillId="27" borderId="82" xfId="0" applyNumberFormat="1" applyFont="1" applyFill="1" applyBorder="1" applyAlignment="1">
      <alignment horizontal="center" vertical="center"/>
    </xf>
    <xf numFmtId="2" fontId="33" fillId="27" borderId="83" xfId="0" applyNumberFormat="1" applyFont="1" applyFill="1" applyBorder="1" applyAlignment="1">
      <alignment horizontal="center" vertical="center"/>
    </xf>
    <xf numFmtId="2" fontId="33" fillId="27" borderId="86" xfId="0" applyNumberFormat="1" applyFont="1" applyFill="1" applyBorder="1" applyAlignment="1">
      <alignment horizontal="center" vertical="center"/>
    </xf>
    <xf numFmtId="2" fontId="33" fillId="27" borderId="84" xfId="0" applyNumberFormat="1" applyFont="1" applyFill="1" applyBorder="1" applyAlignment="1">
      <alignment horizontal="center" vertical="center"/>
    </xf>
    <xf numFmtId="2" fontId="33" fillId="23" borderId="82" xfId="0" applyNumberFormat="1" applyFont="1" applyFill="1" applyBorder="1" applyAlignment="1">
      <alignment horizontal="center" vertical="center"/>
    </xf>
    <xf numFmtId="2" fontId="33" fillId="23" borderId="83" xfId="0" applyNumberFormat="1" applyFont="1" applyFill="1" applyBorder="1" applyAlignment="1">
      <alignment horizontal="center" vertical="center"/>
    </xf>
    <xf numFmtId="2" fontId="33" fillId="23" borderId="86" xfId="0" applyNumberFormat="1" applyFont="1" applyFill="1" applyBorder="1" applyAlignment="1">
      <alignment horizontal="center" vertical="center"/>
    </xf>
    <xf numFmtId="2" fontId="33" fillId="23" borderId="84" xfId="0" applyNumberFormat="1" applyFont="1" applyFill="1" applyBorder="1" applyAlignment="1">
      <alignment horizontal="center" vertical="center"/>
    </xf>
    <xf numFmtId="0" fontId="4" fillId="11" borderId="90" xfId="0" applyFont="1" applyFill="1" applyBorder="1" applyAlignment="1">
      <alignment horizontal="center" wrapText="1"/>
    </xf>
    <xf numFmtId="0" fontId="4" fillId="11" borderId="13" xfId="0" applyFont="1" applyFill="1" applyBorder="1" applyAlignment="1">
      <alignment horizontal="center" wrapText="1"/>
    </xf>
    <xf numFmtId="0" fontId="4" fillId="11" borderId="91" xfId="0" applyFont="1" applyFill="1" applyBorder="1" applyAlignment="1">
      <alignment horizontal="center" wrapText="1"/>
    </xf>
    <xf numFmtId="0" fontId="4" fillId="13" borderId="90" xfId="0" applyFont="1" applyFill="1" applyBorder="1" applyAlignment="1">
      <alignment horizontal="center" wrapText="1"/>
    </xf>
    <xf numFmtId="0" fontId="4" fillId="13" borderId="13" xfId="0" applyFont="1" applyFill="1" applyBorder="1" applyAlignment="1">
      <alignment horizontal="center" wrapText="1"/>
    </xf>
    <xf numFmtId="0" fontId="4" fillId="13" borderId="91" xfId="0" applyFont="1" applyFill="1" applyBorder="1" applyAlignment="1">
      <alignment horizontal="center" wrapText="1"/>
    </xf>
    <xf numFmtId="0" fontId="2" fillId="14" borderId="71" xfId="0" applyFont="1" applyFill="1" applyBorder="1" applyAlignment="1">
      <alignment horizontal="center" vertical="center" wrapText="1"/>
    </xf>
    <xf numFmtId="0" fontId="2" fillId="14" borderId="72" xfId="0" applyFont="1" applyFill="1" applyBorder="1" applyAlignment="1">
      <alignment horizontal="center" vertical="center" wrapText="1"/>
    </xf>
    <xf numFmtId="0" fontId="2" fillId="14" borderId="76" xfId="0" applyFont="1" applyFill="1" applyBorder="1" applyAlignment="1">
      <alignment horizontal="center" vertical="center" wrapText="1"/>
    </xf>
    <xf numFmtId="0" fontId="2" fillId="26" borderId="71" xfId="0" applyFont="1" applyFill="1" applyBorder="1" applyAlignment="1">
      <alignment horizontal="center" vertical="center" wrapText="1"/>
    </xf>
    <xf numFmtId="0" fontId="2" fillId="26" borderId="72" xfId="0" applyFont="1" applyFill="1" applyBorder="1" applyAlignment="1">
      <alignment horizontal="center" vertical="center" wrapText="1"/>
    </xf>
    <xf numFmtId="0" fontId="2" fillId="26" borderId="75" xfId="0" applyFont="1" applyFill="1" applyBorder="1" applyAlignment="1">
      <alignment horizontal="center" vertical="center" wrapText="1"/>
    </xf>
    <xf numFmtId="0" fontId="2" fillId="14" borderId="75" xfId="0" applyFont="1" applyFill="1" applyBorder="1" applyAlignment="1">
      <alignment horizontal="center" vertical="center" wrapText="1"/>
    </xf>
    <xf numFmtId="0" fontId="2" fillId="19" borderId="71" xfId="0" applyFont="1" applyFill="1" applyBorder="1" applyAlignment="1">
      <alignment horizontal="center" vertical="center" wrapText="1"/>
    </xf>
    <xf numFmtId="0" fontId="2" fillId="19" borderId="72" xfId="0" applyFont="1" applyFill="1" applyBorder="1" applyAlignment="1">
      <alignment horizontal="center" vertical="center" wrapText="1"/>
    </xf>
    <xf numFmtId="0" fontId="2" fillId="19" borderId="75" xfId="0" applyFont="1" applyFill="1" applyBorder="1" applyAlignment="1">
      <alignment horizontal="center" vertical="center" wrapText="1"/>
    </xf>
    <xf numFmtId="0" fontId="2" fillId="10" borderId="71" xfId="0" applyFont="1" applyFill="1" applyBorder="1" applyAlignment="1">
      <alignment horizontal="center" vertical="center" wrapText="1"/>
    </xf>
    <xf numFmtId="0" fontId="2" fillId="10" borderId="72" xfId="0" applyFont="1" applyFill="1" applyBorder="1" applyAlignment="1">
      <alignment horizontal="center" vertical="center" wrapText="1"/>
    </xf>
    <xf numFmtId="0" fontId="2" fillId="10" borderId="75" xfId="0" applyFont="1" applyFill="1" applyBorder="1" applyAlignment="1">
      <alignment horizontal="center" vertical="center" wrapText="1"/>
    </xf>
    <xf numFmtId="0" fontId="2" fillId="10" borderId="76" xfId="0" applyFont="1" applyFill="1" applyBorder="1" applyAlignment="1">
      <alignment horizontal="center" vertical="center" wrapText="1"/>
    </xf>
    <xf numFmtId="0" fontId="4" fillId="9" borderId="13" xfId="0" applyFont="1" applyFill="1" applyBorder="1" applyAlignment="1">
      <alignment horizontal="center" wrapText="1"/>
    </xf>
    <xf numFmtId="0" fontId="30" fillId="25" borderId="13" xfId="0" applyFont="1" applyFill="1" applyBorder="1" applyAlignment="1">
      <alignment horizontal="center" wrapText="1"/>
    </xf>
    <xf numFmtId="0" fontId="30" fillId="25" borderId="90" xfId="0" applyFont="1" applyFill="1" applyBorder="1" applyAlignment="1">
      <alignment horizontal="center" wrapText="1"/>
    </xf>
    <xf numFmtId="0" fontId="30" fillId="25" borderId="91" xfId="0" applyFont="1" applyFill="1" applyBorder="1" applyAlignment="1">
      <alignment horizontal="center" wrapText="1"/>
    </xf>
    <xf numFmtId="0" fontId="4" fillId="9" borderId="90" xfId="0" applyFont="1" applyFill="1" applyBorder="1" applyAlignment="1">
      <alignment horizontal="center" wrapText="1"/>
    </xf>
    <xf numFmtId="0" fontId="4" fillId="9" borderId="91" xfId="0" applyFont="1" applyFill="1" applyBorder="1" applyAlignment="1">
      <alignment horizontal="center" wrapText="1"/>
    </xf>
    <xf numFmtId="0" fontId="4" fillId="7" borderId="89" xfId="0" applyFont="1" applyFill="1" applyBorder="1" applyAlignment="1">
      <alignment horizontal="center" wrapText="1"/>
    </xf>
    <xf numFmtId="0" fontId="4" fillId="7" borderId="88" xfId="0" applyFont="1" applyFill="1" applyBorder="1" applyAlignment="1">
      <alignment horizontal="center" wrapText="1"/>
    </xf>
    <xf numFmtId="0" fontId="4" fillId="7" borderId="87" xfId="0" applyFont="1" applyFill="1" applyBorder="1" applyAlignment="1">
      <alignment horizontal="center" wrapText="1"/>
    </xf>
    <xf numFmtId="0" fontId="2" fillId="8" borderId="71" xfId="0" applyNumberFormat="1" applyFont="1" applyFill="1" applyBorder="1" applyAlignment="1">
      <alignment horizontal="center" vertical="center" wrapText="1"/>
    </xf>
    <xf numFmtId="0" fontId="2" fillId="8" borderId="72" xfId="0" applyNumberFormat="1" applyFont="1" applyFill="1" applyBorder="1" applyAlignment="1">
      <alignment horizontal="center" vertical="center" wrapText="1"/>
    </xf>
    <xf numFmtId="0" fontId="2" fillId="8" borderId="75" xfId="0" applyNumberFormat="1" applyFont="1" applyFill="1" applyBorder="1" applyAlignment="1">
      <alignment horizontal="center" vertical="center" wrapText="1"/>
    </xf>
    <xf numFmtId="0" fontId="2" fillId="8" borderId="73" xfId="0" applyNumberFormat="1" applyFont="1" applyFill="1" applyBorder="1" applyAlignment="1">
      <alignment horizontal="center" vertical="center" wrapText="1"/>
    </xf>
    <xf numFmtId="0" fontId="2" fillId="8" borderId="74" xfId="0" applyNumberFormat="1" applyFont="1" applyFill="1" applyBorder="1" applyAlignment="1">
      <alignment horizontal="center" vertical="center" wrapText="1"/>
    </xf>
    <xf numFmtId="0" fontId="15" fillId="17" borderId="19" xfId="1" applyFont="1" applyFill="1" applyBorder="1" applyAlignment="1">
      <alignment horizontal="center"/>
    </xf>
    <xf numFmtId="0" fontId="15" fillId="0" borderId="0" xfId="1" applyFont="1" applyAlignment="1" applyProtection="1">
      <alignment horizontal="left"/>
      <protection locked="0"/>
    </xf>
    <xf numFmtId="14" fontId="15" fillId="0" borderId="0" xfId="1" applyNumberFormat="1" applyFont="1" applyAlignment="1" applyProtection="1">
      <alignment horizontal="left"/>
      <protection locked="0"/>
    </xf>
    <xf numFmtId="0" fontId="14" fillId="17" borderId="0" xfId="1" applyFont="1" applyFill="1" applyAlignment="1">
      <alignment horizontal="center"/>
    </xf>
    <xf numFmtId="0" fontId="15" fillId="17" borderId="0" xfId="1" applyFont="1" applyFill="1" applyAlignment="1">
      <alignment horizontal="center"/>
    </xf>
    <xf numFmtId="0" fontId="0" fillId="3" borderId="0" xfId="0" applyNumberFormat="1" applyFont="1" applyFill="1" applyBorder="1" applyAlignment="1">
      <alignment horizontal="center" vertical="center"/>
    </xf>
    <xf numFmtId="0" fontId="0" fillId="0" borderId="0" xfId="0" applyNumberFormat="1" applyFont="1" applyFill="1" applyBorder="1" applyAlignment="1">
      <alignment horizontal="center" vertical="center"/>
    </xf>
    <xf numFmtId="0" fontId="10" fillId="0" borderId="21" xfId="0" applyNumberFormat="1" applyFont="1" applyFill="1" applyBorder="1" applyAlignment="1">
      <alignment horizontal="center"/>
    </xf>
  </cellXfs>
  <cellStyles count="6">
    <cellStyle name="Followed Hyperlink" xfId="4" builtinId="9" hidden="1"/>
    <cellStyle name="Hyperlink 2" xfId="3" xr:uid="{00000000-0005-0000-0000-000001000000}"/>
    <cellStyle name="Normal" xfId="0" builtinId="0"/>
    <cellStyle name="Normal 2" xfId="1" xr:uid="{00000000-0005-0000-0000-000003000000}"/>
    <cellStyle name="Normal 2 2" xfId="5" xr:uid="{00000000-0005-0000-0000-000004000000}"/>
    <cellStyle name="Percent 2" xfId="2" xr:uid="{00000000-0005-0000-0000-000005000000}"/>
  </cellStyles>
  <dxfs count="63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gradientFill degree="180">
          <stop position="0">
            <color theme="0"/>
          </stop>
          <stop position="1">
            <color theme="4"/>
          </stop>
        </gradientFill>
      </fill>
    </dxf>
    <dxf>
      <fill>
        <gradientFill degree="180">
          <stop position="0">
            <color theme="0"/>
          </stop>
          <stop position="1">
            <color theme="4"/>
          </stop>
        </gradient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99CCFF"/>
      <rgbColor rgb="00B3D580"/>
      <rgbColor rgb="00339966"/>
      <rgbColor rgb="00FF0000"/>
      <rgbColor rgb="00003366"/>
      <rgbColor rgb="00FFCC99"/>
      <rgbColor rgb="00FF6600"/>
      <rgbColor rgb="00008000"/>
      <rgbColor rgb="00DDDDDD"/>
      <rgbColor rgb="00E69999"/>
      <rgbColor rgb="00CCFFC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CC"/>
      <rgbColor rgb="00969696"/>
      <rgbColor rgb="00003366"/>
      <rgbColor rgb="00339966"/>
      <rgbColor rgb="00003300"/>
      <rgbColor rgb="00333300"/>
      <rgbColor rgb="00993300"/>
      <rgbColor rgb="00993366"/>
      <rgbColor rgb="00333399"/>
      <rgbColor rgb="00333333"/>
    </indexedColors>
    <mruColors>
      <color rgb="FFFFC221"/>
      <color rgb="FFD9A619"/>
      <color rgb="FFD4D513"/>
      <color rgb="FFD5D514"/>
      <color rgb="FFB75727"/>
      <color rgb="FF37793E"/>
      <color rgb="FFBDBF17"/>
      <color rgb="FFD59E7B"/>
      <color rgb="FF8BA988"/>
      <color rgb="FFB0766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1" Type="http://schemas.openxmlformats.org/officeDocument/2006/relationships/image" Target="../media/image2.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Current Score</a:t>
            </a:r>
          </a:p>
        </c:rich>
      </c:tx>
      <c:layout>
        <c:manualLayout>
          <c:xMode val="edge"/>
          <c:yMode val="edge"/>
          <c:x val="0.68834891732283499"/>
          <c:y val="0.910543130990414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SE"/>
        </a:p>
      </c:txPr>
    </c:title>
    <c:autoTitleDeleted val="0"/>
    <c:plotArea>
      <c:layout/>
      <c:radarChart>
        <c:radarStyle val="filled"/>
        <c:varyColors val="0"/>
        <c:ser>
          <c:idx val="4"/>
          <c:order val="0"/>
          <c:tx>
            <c:strRef>
              <c:f>Scorecard!$V$13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Scorecard!$V$14:$V$28</c:f>
              <c:numCache>
                <c:formatCode>0.00</c:formatCode>
                <c:ptCount val="15"/>
                <c:pt idx="0">
                  <c:v>0</c:v>
                </c:pt>
                <c:pt idx="1">
                  <c:v>0.5</c:v>
                </c:pt>
                <c:pt idx="2">
                  <c:v>1</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6D1C-474B-B425-376F500D9178}"/>
            </c:ext>
          </c:extLst>
        </c:ser>
        <c:ser>
          <c:idx val="5"/>
          <c:order val="1"/>
          <c:tx>
            <c:strRef>
              <c:f>Scorecard!$W$13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Scorecard!$W$14:$W$28</c:f>
              <c:numCache>
                <c:formatCode>0.00</c:formatCode>
                <c:ptCount val="15"/>
                <c:pt idx="0">
                  <c:v>0</c:v>
                </c:pt>
                <c:pt idx="1">
                  <c:v>0</c:v>
                </c:pt>
                <c:pt idx="2">
                  <c:v>0</c:v>
                </c:pt>
                <c:pt idx="3">
                  <c:v>1.5</c:v>
                </c:pt>
                <c:pt idx="4">
                  <c:v>0</c:v>
                </c:pt>
                <c:pt idx="5">
                  <c:v>0.5</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6D1C-474B-B425-376F500D9178}"/>
            </c:ext>
          </c:extLst>
        </c:ser>
        <c:ser>
          <c:idx val="0"/>
          <c:order val="2"/>
          <c:tx>
            <c:strRef>
              <c:f>Scorecard!$X$13</c:f>
              <c:strCache>
                <c:ptCount val="1"/>
                <c:pt idx="0">
                  <c:v>Implementation</c:v>
                </c:pt>
              </c:strCache>
            </c:strRef>
          </c:tx>
          <c:spPr>
            <a:solidFill>
              <a:srgbClr val="FFC221"/>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Scorecard!$X$14:$X$28</c:f>
              <c:numCache>
                <c:formatCode>0.00</c:formatCode>
                <c:ptCount val="15"/>
                <c:pt idx="0">
                  <c:v>0</c:v>
                </c:pt>
                <c:pt idx="1">
                  <c:v>0</c:v>
                </c:pt>
                <c:pt idx="2">
                  <c:v>0</c:v>
                </c:pt>
                <c:pt idx="3">
                  <c:v>0</c:v>
                </c:pt>
                <c:pt idx="4">
                  <c:v>0</c:v>
                </c:pt>
                <c:pt idx="5">
                  <c:v>0</c:v>
                </c:pt>
                <c:pt idx="6">
                  <c:v>0.5</c:v>
                </c:pt>
                <c:pt idx="7">
                  <c:v>0.625</c:v>
                </c:pt>
                <c:pt idx="8">
                  <c:v>0.5</c:v>
                </c:pt>
                <c:pt idx="9">
                  <c:v>0</c:v>
                </c:pt>
                <c:pt idx="10">
                  <c:v>0</c:v>
                </c:pt>
                <c:pt idx="11">
                  <c:v>0</c:v>
                </c:pt>
                <c:pt idx="12">
                  <c:v>0</c:v>
                </c:pt>
                <c:pt idx="13">
                  <c:v>0</c:v>
                </c:pt>
                <c:pt idx="14">
                  <c:v>0</c:v>
                </c:pt>
              </c:numCache>
            </c:numRef>
          </c:val>
          <c:extLst>
            <c:ext xmlns:c16="http://schemas.microsoft.com/office/drawing/2014/chart" uri="{C3380CC4-5D6E-409C-BE32-E72D297353CC}">
              <c16:uniqueId val="{00000002-752F-E14A-A498-6E3B6CCB4C3E}"/>
            </c:ext>
          </c:extLst>
        </c:ser>
        <c:ser>
          <c:idx val="6"/>
          <c:order val="3"/>
          <c:tx>
            <c:strRef>
              <c:f>Scorecard!$Y$13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Scorecard!$Y$14:$Y$28</c:f>
              <c:numCache>
                <c:formatCode>0.00</c:formatCode>
                <c:ptCount val="15"/>
                <c:pt idx="0">
                  <c:v>0</c:v>
                </c:pt>
                <c:pt idx="1">
                  <c:v>0</c:v>
                </c:pt>
                <c:pt idx="2">
                  <c:v>0</c:v>
                </c:pt>
                <c:pt idx="3">
                  <c:v>0</c:v>
                </c:pt>
                <c:pt idx="4">
                  <c:v>0</c:v>
                </c:pt>
                <c:pt idx="5">
                  <c:v>0</c:v>
                </c:pt>
                <c:pt idx="6">
                  <c:v>0</c:v>
                </c:pt>
                <c:pt idx="7">
                  <c:v>0</c:v>
                </c:pt>
                <c:pt idx="8">
                  <c:v>0</c:v>
                </c:pt>
                <c:pt idx="9">
                  <c:v>0.125</c:v>
                </c:pt>
                <c:pt idx="10">
                  <c:v>0</c:v>
                </c:pt>
                <c:pt idx="11">
                  <c:v>0</c:v>
                </c:pt>
                <c:pt idx="12">
                  <c:v>0</c:v>
                </c:pt>
                <c:pt idx="13">
                  <c:v>0</c:v>
                </c:pt>
                <c:pt idx="14">
                  <c:v>0</c:v>
                </c:pt>
              </c:numCache>
            </c:numRef>
          </c:val>
          <c:extLst>
            <c:ext xmlns:c16="http://schemas.microsoft.com/office/drawing/2014/chart" uri="{C3380CC4-5D6E-409C-BE32-E72D297353CC}">
              <c16:uniqueId val="{00000002-6D1C-474B-B425-376F500D9178}"/>
            </c:ext>
          </c:extLst>
        </c:ser>
        <c:ser>
          <c:idx val="7"/>
          <c:order val="4"/>
          <c:tx>
            <c:strRef>
              <c:f>Scorecard!$Z$13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Scorecard!$Z$14:$Z$28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1</c:v>
                </c:pt>
                <c:pt idx="14">
                  <c:v>2.5</c:v>
                </c:pt>
              </c:numCache>
            </c:numRef>
          </c:val>
          <c:extLst>
            <c:ext xmlns:c16="http://schemas.microsoft.com/office/drawing/2014/chart" uri="{C3380CC4-5D6E-409C-BE32-E72D297353CC}">
              <c16:uniqueId val="{00000003-6D1C-474B-B425-376F500D9178}"/>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853951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Chart'!$B$15:$J$15</c:f>
              <c:numCache>
                <c:formatCode>0.00</c:formatCode>
                <c:ptCount val="9"/>
                <c:pt idx="0">
                  <c:v>1.5</c:v>
                </c:pt>
                <c:pt idx="1">
                  <c:v>1.5</c:v>
                </c:pt>
                <c:pt idx="2" formatCode="General">
                  <c:v>1.5</c:v>
                </c:pt>
                <c:pt idx="3">
                  <c:v>1.5</c:v>
                </c:pt>
                <c:pt idx="4" formatCode="General">
                  <c:v>1.5</c:v>
                </c:pt>
                <c:pt idx="5">
                  <c:v>1.5</c:v>
                </c:pt>
                <c:pt idx="6" formatCode="General">
                  <c:v>1.5</c:v>
                </c:pt>
                <c:pt idx="7">
                  <c:v>1.5</c:v>
                </c:pt>
                <c:pt idx="8" formatCode="General">
                  <c:v>1.5</c:v>
                </c:pt>
              </c:numCache>
            </c:numRef>
          </c:val>
          <c:extLst>
            <c:ext xmlns:c16="http://schemas.microsoft.com/office/drawing/2014/chart" uri="{C3380CC4-5D6E-409C-BE32-E72D297353CC}">
              <c16:uniqueId val="{00000000-90F6-46BF-A6D0-6EDA868CD3FB}"/>
            </c:ext>
          </c:extLst>
        </c:ser>
        <c:dLbls>
          <c:showLegendKey val="0"/>
          <c:showVal val="0"/>
          <c:showCatName val="0"/>
          <c:showSerName val="0"/>
          <c:showPercent val="0"/>
          <c:showBubbleSize val="0"/>
        </c:dLbls>
        <c:axId val="-1734317040"/>
        <c:axId val="-1757680912"/>
      </c:areaChart>
      <c:catAx>
        <c:axId val="-173431704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SE"/>
          </a:p>
        </c:txPr>
        <c:crossAx val="-1757680912"/>
        <c:crosses val="autoZero"/>
        <c:auto val="1"/>
        <c:lblAlgn val="ctr"/>
        <c:lblOffset val="100"/>
        <c:tickLblSkip val="9"/>
        <c:tickMarkSkip val="9"/>
        <c:noMultiLvlLbl val="0"/>
      </c:catAx>
      <c:valAx>
        <c:axId val="-17576809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3431704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Chart'!$B$16:$J$16</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EBC-4D66-A4F6-E9E8112D96DC}"/>
            </c:ext>
          </c:extLst>
        </c:ser>
        <c:dLbls>
          <c:showLegendKey val="0"/>
          <c:showVal val="0"/>
          <c:showCatName val="0"/>
          <c:showSerName val="0"/>
          <c:showPercent val="0"/>
          <c:showBubbleSize val="0"/>
        </c:dLbls>
        <c:axId val="-1708566064"/>
        <c:axId val="-1757587024"/>
      </c:areaChart>
      <c:catAx>
        <c:axId val="-170856606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SE"/>
          </a:p>
        </c:txPr>
        <c:crossAx val="-1757587024"/>
        <c:crosses val="autoZero"/>
        <c:auto val="1"/>
        <c:lblAlgn val="ctr"/>
        <c:lblOffset val="100"/>
        <c:tickLblSkip val="9"/>
        <c:tickMarkSkip val="9"/>
        <c:noMultiLvlLbl val="0"/>
      </c:catAx>
      <c:valAx>
        <c:axId val="-1757587024"/>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08566064"/>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B75727"/>
            </a:solidFill>
            <a:ln w="25400">
              <a:noFill/>
            </a:ln>
          </c:spPr>
          <c:val>
            <c:numRef>
              <c:f>'Roadmap Chart'!$B$17:$J$17</c:f>
              <c:numCache>
                <c:formatCode>0.00</c:formatCode>
                <c:ptCount val="9"/>
                <c:pt idx="0">
                  <c:v>0.5</c:v>
                </c:pt>
                <c:pt idx="1">
                  <c:v>0.5</c:v>
                </c:pt>
                <c:pt idx="2" formatCode="General">
                  <c:v>0.5</c:v>
                </c:pt>
                <c:pt idx="3">
                  <c:v>0.5</c:v>
                </c:pt>
                <c:pt idx="4" formatCode="General">
                  <c:v>0.5</c:v>
                </c:pt>
                <c:pt idx="5">
                  <c:v>0.5</c:v>
                </c:pt>
                <c:pt idx="6" formatCode="General">
                  <c:v>0.5</c:v>
                </c:pt>
                <c:pt idx="7">
                  <c:v>0.5</c:v>
                </c:pt>
                <c:pt idx="8" formatCode="General">
                  <c:v>0.5</c:v>
                </c:pt>
              </c:numCache>
            </c:numRef>
          </c:val>
          <c:extLst>
            <c:ext xmlns:c16="http://schemas.microsoft.com/office/drawing/2014/chart" uri="{C3380CC4-5D6E-409C-BE32-E72D297353CC}">
              <c16:uniqueId val="{00000000-1CAD-4BBC-AB04-539BAD828096}"/>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SE"/>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625047683861301"/>
          <c:w val="0.92047529424983898"/>
          <c:h val="0.65000198364863204"/>
        </c:manualLayout>
      </c:layout>
      <c:areaChart>
        <c:grouping val="standard"/>
        <c:varyColors val="0"/>
        <c:ser>
          <c:idx val="0"/>
          <c:order val="0"/>
          <c:spPr>
            <a:solidFill>
              <a:srgbClr val="37793E"/>
            </a:solidFill>
            <a:ln w="25400">
              <a:noFill/>
            </a:ln>
          </c:spPr>
          <c:val>
            <c:numRef>
              <c:f>'Roadmap Chart'!$B$21:$J$21</c:f>
              <c:numCache>
                <c:formatCode>0.00</c:formatCode>
                <c:ptCount val="9"/>
                <c:pt idx="0">
                  <c:v>0.125</c:v>
                </c:pt>
                <c:pt idx="1">
                  <c:v>0.125</c:v>
                </c:pt>
                <c:pt idx="2" formatCode="General">
                  <c:v>0.125</c:v>
                </c:pt>
                <c:pt idx="3">
                  <c:v>0.125</c:v>
                </c:pt>
                <c:pt idx="4" formatCode="General">
                  <c:v>0.125</c:v>
                </c:pt>
                <c:pt idx="5">
                  <c:v>0.125</c:v>
                </c:pt>
                <c:pt idx="6" formatCode="General">
                  <c:v>0.125</c:v>
                </c:pt>
                <c:pt idx="7">
                  <c:v>0.125</c:v>
                </c:pt>
                <c:pt idx="8" formatCode="General">
                  <c:v>0.125</c:v>
                </c:pt>
              </c:numCache>
            </c:numRef>
          </c:val>
          <c:extLst>
            <c:ext xmlns:c16="http://schemas.microsoft.com/office/drawing/2014/chart" uri="{C3380CC4-5D6E-409C-BE32-E72D297353CC}">
              <c16:uniqueId val="{00000000-A766-4434-9D8C-312C28E6E1F1}"/>
            </c:ext>
          </c:extLst>
        </c:ser>
        <c:dLbls>
          <c:showLegendKey val="0"/>
          <c:showVal val="0"/>
          <c:showCatName val="0"/>
          <c:showSerName val="0"/>
          <c:showPercent val="0"/>
          <c:showBubbleSize val="0"/>
        </c:dLbls>
        <c:axId val="-1734308736"/>
        <c:axId val="-1734306416"/>
      </c:areaChart>
      <c:catAx>
        <c:axId val="-17343087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SE"/>
          </a:p>
        </c:txPr>
        <c:crossAx val="-1734306416"/>
        <c:crosses val="autoZero"/>
        <c:auto val="1"/>
        <c:lblAlgn val="ctr"/>
        <c:lblOffset val="100"/>
        <c:tickLblSkip val="9"/>
        <c:tickMarkSkip val="9"/>
        <c:noMultiLvlLbl val="0"/>
      </c:catAx>
      <c:valAx>
        <c:axId val="-173430641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343087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527950310558999"/>
          <c:w val="0.92060886742575798"/>
          <c:h val="0.65217391304347905"/>
        </c:manualLayout>
      </c:layout>
      <c:areaChart>
        <c:grouping val="standard"/>
        <c:varyColors val="0"/>
        <c:ser>
          <c:idx val="0"/>
          <c:order val="0"/>
          <c:spPr>
            <a:solidFill>
              <a:srgbClr val="37793E"/>
            </a:solidFill>
            <a:ln w="25400">
              <a:noFill/>
            </a:ln>
          </c:spPr>
          <c:val>
            <c:numRef>
              <c:f>'Roadmap Chart'!$B$22:$J$22</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7BA-4A3D-8CF8-482269D47B74}"/>
            </c:ext>
          </c:extLst>
        </c:ser>
        <c:dLbls>
          <c:showLegendKey val="0"/>
          <c:showVal val="0"/>
          <c:showCatName val="0"/>
          <c:showSerName val="0"/>
          <c:showPercent val="0"/>
          <c:showBubbleSize val="0"/>
        </c:dLbls>
        <c:axId val="-1730467536"/>
        <c:axId val="-1757796352"/>
      </c:areaChart>
      <c:catAx>
        <c:axId val="-17304675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SE"/>
          </a:p>
        </c:txPr>
        <c:crossAx val="-1757796352"/>
        <c:crosses val="autoZero"/>
        <c:auto val="1"/>
        <c:lblAlgn val="ctr"/>
        <c:lblOffset val="100"/>
        <c:tickLblSkip val="9"/>
        <c:tickMarkSkip val="9"/>
        <c:noMultiLvlLbl val="0"/>
      </c:catAx>
      <c:valAx>
        <c:axId val="-175779635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304675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2372881355902E-2"/>
          <c:y val="0.15527950310558999"/>
          <c:w val="0.92033898305084705"/>
          <c:h val="0.65217391304347905"/>
        </c:manualLayout>
      </c:layout>
      <c:areaChart>
        <c:grouping val="standard"/>
        <c:varyColors val="0"/>
        <c:ser>
          <c:idx val="0"/>
          <c:order val="0"/>
          <c:spPr>
            <a:solidFill>
              <a:srgbClr val="37793E"/>
            </a:solidFill>
            <a:ln w="25400">
              <a:noFill/>
            </a:ln>
          </c:spPr>
          <c:val>
            <c:numRef>
              <c:f>'Roadmap Chart'!$B$23:$J$23</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9EA7-44E3-A7C9-332FF630466A}"/>
            </c:ext>
          </c:extLst>
        </c:ser>
        <c:dLbls>
          <c:showLegendKey val="0"/>
          <c:showVal val="0"/>
          <c:showCatName val="0"/>
          <c:showSerName val="0"/>
          <c:showPercent val="0"/>
          <c:showBubbleSize val="0"/>
        </c:dLbls>
        <c:axId val="-1757435280"/>
        <c:axId val="-1757432960"/>
      </c:areaChart>
      <c:catAx>
        <c:axId val="-175743528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SE"/>
          </a:p>
        </c:txPr>
        <c:crossAx val="-1757432960"/>
        <c:crosses val="autoZero"/>
        <c:auto val="1"/>
        <c:lblAlgn val="ctr"/>
        <c:lblOffset val="100"/>
        <c:tickLblSkip val="9"/>
        <c:tickMarkSkip val="9"/>
        <c:noMultiLvlLbl val="0"/>
      </c:catAx>
      <c:valAx>
        <c:axId val="-175743296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5743528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432191793208599"/>
          <c:w val="0.92047529424983898"/>
          <c:h val="0.654324932032046"/>
        </c:manualLayout>
      </c:layout>
      <c:areaChart>
        <c:grouping val="standard"/>
        <c:varyColors val="0"/>
        <c:ser>
          <c:idx val="0"/>
          <c:order val="0"/>
          <c:spPr>
            <a:solidFill>
              <a:srgbClr val="791F17"/>
            </a:solidFill>
            <a:ln w="25400">
              <a:noFill/>
            </a:ln>
          </c:spPr>
          <c:val>
            <c:numRef>
              <c:f>'Roadmap Chart'!$B$24:$J$24</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B2F-4148-B1E2-C3E071367C71}"/>
            </c:ext>
          </c:extLst>
        </c:ser>
        <c:dLbls>
          <c:showLegendKey val="0"/>
          <c:showVal val="0"/>
          <c:showCatName val="0"/>
          <c:showSerName val="0"/>
          <c:showPercent val="0"/>
          <c:showBubbleSize val="0"/>
        </c:dLbls>
        <c:axId val="-1757543872"/>
        <c:axId val="-1733835056"/>
      </c:areaChart>
      <c:catAx>
        <c:axId val="-175754387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SE"/>
          </a:p>
        </c:txPr>
        <c:crossAx val="-1733835056"/>
        <c:crosses val="autoZero"/>
        <c:auto val="1"/>
        <c:lblAlgn val="ctr"/>
        <c:lblOffset val="100"/>
        <c:tickLblSkip val="9"/>
        <c:tickMarkSkip val="9"/>
        <c:noMultiLvlLbl val="0"/>
      </c:catAx>
      <c:valAx>
        <c:axId val="-173383505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5754387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Chart'!$B$25:$J$25</c:f>
              <c:numCache>
                <c:formatCode>0.00</c:formatCode>
                <c:ptCount val="9"/>
                <c:pt idx="0">
                  <c:v>1</c:v>
                </c:pt>
                <c:pt idx="1">
                  <c:v>1</c:v>
                </c:pt>
                <c:pt idx="2" formatCode="General">
                  <c:v>1</c:v>
                </c:pt>
                <c:pt idx="3">
                  <c:v>1</c:v>
                </c:pt>
                <c:pt idx="4" formatCode="General">
                  <c:v>1</c:v>
                </c:pt>
                <c:pt idx="5">
                  <c:v>1</c:v>
                </c:pt>
                <c:pt idx="6" formatCode="General">
                  <c:v>1</c:v>
                </c:pt>
                <c:pt idx="7">
                  <c:v>1</c:v>
                </c:pt>
                <c:pt idx="8" formatCode="General">
                  <c:v>1</c:v>
                </c:pt>
              </c:numCache>
            </c:numRef>
          </c:val>
          <c:extLst>
            <c:ext xmlns:c16="http://schemas.microsoft.com/office/drawing/2014/chart" uri="{C3380CC4-5D6E-409C-BE32-E72D297353CC}">
              <c16:uniqueId val="{00000000-F070-44D2-89E0-142AC72699B2}"/>
            </c:ext>
          </c:extLst>
        </c:ser>
        <c:dLbls>
          <c:showLegendKey val="0"/>
          <c:showVal val="0"/>
          <c:showCatName val="0"/>
          <c:showSerName val="0"/>
          <c:showPercent val="0"/>
          <c:showBubbleSize val="0"/>
        </c:dLbls>
        <c:axId val="-1708151760"/>
        <c:axId val="-1708149440"/>
      </c:areaChart>
      <c:catAx>
        <c:axId val="-170815176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SE"/>
          </a:p>
        </c:txPr>
        <c:crossAx val="-1708149440"/>
        <c:crosses val="autoZero"/>
        <c:auto val="1"/>
        <c:lblAlgn val="ctr"/>
        <c:lblOffset val="100"/>
        <c:tickLblSkip val="9"/>
        <c:tickMarkSkip val="9"/>
        <c:noMultiLvlLbl val="0"/>
      </c:catAx>
      <c:valAx>
        <c:axId val="-170814944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0815176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Chart'!$B$26:$J$26</c:f>
              <c:numCache>
                <c:formatCode>0.00</c:formatCode>
                <c:ptCount val="9"/>
                <c:pt idx="0">
                  <c:v>2.5</c:v>
                </c:pt>
                <c:pt idx="1">
                  <c:v>2.5</c:v>
                </c:pt>
                <c:pt idx="2" formatCode="General">
                  <c:v>2.5</c:v>
                </c:pt>
                <c:pt idx="3">
                  <c:v>2.5</c:v>
                </c:pt>
                <c:pt idx="4" formatCode="General">
                  <c:v>2.5</c:v>
                </c:pt>
                <c:pt idx="5">
                  <c:v>2.5</c:v>
                </c:pt>
                <c:pt idx="6" formatCode="General">
                  <c:v>2.5</c:v>
                </c:pt>
                <c:pt idx="7">
                  <c:v>2.5</c:v>
                </c:pt>
                <c:pt idx="8" formatCode="General">
                  <c:v>2.5</c:v>
                </c:pt>
              </c:numCache>
            </c:numRef>
          </c:val>
          <c:extLst>
            <c:ext xmlns:c16="http://schemas.microsoft.com/office/drawing/2014/chart" uri="{C3380CC4-5D6E-409C-BE32-E72D297353CC}">
              <c16:uniqueId val="{00000000-738E-4145-9B06-670AEB96F08E}"/>
            </c:ext>
          </c:extLst>
        </c:ser>
        <c:dLbls>
          <c:showLegendKey val="0"/>
          <c:showVal val="0"/>
          <c:showCatName val="0"/>
          <c:showSerName val="0"/>
          <c:showPercent val="0"/>
          <c:showBubbleSize val="0"/>
        </c:dLbls>
        <c:axId val="-1757456832"/>
        <c:axId val="-1757454512"/>
      </c:areaChart>
      <c:catAx>
        <c:axId val="-175745683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SE"/>
          </a:p>
        </c:txPr>
        <c:crossAx val="-1757454512"/>
        <c:crosses val="autoZero"/>
        <c:auto val="1"/>
        <c:lblAlgn val="ctr"/>
        <c:lblOffset val="100"/>
        <c:tickLblSkip val="9"/>
        <c:tickMarkSkip val="9"/>
        <c:noMultiLvlLbl val="0"/>
      </c:catAx>
      <c:valAx>
        <c:axId val="-17574545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5745683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tx>
            <c:strRef>
              <c:f>'Roadmap Chart'!$AA$11</c:f>
              <c:strCache>
                <c:ptCount val="1"/>
                <c:pt idx="0">
                  <c:v>Phase 4</c:v>
                </c:pt>
              </c:strCache>
            </c:strRef>
          </c:tx>
          <c:spPr>
            <a:solidFill>
              <a:schemeClr val="accent3"/>
            </a:solidFill>
            <a:ln>
              <a:solidFill>
                <a:schemeClr val="accent3"/>
              </a:solidFill>
            </a:ln>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Chart'!$AA$12:$AA$26</c:f>
              <c:numCache>
                <c:formatCode>0.00</c:formatCode>
                <c:ptCount val="15"/>
                <c:pt idx="0">
                  <c:v>0.125</c:v>
                </c:pt>
                <c:pt idx="1">
                  <c:v>0.5</c:v>
                </c:pt>
                <c:pt idx="2">
                  <c:v>1</c:v>
                </c:pt>
                <c:pt idx="3">
                  <c:v>1.5</c:v>
                </c:pt>
                <c:pt idx="4">
                  <c:v>0</c:v>
                </c:pt>
                <c:pt idx="5">
                  <c:v>0.5</c:v>
                </c:pt>
                <c:pt idx="6">
                  <c:v>0</c:v>
                </c:pt>
                <c:pt idx="7">
                  <c:v>0</c:v>
                </c:pt>
                <c:pt idx="8">
                  <c:v>0</c:v>
                </c:pt>
                <c:pt idx="9">
                  <c:v>0.125</c:v>
                </c:pt>
                <c:pt idx="10">
                  <c:v>0</c:v>
                </c:pt>
                <c:pt idx="11">
                  <c:v>0</c:v>
                </c:pt>
                <c:pt idx="12">
                  <c:v>0</c:v>
                </c:pt>
                <c:pt idx="13">
                  <c:v>1</c:v>
                </c:pt>
                <c:pt idx="14">
                  <c:v>2.5</c:v>
                </c:pt>
              </c:numCache>
            </c:numRef>
          </c:val>
          <c:extLst>
            <c:ext xmlns:c16="http://schemas.microsoft.com/office/drawing/2014/chart" uri="{C3380CC4-5D6E-409C-BE32-E72D297353CC}">
              <c16:uniqueId val="{00000000-47DE-45B4-A333-13B34FC5CC07}"/>
            </c:ext>
          </c:extLst>
        </c:ser>
        <c:ser>
          <c:idx val="1"/>
          <c:order val="1"/>
          <c:tx>
            <c:strRef>
              <c:f>'Roadmap Chart'!$AB$11</c:f>
              <c:strCache>
                <c:ptCount val="1"/>
                <c:pt idx="0">
                  <c:v>Phase 3</c:v>
                </c:pt>
              </c:strCache>
            </c:strRef>
          </c:tx>
          <c:spPr>
            <a:solidFill>
              <a:srgbClr val="00B0F0"/>
            </a:solidFill>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Chart'!$AB$12:$AB$26</c:f>
              <c:numCache>
                <c:formatCode>0.00</c:formatCode>
                <c:ptCount val="15"/>
                <c:pt idx="0">
                  <c:v>0.125</c:v>
                </c:pt>
                <c:pt idx="1">
                  <c:v>0.5</c:v>
                </c:pt>
                <c:pt idx="2">
                  <c:v>1</c:v>
                </c:pt>
                <c:pt idx="3">
                  <c:v>1.5</c:v>
                </c:pt>
                <c:pt idx="4">
                  <c:v>0</c:v>
                </c:pt>
                <c:pt idx="5">
                  <c:v>0.5</c:v>
                </c:pt>
                <c:pt idx="6">
                  <c:v>0</c:v>
                </c:pt>
                <c:pt idx="7">
                  <c:v>0</c:v>
                </c:pt>
                <c:pt idx="8">
                  <c:v>0</c:v>
                </c:pt>
                <c:pt idx="9">
                  <c:v>0.125</c:v>
                </c:pt>
                <c:pt idx="10">
                  <c:v>0</c:v>
                </c:pt>
                <c:pt idx="11">
                  <c:v>0</c:v>
                </c:pt>
                <c:pt idx="12">
                  <c:v>0</c:v>
                </c:pt>
                <c:pt idx="13">
                  <c:v>1</c:v>
                </c:pt>
                <c:pt idx="14">
                  <c:v>2.5</c:v>
                </c:pt>
              </c:numCache>
            </c:numRef>
          </c:val>
          <c:extLst>
            <c:ext xmlns:c16="http://schemas.microsoft.com/office/drawing/2014/chart" uri="{C3380CC4-5D6E-409C-BE32-E72D297353CC}">
              <c16:uniqueId val="{00000001-47DE-45B4-A333-13B34FC5CC07}"/>
            </c:ext>
          </c:extLst>
        </c:ser>
        <c:ser>
          <c:idx val="2"/>
          <c:order val="2"/>
          <c:tx>
            <c:strRef>
              <c:f>'Roadmap Chart'!$AC$11</c:f>
              <c:strCache>
                <c:ptCount val="1"/>
                <c:pt idx="0">
                  <c:v>Phase 2</c:v>
                </c:pt>
              </c:strCache>
            </c:strRef>
          </c:tx>
          <c:spPr>
            <a:solidFill>
              <a:srgbClr val="FFC000"/>
            </a:solidFill>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Chart'!$AC$12:$AC$26</c:f>
              <c:numCache>
                <c:formatCode>0.00</c:formatCode>
                <c:ptCount val="15"/>
                <c:pt idx="0">
                  <c:v>0.125</c:v>
                </c:pt>
                <c:pt idx="1">
                  <c:v>0.5</c:v>
                </c:pt>
                <c:pt idx="2">
                  <c:v>1</c:v>
                </c:pt>
                <c:pt idx="3">
                  <c:v>1.5</c:v>
                </c:pt>
                <c:pt idx="4">
                  <c:v>0</c:v>
                </c:pt>
                <c:pt idx="5">
                  <c:v>0.5</c:v>
                </c:pt>
                <c:pt idx="6">
                  <c:v>0</c:v>
                </c:pt>
                <c:pt idx="7">
                  <c:v>0</c:v>
                </c:pt>
                <c:pt idx="8">
                  <c:v>0</c:v>
                </c:pt>
                <c:pt idx="9">
                  <c:v>0.125</c:v>
                </c:pt>
                <c:pt idx="10">
                  <c:v>0</c:v>
                </c:pt>
                <c:pt idx="11">
                  <c:v>0</c:v>
                </c:pt>
                <c:pt idx="12">
                  <c:v>0</c:v>
                </c:pt>
                <c:pt idx="13">
                  <c:v>1</c:v>
                </c:pt>
                <c:pt idx="14">
                  <c:v>2.5</c:v>
                </c:pt>
              </c:numCache>
            </c:numRef>
          </c:val>
          <c:extLst>
            <c:ext xmlns:c16="http://schemas.microsoft.com/office/drawing/2014/chart" uri="{C3380CC4-5D6E-409C-BE32-E72D297353CC}">
              <c16:uniqueId val="{00000002-47DE-45B4-A333-13B34FC5CC07}"/>
            </c:ext>
          </c:extLst>
        </c:ser>
        <c:ser>
          <c:idx val="3"/>
          <c:order val="3"/>
          <c:tx>
            <c:strRef>
              <c:f>'Roadmap Chart'!$AD$11</c:f>
              <c:strCache>
                <c:ptCount val="1"/>
                <c:pt idx="0">
                  <c:v>Phase 1</c:v>
                </c:pt>
              </c:strCache>
            </c:strRef>
          </c:tx>
          <c:spPr>
            <a:solidFill>
              <a:schemeClr val="accent2"/>
            </a:solidFill>
            <a:ln>
              <a:solidFill>
                <a:schemeClr val="accent2"/>
              </a:solidFill>
            </a:ln>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Chart'!$AD$12:$AD$26</c:f>
              <c:numCache>
                <c:formatCode>0.00</c:formatCode>
                <c:ptCount val="15"/>
                <c:pt idx="0">
                  <c:v>0.125</c:v>
                </c:pt>
                <c:pt idx="1">
                  <c:v>0.5</c:v>
                </c:pt>
                <c:pt idx="2">
                  <c:v>1</c:v>
                </c:pt>
                <c:pt idx="3">
                  <c:v>1.5</c:v>
                </c:pt>
                <c:pt idx="4">
                  <c:v>0</c:v>
                </c:pt>
                <c:pt idx="5">
                  <c:v>0.5</c:v>
                </c:pt>
                <c:pt idx="6">
                  <c:v>0</c:v>
                </c:pt>
                <c:pt idx="7">
                  <c:v>0</c:v>
                </c:pt>
                <c:pt idx="8">
                  <c:v>0</c:v>
                </c:pt>
                <c:pt idx="9">
                  <c:v>0.125</c:v>
                </c:pt>
                <c:pt idx="10">
                  <c:v>0</c:v>
                </c:pt>
                <c:pt idx="11">
                  <c:v>0</c:v>
                </c:pt>
                <c:pt idx="12">
                  <c:v>0</c:v>
                </c:pt>
                <c:pt idx="13">
                  <c:v>1</c:v>
                </c:pt>
                <c:pt idx="14">
                  <c:v>2.5</c:v>
                </c:pt>
              </c:numCache>
            </c:numRef>
          </c:val>
          <c:extLst>
            <c:ext xmlns:c16="http://schemas.microsoft.com/office/drawing/2014/chart" uri="{C3380CC4-5D6E-409C-BE32-E72D297353CC}">
              <c16:uniqueId val="{00000003-47DE-45B4-A333-13B34FC5CC07}"/>
            </c:ext>
          </c:extLst>
        </c:ser>
        <c:ser>
          <c:idx val="4"/>
          <c:order val="4"/>
          <c:tx>
            <c:strRef>
              <c:f>'Roadmap Chart'!$AE$11</c:f>
              <c:strCache>
                <c:ptCount val="1"/>
                <c:pt idx="0">
                  <c:v>Start</c:v>
                </c:pt>
              </c:strCache>
            </c:strRef>
          </c:tx>
          <c:spPr>
            <a:solidFill>
              <a:schemeClr val="bg2">
                <a:lumMod val="90000"/>
              </a:schemeClr>
            </a:solidFill>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Chart'!$AE$12:$AE$26</c:f>
              <c:numCache>
                <c:formatCode>0.00</c:formatCode>
                <c:ptCount val="15"/>
                <c:pt idx="0">
                  <c:v>0</c:v>
                </c:pt>
                <c:pt idx="1">
                  <c:v>0.5</c:v>
                </c:pt>
                <c:pt idx="2">
                  <c:v>1</c:v>
                </c:pt>
                <c:pt idx="3">
                  <c:v>1.5</c:v>
                </c:pt>
                <c:pt idx="4">
                  <c:v>0</c:v>
                </c:pt>
                <c:pt idx="5">
                  <c:v>0.5</c:v>
                </c:pt>
                <c:pt idx="6">
                  <c:v>0.5</c:v>
                </c:pt>
                <c:pt idx="7">
                  <c:v>0.625</c:v>
                </c:pt>
                <c:pt idx="8">
                  <c:v>0.5</c:v>
                </c:pt>
                <c:pt idx="9">
                  <c:v>0.125</c:v>
                </c:pt>
                <c:pt idx="10">
                  <c:v>0</c:v>
                </c:pt>
                <c:pt idx="11">
                  <c:v>0</c:v>
                </c:pt>
                <c:pt idx="12">
                  <c:v>0</c:v>
                </c:pt>
                <c:pt idx="13">
                  <c:v>1</c:v>
                </c:pt>
                <c:pt idx="14">
                  <c:v>2.5</c:v>
                </c:pt>
              </c:numCache>
            </c:numRef>
          </c:val>
          <c:extLst>
            <c:ext xmlns:c16="http://schemas.microsoft.com/office/drawing/2014/chart" uri="{C3380CC4-5D6E-409C-BE32-E72D297353CC}">
              <c16:uniqueId val="{00000000-6BE1-4C0A-80AB-A8DC500F7FEA}"/>
            </c:ext>
          </c:extLst>
        </c:ser>
        <c:dLbls>
          <c:showLegendKey val="0"/>
          <c:showVal val="0"/>
          <c:showCatName val="0"/>
          <c:showSerName val="0"/>
          <c:showPercent val="0"/>
          <c:showBubbleSize val="0"/>
        </c:dLbls>
        <c:axId val="-1708641200"/>
        <c:axId val="-1708638880"/>
      </c:radarChart>
      <c:catAx>
        <c:axId val="-1708641200"/>
        <c:scaling>
          <c:orientation val="minMax"/>
        </c:scaling>
        <c:delete val="0"/>
        <c:axPos val="b"/>
        <c:majorGridlines/>
        <c:numFmt formatCode="General" sourceLinked="0"/>
        <c:majorTickMark val="out"/>
        <c:minorTickMark val="none"/>
        <c:tickLblPos val="nextTo"/>
        <c:txPr>
          <a:bodyPr/>
          <a:lstStyle/>
          <a:p>
            <a:pPr>
              <a:defRPr b="1"/>
            </a:pPr>
            <a:endParaRPr lang="en-SE"/>
          </a:p>
        </c:txPr>
        <c:crossAx val="-1708638880"/>
        <c:crosses val="autoZero"/>
        <c:auto val="1"/>
        <c:lblAlgn val="ctr"/>
        <c:lblOffset val="100"/>
        <c:noMultiLvlLbl val="0"/>
      </c:catAx>
      <c:valAx>
        <c:axId val="-1708638880"/>
        <c:scaling>
          <c:orientation val="minMax"/>
        </c:scaling>
        <c:delete val="0"/>
        <c:axPos val="l"/>
        <c:majorGridlines/>
        <c:numFmt formatCode="0.00" sourceLinked="1"/>
        <c:majorTickMark val="cross"/>
        <c:minorTickMark val="none"/>
        <c:tickLblPos val="nextTo"/>
        <c:txPr>
          <a:bodyPr/>
          <a:lstStyle/>
          <a:p>
            <a:pPr>
              <a:defRPr sz="1100" b="0">
                <a:latin typeface="+mj-lt"/>
              </a:defRPr>
            </a:pPr>
            <a:endParaRPr lang="en-SE"/>
          </a:p>
        </c:txPr>
        <c:crossAx val="-1708641200"/>
        <c:crosses val="autoZero"/>
        <c:crossBetween val="between"/>
        <c:majorUnit val="1"/>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II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33"/>
          <c:order val="0"/>
          <c:tx>
            <c:strRef>
              <c:f>Scorecard!$V$53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Scorecard!$V$54:$V$68</c:f>
              <c:numCache>
                <c:formatCode>0.00</c:formatCode>
                <c:ptCount val="15"/>
                <c:pt idx="0">
                  <c:v>0.125</c:v>
                </c:pt>
                <c:pt idx="1">
                  <c:v>0.5</c:v>
                </c:pt>
                <c:pt idx="2">
                  <c:v>1</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4-92BD-004F-9A33-A59F8BD6CF3C}"/>
            </c:ext>
          </c:extLst>
        </c:ser>
        <c:ser>
          <c:idx val="34"/>
          <c:order val="1"/>
          <c:tx>
            <c:strRef>
              <c:f>Scorecard!$W$53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Scorecard!$W$54:$W$68</c:f>
              <c:numCache>
                <c:formatCode>0.00</c:formatCode>
                <c:ptCount val="15"/>
                <c:pt idx="0">
                  <c:v>0</c:v>
                </c:pt>
                <c:pt idx="1">
                  <c:v>0</c:v>
                </c:pt>
                <c:pt idx="2">
                  <c:v>0</c:v>
                </c:pt>
                <c:pt idx="3">
                  <c:v>1.5</c:v>
                </c:pt>
                <c:pt idx="4">
                  <c:v>0</c:v>
                </c:pt>
                <c:pt idx="5">
                  <c:v>0.5</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5-92BD-004F-9A33-A59F8BD6CF3C}"/>
            </c:ext>
          </c:extLst>
        </c:ser>
        <c:ser>
          <c:idx val="35"/>
          <c:order val="2"/>
          <c:tx>
            <c:strRef>
              <c:f>Scorecard!$X$53</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Scorecard!$X$54:$X$68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6-92BD-004F-9A33-A59F8BD6CF3C}"/>
            </c:ext>
          </c:extLst>
        </c:ser>
        <c:ser>
          <c:idx val="36"/>
          <c:order val="3"/>
          <c:tx>
            <c:strRef>
              <c:f>Scorecard!$Y$53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Scorecard!$Y$54:$Y$68</c:f>
              <c:numCache>
                <c:formatCode>0.00</c:formatCode>
                <c:ptCount val="15"/>
                <c:pt idx="0">
                  <c:v>0</c:v>
                </c:pt>
                <c:pt idx="1">
                  <c:v>0</c:v>
                </c:pt>
                <c:pt idx="2">
                  <c:v>0</c:v>
                </c:pt>
                <c:pt idx="3">
                  <c:v>0</c:v>
                </c:pt>
                <c:pt idx="4">
                  <c:v>0</c:v>
                </c:pt>
                <c:pt idx="5">
                  <c:v>0</c:v>
                </c:pt>
                <c:pt idx="6">
                  <c:v>0</c:v>
                </c:pt>
                <c:pt idx="7">
                  <c:v>0</c:v>
                </c:pt>
                <c:pt idx="8">
                  <c:v>0</c:v>
                </c:pt>
                <c:pt idx="9">
                  <c:v>0.125</c:v>
                </c:pt>
                <c:pt idx="10">
                  <c:v>0</c:v>
                </c:pt>
                <c:pt idx="11">
                  <c:v>0</c:v>
                </c:pt>
                <c:pt idx="12">
                  <c:v>0</c:v>
                </c:pt>
                <c:pt idx="13">
                  <c:v>0</c:v>
                </c:pt>
                <c:pt idx="14">
                  <c:v>0</c:v>
                </c:pt>
              </c:numCache>
            </c:numRef>
          </c:val>
          <c:extLst>
            <c:ext xmlns:c16="http://schemas.microsoft.com/office/drawing/2014/chart" uri="{C3380CC4-5D6E-409C-BE32-E72D297353CC}">
              <c16:uniqueId val="{000000A7-92BD-004F-9A33-A59F8BD6CF3C}"/>
            </c:ext>
          </c:extLst>
        </c:ser>
        <c:ser>
          <c:idx val="37"/>
          <c:order val="4"/>
          <c:tx>
            <c:strRef>
              <c:f>Scorecard!$Z$53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Scorecard!$Z$54:$Z$68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1</c:v>
                </c:pt>
                <c:pt idx="14">
                  <c:v>2.5</c:v>
                </c:pt>
              </c:numCache>
            </c:numRef>
          </c:val>
          <c:extLst>
            <c:ext xmlns:c16="http://schemas.microsoft.com/office/drawing/2014/chart" uri="{C3380CC4-5D6E-409C-BE32-E72D297353CC}">
              <c16:uniqueId val="{000000A8-92BD-004F-9A33-A59F8BD6CF3C}"/>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853951552"/>
        <c:crosses val="autoZero"/>
        <c:crossBetween val="between"/>
      </c:valAx>
      <c:spPr>
        <a:noFill/>
        <a:ln>
          <a:noFill/>
        </a:ln>
        <a:effectLst/>
      </c:spPr>
    </c:plotArea>
    <c:plotVisOnly val="1"/>
    <c:dispBlanksAs val="gap"/>
    <c:showDLblsOverMax val="0"/>
  </c:chart>
  <c:txPr>
    <a:bodyPr/>
    <a:lstStyle/>
    <a:p>
      <a:pPr>
        <a:defRPr/>
      </a:pPr>
      <a:endParaRPr lang="en-SE"/>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D4D513"/>
            </a:solidFill>
            <a:ln w="25400">
              <a:noFill/>
            </a:ln>
          </c:spPr>
          <c:val>
            <c:numRef>
              <c:f>'Roadmap Chart'!$B$18:$J$18</c:f>
              <c:numCache>
                <c:formatCode>0.00</c:formatCode>
                <c:ptCount val="9"/>
                <c:pt idx="0">
                  <c:v>0.5</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E901-5149-8859-3366AD68058F}"/>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SE"/>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D4D513"/>
            </a:solidFill>
            <a:ln w="25400">
              <a:noFill/>
            </a:ln>
          </c:spPr>
          <c:val>
            <c:numRef>
              <c:f>'Roadmap Chart'!$B$19:$J$19</c:f>
              <c:numCache>
                <c:formatCode>0.00</c:formatCode>
                <c:ptCount val="9"/>
                <c:pt idx="0">
                  <c:v>0.625</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F129-1149-98F4-AD91611A04F0}"/>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SE"/>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D4D513"/>
            </a:solidFill>
            <a:ln w="25400">
              <a:noFill/>
            </a:ln>
          </c:spPr>
          <c:val>
            <c:numRef>
              <c:f>'Roadmap Chart'!$B$20:$J$20</c:f>
              <c:numCache>
                <c:formatCode>0.00</c:formatCode>
                <c:ptCount val="9"/>
                <c:pt idx="0">
                  <c:v>0.5</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4D04-F744-9C91-540A1BF8AE82}"/>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SE"/>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4"/>
          <c:order val="0"/>
          <c:tx>
            <c:strRef>
              <c:f>Scorecard!$V$33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Scorecard!$V$34:$V$48</c:f>
              <c:numCache>
                <c:formatCode>0.00</c:formatCode>
                <c:ptCount val="15"/>
                <c:pt idx="0">
                  <c:v>0.125</c:v>
                </c:pt>
                <c:pt idx="1">
                  <c:v>0.5</c:v>
                </c:pt>
                <c:pt idx="2">
                  <c:v>1</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6-8723-3D41-BC05-A3F8A7C269E2}"/>
            </c:ext>
          </c:extLst>
        </c:ser>
        <c:ser>
          <c:idx val="5"/>
          <c:order val="1"/>
          <c:tx>
            <c:strRef>
              <c:f>Scorecard!$W$33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Scorecard!$W$34:$W$48</c:f>
              <c:numCache>
                <c:formatCode>0.00</c:formatCode>
                <c:ptCount val="15"/>
                <c:pt idx="0">
                  <c:v>0</c:v>
                </c:pt>
                <c:pt idx="1">
                  <c:v>0</c:v>
                </c:pt>
                <c:pt idx="2">
                  <c:v>0</c:v>
                </c:pt>
                <c:pt idx="3">
                  <c:v>1.5</c:v>
                </c:pt>
                <c:pt idx="4">
                  <c:v>0</c:v>
                </c:pt>
                <c:pt idx="5">
                  <c:v>0.5</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8-8723-3D41-BC05-A3F8A7C269E2}"/>
            </c:ext>
          </c:extLst>
        </c:ser>
        <c:ser>
          <c:idx val="0"/>
          <c:order val="2"/>
          <c:tx>
            <c:strRef>
              <c:f>Scorecard!$X$33</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Scorecard!$X$34:$X$48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A-8723-3D41-BC05-A3F8A7C269E2}"/>
            </c:ext>
          </c:extLst>
        </c:ser>
        <c:ser>
          <c:idx val="6"/>
          <c:order val="3"/>
          <c:tx>
            <c:strRef>
              <c:f>Scorecard!$Y$33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Scorecard!$Y$34:$Y$48</c:f>
              <c:numCache>
                <c:formatCode>0.00</c:formatCode>
                <c:ptCount val="15"/>
                <c:pt idx="0">
                  <c:v>0</c:v>
                </c:pt>
                <c:pt idx="1">
                  <c:v>0</c:v>
                </c:pt>
                <c:pt idx="2">
                  <c:v>0</c:v>
                </c:pt>
                <c:pt idx="3">
                  <c:v>0</c:v>
                </c:pt>
                <c:pt idx="4">
                  <c:v>0</c:v>
                </c:pt>
                <c:pt idx="5">
                  <c:v>0</c:v>
                </c:pt>
                <c:pt idx="6">
                  <c:v>0</c:v>
                </c:pt>
                <c:pt idx="7">
                  <c:v>0</c:v>
                </c:pt>
                <c:pt idx="8">
                  <c:v>0</c:v>
                </c:pt>
                <c:pt idx="9">
                  <c:v>0.125</c:v>
                </c:pt>
                <c:pt idx="10">
                  <c:v>0</c:v>
                </c:pt>
                <c:pt idx="11">
                  <c:v>0</c:v>
                </c:pt>
                <c:pt idx="12">
                  <c:v>0</c:v>
                </c:pt>
                <c:pt idx="13">
                  <c:v>0</c:v>
                </c:pt>
                <c:pt idx="14">
                  <c:v>0</c:v>
                </c:pt>
              </c:numCache>
            </c:numRef>
          </c:val>
          <c:extLst>
            <c:ext xmlns:c16="http://schemas.microsoft.com/office/drawing/2014/chart" uri="{C3380CC4-5D6E-409C-BE32-E72D297353CC}">
              <c16:uniqueId val="{0000004C-8723-3D41-BC05-A3F8A7C269E2}"/>
            </c:ext>
          </c:extLst>
        </c:ser>
        <c:ser>
          <c:idx val="7"/>
          <c:order val="4"/>
          <c:tx>
            <c:strRef>
              <c:f>Scorecard!$Z$33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Scorecard!$Z$34:$Z$48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1</c:v>
                </c:pt>
                <c:pt idx="14">
                  <c:v>2.5</c:v>
                </c:pt>
              </c:numCache>
            </c:numRef>
          </c:val>
          <c:extLst>
            <c:ext xmlns:c16="http://schemas.microsoft.com/office/drawing/2014/chart" uri="{C3380CC4-5D6E-409C-BE32-E72D297353CC}">
              <c16:uniqueId val="{0000004E-8723-3D41-BC05-A3F8A7C269E2}"/>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853951552"/>
        <c:crosses val="autoZero"/>
        <c:crossBetween val="between"/>
      </c:valAx>
      <c:spPr>
        <a:noFill/>
        <a:ln>
          <a:noFill/>
        </a:ln>
        <a:effectLst/>
      </c:spPr>
    </c:plotArea>
    <c:plotVisOnly val="1"/>
    <c:dispBlanksAs val="gap"/>
    <c:showDLblsOverMax val="0"/>
  </c:chart>
  <c:txPr>
    <a:bodyPr/>
    <a:lstStyle/>
    <a:p>
      <a:pPr>
        <a:defRPr/>
      </a:pPr>
      <a:endParaRPr lang="en-S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IV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33"/>
          <c:order val="0"/>
          <c:tx>
            <c:strRef>
              <c:f>Scorecard!$V$93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Scorecard!$V$94:$V$108</c:f>
              <c:numCache>
                <c:formatCode>0.00</c:formatCode>
                <c:ptCount val="15"/>
                <c:pt idx="0">
                  <c:v>0.125</c:v>
                </c:pt>
                <c:pt idx="1">
                  <c:v>0.5</c:v>
                </c:pt>
                <c:pt idx="2">
                  <c:v>1</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D-CDF9-E44B-A18C-459D8F1A3863}"/>
            </c:ext>
          </c:extLst>
        </c:ser>
        <c:ser>
          <c:idx val="34"/>
          <c:order val="1"/>
          <c:tx>
            <c:strRef>
              <c:f>Scorecard!$W$93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Scorecard!$W$94:$W$108</c:f>
              <c:numCache>
                <c:formatCode>0.00</c:formatCode>
                <c:ptCount val="15"/>
                <c:pt idx="0">
                  <c:v>0</c:v>
                </c:pt>
                <c:pt idx="1">
                  <c:v>0</c:v>
                </c:pt>
                <c:pt idx="2">
                  <c:v>0</c:v>
                </c:pt>
                <c:pt idx="3">
                  <c:v>1.5</c:v>
                </c:pt>
                <c:pt idx="4">
                  <c:v>0</c:v>
                </c:pt>
                <c:pt idx="5">
                  <c:v>0.5</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F-CDF9-E44B-A18C-459D8F1A3863}"/>
            </c:ext>
          </c:extLst>
        </c:ser>
        <c:ser>
          <c:idx val="35"/>
          <c:order val="2"/>
          <c:tx>
            <c:strRef>
              <c:f>Scorecard!$X$93</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Scorecard!$X$94:$X$108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B1-CDF9-E44B-A18C-459D8F1A3863}"/>
            </c:ext>
          </c:extLst>
        </c:ser>
        <c:ser>
          <c:idx val="36"/>
          <c:order val="3"/>
          <c:tx>
            <c:strRef>
              <c:f>Scorecard!$Y$93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Scorecard!$Y$94:$Y$108</c:f>
              <c:numCache>
                <c:formatCode>0.00</c:formatCode>
                <c:ptCount val="15"/>
                <c:pt idx="0">
                  <c:v>0</c:v>
                </c:pt>
                <c:pt idx="1">
                  <c:v>0</c:v>
                </c:pt>
                <c:pt idx="2">
                  <c:v>0</c:v>
                </c:pt>
                <c:pt idx="3">
                  <c:v>0</c:v>
                </c:pt>
                <c:pt idx="4">
                  <c:v>0</c:v>
                </c:pt>
                <c:pt idx="5">
                  <c:v>0</c:v>
                </c:pt>
                <c:pt idx="6">
                  <c:v>0</c:v>
                </c:pt>
                <c:pt idx="7">
                  <c:v>0</c:v>
                </c:pt>
                <c:pt idx="8">
                  <c:v>0</c:v>
                </c:pt>
                <c:pt idx="9">
                  <c:v>0.125</c:v>
                </c:pt>
                <c:pt idx="10">
                  <c:v>0</c:v>
                </c:pt>
                <c:pt idx="11">
                  <c:v>0</c:v>
                </c:pt>
                <c:pt idx="12">
                  <c:v>0</c:v>
                </c:pt>
                <c:pt idx="13">
                  <c:v>0</c:v>
                </c:pt>
                <c:pt idx="14">
                  <c:v>0</c:v>
                </c:pt>
              </c:numCache>
            </c:numRef>
          </c:val>
          <c:extLst>
            <c:ext xmlns:c16="http://schemas.microsoft.com/office/drawing/2014/chart" uri="{C3380CC4-5D6E-409C-BE32-E72D297353CC}">
              <c16:uniqueId val="{000000B3-CDF9-E44B-A18C-459D8F1A3863}"/>
            </c:ext>
          </c:extLst>
        </c:ser>
        <c:ser>
          <c:idx val="37"/>
          <c:order val="4"/>
          <c:tx>
            <c:strRef>
              <c:f>Scorecard!$Z$93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Scorecard!$Z$94:$Z$108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1</c:v>
                </c:pt>
                <c:pt idx="14">
                  <c:v>2.5</c:v>
                </c:pt>
              </c:numCache>
            </c:numRef>
          </c:val>
          <c:extLst>
            <c:ext xmlns:c16="http://schemas.microsoft.com/office/drawing/2014/chart" uri="{C3380CC4-5D6E-409C-BE32-E72D297353CC}">
              <c16:uniqueId val="{000000B5-CDF9-E44B-A18C-459D8F1A3863}"/>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853951552"/>
        <c:crosses val="autoZero"/>
        <c:crossBetween val="between"/>
      </c:valAx>
      <c:spPr>
        <a:noFill/>
        <a:ln>
          <a:noFill/>
        </a:ln>
        <a:effectLst/>
      </c:spPr>
    </c:plotArea>
    <c:plotVisOnly val="1"/>
    <c:dispBlanksAs val="gap"/>
    <c:showDLblsOverMax val="0"/>
  </c:chart>
  <c:txPr>
    <a:bodyPr/>
    <a:lstStyle/>
    <a:p>
      <a:pPr>
        <a:defRPr/>
      </a:pPr>
      <a:endParaRPr lang="en-S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III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33"/>
          <c:order val="0"/>
          <c:tx>
            <c:strRef>
              <c:f>Scorecard!$V$72</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Scorecard!$V$73:$V$87</c:f>
              <c:numCache>
                <c:formatCode>0.00</c:formatCode>
                <c:ptCount val="15"/>
                <c:pt idx="0">
                  <c:v>0.125</c:v>
                </c:pt>
                <c:pt idx="1">
                  <c:v>0.5</c:v>
                </c:pt>
                <c:pt idx="2">
                  <c:v>1</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CF-3005-7443-9F78-ED4B41D4A512}"/>
            </c:ext>
          </c:extLst>
        </c:ser>
        <c:ser>
          <c:idx val="34"/>
          <c:order val="1"/>
          <c:tx>
            <c:strRef>
              <c:f>Scorecard!$W$72</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Scorecard!$W$73:$W$87</c:f>
              <c:numCache>
                <c:formatCode>0.00</c:formatCode>
                <c:ptCount val="15"/>
                <c:pt idx="0">
                  <c:v>0</c:v>
                </c:pt>
                <c:pt idx="1">
                  <c:v>0</c:v>
                </c:pt>
                <c:pt idx="2">
                  <c:v>0</c:v>
                </c:pt>
                <c:pt idx="3">
                  <c:v>1.5</c:v>
                </c:pt>
                <c:pt idx="4">
                  <c:v>0</c:v>
                </c:pt>
                <c:pt idx="5">
                  <c:v>0.5</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D1-3005-7443-9F78-ED4B41D4A512}"/>
            </c:ext>
          </c:extLst>
        </c:ser>
        <c:ser>
          <c:idx val="35"/>
          <c:order val="2"/>
          <c:tx>
            <c:strRef>
              <c:f>Scorecard!$X$72</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Scorecard!$X$73:$X$87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D3-3005-7443-9F78-ED4B41D4A512}"/>
            </c:ext>
          </c:extLst>
        </c:ser>
        <c:ser>
          <c:idx val="36"/>
          <c:order val="3"/>
          <c:tx>
            <c:strRef>
              <c:f>Scorecard!$Y$72</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Scorecard!$Y$73:$Y$87</c:f>
              <c:numCache>
                <c:formatCode>0.00</c:formatCode>
                <c:ptCount val="15"/>
                <c:pt idx="0">
                  <c:v>0</c:v>
                </c:pt>
                <c:pt idx="1">
                  <c:v>0</c:v>
                </c:pt>
                <c:pt idx="2">
                  <c:v>0</c:v>
                </c:pt>
                <c:pt idx="3">
                  <c:v>0</c:v>
                </c:pt>
                <c:pt idx="4">
                  <c:v>0</c:v>
                </c:pt>
                <c:pt idx="5">
                  <c:v>0</c:v>
                </c:pt>
                <c:pt idx="6">
                  <c:v>0</c:v>
                </c:pt>
                <c:pt idx="7">
                  <c:v>0</c:v>
                </c:pt>
                <c:pt idx="8">
                  <c:v>0</c:v>
                </c:pt>
                <c:pt idx="9">
                  <c:v>0.125</c:v>
                </c:pt>
                <c:pt idx="10">
                  <c:v>0</c:v>
                </c:pt>
                <c:pt idx="11">
                  <c:v>0</c:v>
                </c:pt>
                <c:pt idx="12">
                  <c:v>0</c:v>
                </c:pt>
                <c:pt idx="13">
                  <c:v>0</c:v>
                </c:pt>
                <c:pt idx="14">
                  <c:v>0</c:v>
                </c:pt>
              </c:numCache>
            </c:numRef>
          </c:val>
          <c:extLst>
            <c:ext xmlns:c16="http://schemas.microsoft.com/office/drawing/2014/chart" uri="{C3380CC4-5D6E-409C-BE32-E72D297353CC}">
              <c16:uniqueId val="{000001D5-3005-7443-9F78-ED4B41D4A512}"/>
            </c:ext>
          </c:extLst>
        </c:ser>
        <c:ser>
          <c:idx val="37"/>
          <c:order val="4"/>
          <c:tx>
            <c:strRef>
              <c:f>Scorecard!$Z$72</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Scorecard!$Z$73:$Z$87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1</c:v>
                </c:pt>
                <c:pt idx="14">
                  <c:v>2.5</c:v>
                </c:pt>
              </c:numCache>
            </c:numRef>
          </c:val>
          <c:extLst>
            <c:ext xmlns:c16="http://schemas.microsoft.com/office/drawing/2014/chart" uri="{C3380CC4-5D6E-409C-BE32-E72D297353CC}">
              <c16:uniqueId val="{000001D7-3005-7443-9F78-ED4B41D4A512}"/>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853951552"/>
        <c:crosses val="autoZero"/>
        <c:crossBetween val="between"/>
      </c:valAx>
      <c:spPr>
        <a:noFill/>
        <a:ln>
          <a:noFill/>
        </a:ln>
        <a:effectLst/>
      </c:spPr>
    </c:plotArea>
    <c:plotVisOnly val="1"/>
    <c:dispBlanksAs val="gap"/>
    <c:showDLblsOverMax val="0"/>
  </c:chart>
  <c:txPr>
    <a:bodyPr/>
    <a:lstStyle/>
    <a:p>
      <a:pPr>
        <a:defRPr/>
      </a:pPr>
      <a:endParaRPr lang="en-S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6178055086399501E-2"/>
          <c:y val="7.9787234042553203E-3"/>
          <c:w val="0.94939079780008895"/>
          <c:h val="0.98457446808510596"/>
        </c:manualLayout>
      </c:layout>
      <c:areaChart>
        <c:grouping val="stacke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Chart'!$Y$4:$AA$4</c:f>
              <c:numCache>
                <c:formatCode>General</c:formatCode>
                <c:ptCount val="3"/>
                <c:pt idx="0">
                  <c:v>1</c:v>
                </c:pt>
                <c:pt idx="1">
                  <c:v>1</c:v>
                </c:pt>
                <c:pt idx="2">
                  <c:v>1</c:v>
                </c:pt>
              </c:numCache>
            </c:numRef>
          </c:val>
          <c:extLst>
            <c:ext xmlns:c16="http://schemas.microsoft.com/office/drawing/2014/chart" uri="{C3380CC4-5D6E-409C-BE32-E72D297353CC}">
              <c16:uniqueId val="{00000000-F85B-4E97-B4D9-8FFB484729A0}"/>
            </c:ext>
          </c:extLst>
        </c:ser>
        <c:dLbls>
          <c:showLegendKey val="0"/>
          <c:showVal val="0"/>
          <c:showCatName val="0"/>
          <c:showSerName val="0"/>
          <c:showPercent val="0"/>
          <c:showBubbleSize val="0"/>
        </c:dLbls>
        <c:axId val="-1708389504"/>
        <c:axId val="-1708387728"/>
      </c:areaChart>
      <c:catAx>
        <c:axId val="-1708389504"/>
        <c:scaling>
          <c:orientation val="minMax"/>
        </c:scaling>
        <c:delete val="0"/>
        <c:axPos val="b"/>
        <c:majorTickMark val="none"/>
        <c:minorTickMark val="none"/>
        <c:tickLblPos val="none"/>
        <c:spPr>
          <a:ln w="9525">
            <a:noFill/>
          </a:ln>
        </c:spPr>
        <c:crossAx val="-1708387728"/>
        <c:crosses val="autoZero"/>
        <c:auto val="1"/>
        <c:lblAlgn val="ctr"/>
        <c:lblOffset val="100"/>
        <c:tickMarkSkip val="1"/>
        <c:noMultiLvlLbl val="0"/>
      </c:catAx>
      <c:valAx>
        <c:axId val="-1708387728"/>
        <c:scaling>
          <c:orientation val="minMax"/>
          <c:max val="1"/>
        </c:scaling>
        <c:delete val="0"/>
        <c:axPos val="l"/>
        <c:majorGridlines>
          <c:spPr>
            <a:ln w="3175">
              <a:solidFill>
                <a:srgbClr val="000000"/>
              </a:solidFill>
              <a:prstDash val="solid"/>
            </a:ln>
          </c:spPr>
        </c:majorGridlines>
        <c:numFmt formatCode="General" sourceLinked="1"/>
        <c:majorTickMark val="none"/>
        <c:minorTickMark val="none"/>
        <c:tickLblPos val="none"/>
        <c:spPr>
          <a:ln w="9525">
            <a:noFill/>
          </a:ln>
        </c:spPr>
        <c:crossAx val="-1708389504"/>
        <c:crosses val="autoZero"/>
        <c:crossBetween val="midCat"/>
      </c:valAx>
      <c:spPr>
        <a:solidFill>
          <a:srgbClr val="C0C0C0"/>
        </a:solidFill>
        <a:ln w="12700">
          <a:solidFill>
            <a:srgbClr val="808080"/>
          </a:solidFill>
          <a:prstDash val="solid"/>
        </a:ln>
      </c:spPr>
    </c:plotArea>
    <c:plotVisOnly val="1"/>
    <c:dispBlanksAs val="zero"/>
    <c:showDLblsOverMax val="0"/>
  </c:chart>
  <c:spPr>
    <a:noFill/>
    <a:ln w="9525">
      <a:noFill/>
    </a:ln>
  </c:spPr>
  <c:txPr>
    <a:bodyPr/>
    <a:lstStyle/>
    <a:p>
      <a:pPr>
        <a:defRPr sz="925"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6025741347038699"/>
          <c:w val="0.92047529424983898"/>
          <c:h val="0.64102965388154698"/>
        </c:manualLayout>
      </c:layout>
      <c:areaChart>
        <c:grouping val="standard"/>
        <c:varyColors val="0"/>
        <c:ser>
          <c:idx val="0"/>
          <c:order val="0"/>
          <c:spPr>
            <a:solidFill>
              <a:srgbClr val="3290C4"/>
            </a:solidFill>
            <a:ln w="25400">
              <a:noFill/>
            </a:ln>
          </c:spPr>
          <c:val>
            <c:numRef>
              <c:f>'Roadmap Chart'!$B$12:$J$12</c:f>
              <c:numCache>
                <c:formatCode>0.00</c:formatCode>
                <c:ptCount val="9"/>
                <c:pt idx="0">
                  <c:v>0</c:v>
                </c:pt>
                <c:pt idx="1">
                  <c:v>0.125</c:v>
                </c:pt>
                <c:pt idx="2" formatCode="General">
                  <c:v>0.125</c:v>
                </c:pt>
                <c:pt idx="3">
                  <c:v>0.125</c:v>
                </c:pt>
                <c:pt idx="4" formatCode="General">
                  <c:v>0.125</c:v>
                </c:pt>
                <c:pt idx="5">
                  <c:v>0.125</c:v>
                </c:pt>
                <c:pt idx="6" formatCode="General">
                  <c:v>0.125</c:v>
                </c:pt>
                <c:pt idx="7">
                  <c:v>0.125</c:v>
                </c:pt>
                <c:pt idx="8" formatCode="General">
                  <c:v>0.125</c:v>
                </c:pt>
              </c:numCache>
            </c:numRef>
          </c:val>
          <c:extLst>
            <c:ext xmlns:c16="http://schemas.microsoft.com/office/drawing/2014/chart" uri="{C3380CC4-5D6E-409C-BE32-E72D297353CC}">
              <c16:uniqueId val="{00000000-742C-418E-8375-EABEB5E457F3}"/>
            </c:ext>
          </c:extLst>
        </c:ser>
        <c:dLbls>
          <c:showLegendKey val="0"/>
          <c:showVal val="0"/>
          <c:showCatName val="0"/>
          <c:showSerName val="0"/>
          <c:showPercent val="0"/>
          <c:showBubbleSize val="0"/>
        </c:dLbls>
        <c:axId val="-1708366768"/>
        <c:axId val="-1708364448"/>
      </c:areaChart>
      <c:catAx>
        <c:axId val="-170836676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SE"/>
          </a:p>
        </c:txPr>
        <c:crossAx val="-1708364448"/>
        <c:crosses val="autoZero"/>
        <c:auto val="1"/>
        <c:lblAlgn val="ctr"/>
        <c:lblOffset val="100"/>
        <c:tickLblSkip val="9"/>
        <c:tickMarkSkip val="9"/>
        <c:noMultiLvlLbl val="0"/>
      </c:catAx>
      <c:valAx>
        <c:axId val="-1708364448"/>
        <c:scaling>
          <c:orientation val="minMax"/>
          <c:max val="3"/>
          <c:min val="0"/>
        </c:scaling>
        <c:delete val="0"/>
        <c:axPos val="l"/>
        <c:majorGridlines>
          <c:spPr>
            <a:ln w="3175">
              <a:solidFill>
                <a:srgbClr val="C0C0C0"/>
              </a:solidFill>
              <a:prstDash val="sysDash"/>
            </a:ln>
          </c:spPr>
        </c:majorGridlines>
        <c:numFmt formatCode="0.00" sourceLinked="1"/>
        <c:majorTickMark val="out"/>
        <c:minorTickMark val="in"/>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08366768"/>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paperSize="9"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8227848101266"/>
          <c:w val="0.92060886742575798"/>
          <c:h val="0.645569620253165"/>
        </c:manualLayout>
      </c:layout>
      <c:areaChart>
        <c:grouping val="standard"/>
        <c:varyColors val="0"/>
        <c:ser>
          <c:idx val="0"/>
          <c:order val="0"/>
          <c:spPr>
            <a:solidFill>
              <a:srgbClr val="3290C4"/>
            </a:solidFill>
            <a:ln w="25400">
              <a:noFill/>
            </a:ln>
          </c:spPr>
          <c:val>
            <c:numRef>
              <c:f>'Roadmap Chart'!$B$13:$J$13</c:f>
              <c:numCache>
                <c:formatCode>0.00</c:formatCode>
                <c:ptCount val="9"/>
                <c:pt idx="0">
                  <c:v>0.5</c:v>
                </c:pt>
                <c:pt idx="1">
                  <c:v>0.5</c:v>
                </c:pt>
                <c:pt idx="2" formatCode="General">
                  <c:v>0.5</c:v>
                </c:pt>
                <c:pt idx="3">
                  <c:v>0.5</c:v>
                </c:pt>
                <c:pt idx="4" formatCode="General">
                  <c:v>0.5</c:v>
                </c:pt>
                <c:pt idx="5">
                  <c:v>0.5</c:v>
                </c:pt>
                <c:pt idx="6" formatCode="General">
                  <c:v>0.5</c:v>
                </c:pt>
                <c:pt idx="7">
                  <c:v>0.5</c:v>
                </c:pt>
                <c:pt idx="8" formatCode="General">
                  <c:v>0.5</c:v>
                </c:pt>
              </c:numCache>
            </c:numRef>
          </c:val>
          <c:extLst>
            <c:ext xmlns:c16="http://schemas.microsoft.com/office/drawing/2014/chart" uri="{C3380CC4-5D6E-409C-BE32-E72D297353CC}">
              <c16:uniqueId val="{00000000-814C-47EA-BF90-9795F2F51CB3}"/>
            </c:ext>
          </c:extLst>
        </c:ser>
        <c:dLbls>
          <c:showLegendKey val="0"/>
          <c:showVal val="0"/>
          <c:showCatName val="0"/>
          <c:showSerName val="0"/>
          <c:showPercent val="0"/>
          <c:showBubbleSize val="0"/>
        </c:dLbls>
        <c:axId val="-1734119856"/>
        <c:axId val="-1734117808"/>
      </c:areaChart>
      <c:catAx>
        <c:axId val="-173411985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SE"/>
          </a:p>
        </c:txPr>
        <c:crossAx val="-1734117808"/>
        <c:crosses val="autoZero"/>
        <c:auto val="1"/>
        <c:lblAlgn val="ctr"/>
        <c:lblOffset val="100"/>
        <c:tickLblSkip val="9"/>
        <c:tickMarkSkip val="9"/>
        <c:noMultiLvlLbl val="0"/>
      </c:catAx>
      <c:valAx>
        <c:axId val="-173411780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3411985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276559865092699E-2"/>
          <c:y val="0.15723367011639"/>
          <c:w val="0.92074198988195599"/>
          <c:h val="0.64780272087952595"/>
        </c:manualLayout>
      </c:layout>
      <c:areaChart>
        <c:grouping val="standard"/>
        <c:varyColors val="0"/>
        <c:ser>
          <c:idx val="0"/>
          <c:order val="0"/>
          <c:spPr>
            <a:solidFill>
              <a:srgbClr val="3290C4"/>
            </a:solidFill>
            <a:ln w="25400">
              <a:noFill/>
            </a:ln>
          </c:spPr>
          <c:val>
            <c:numRef>
              <c:f>'Roadmap Chart'!$B$14:$J$14</c:f>
              <c:numCache>
                <c:formatCode>0.00</c:formatCode>
                <c:ptCount val="9"/>
                <c:pt idx="0">
                  <c:v>1</c:v>
                </c:pt>
                <c:pt idx="1">
                  <c:v>1</c:v>
                </c:pt>
                <c:pt idx="2" formatCode="General">
                  <c:v>1</c:v>
                </c:pt>
                <c:pt idx="3">
                  <c:v>1</c:v>
                </c:pt>
                <c:pt idx="4" formatCode="General">
                  <c:v>1</c:v>
                </c:pt>
                <c:pt idx="5">
                  <c:v>1</c:v>
                </c:pt>
                <c:pt idx="6" formatCode="General">
                  <c:v>1</c:v>
                </c:pt>
                <c:pt idx="7">
                  <c:v>1</c:v>
                </c:pt>
                <c:pt idx="8" formatCode="General">
                  <c:v>1</c:v>
                </c:pt>
              </c:numCache>
            </c:numRef>
          </c:val>
          <c:extLst>
            <c:ext xmlns:c16="http://schemas.microsoft.com/office/drawing/2014/chart" uri="{C3380CC4-5D6E-409C-BE32-E72D297353CC}">
              <c16:uniqueId val="{00000000-3AEA-4E00-9A98-FE42043B66F0}"/>
            </c:ext>
          </c:extLst>
        </c:ser>
        <c:dLbls>
          <c:showLegendKey val="0"/>
          <c:showVal val="0"/>
          <c:showCatName val="0"/>
          <c:showSerName val="0"/>
          <c:showPercent val="0"/>
          <c:showBubbleSize val="0"/>
        </c:dLbls>
        <c:axId val="-1757534112"/>
        <c:axId val="-1757531248"/>
      </c:areaChart>
      <c:catAx>
        <c:axId val="-175753411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SE"/>
          </a:p>
        </c:txPr>
        <c:crossAx val="-1757531248"/>
        <c:crosses val="autoZero"/>
        <c:auto val="1"/>
        <c:lblAlgn val="ctr"/>
        <c:lblOffset val="100"/>
        <c:tickLblSkip val="9"/>
        <c:tickMarkSkip val="9"/>
        <c:noMultiLvlLbl val="0"/>
      </c:catAx>
      <c:valAx>
        <c:axId val="-175753124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C0C0C0"/>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5753411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3.xml"/><Relationship Id="rId13" Type="http://schemas.openxmlformats.org/officeDocument/2006/relationships/chart" Target="../charts/chart18.xml"/><Relationship Id="rId3" Type="http://schemas.openxmlformats.org/officeDocument/2006/relationships/chart" Target="../charts/chart8.xml"/><Relationship Id="rId7" Type="http://schemas.openxmlformats.org/officeDocument/2006/relationships/chart" Target="../charts/chart12.xml"/><Relationship Id="rId12" Type="http://schemas.openxmlformats.org/officeDocument/2006/relationships/chart" Target="../charts/chart17.xml"/><Relationship Id="rId17" Type="http://schemas.openxmlformats.org/officeDocument/2006/relationships/chart" Target="../charts/chart22.xml"/><Relationship Id="rId2" Type="http://schemas.openxmlformats.org/officeDocument/2006/relationships/chart" Target="../charts/chart7.xml"/><Relationship Id="rId16" Type="http://schemas.openxmlformats.org/officeDocument/2006/relationships/chart" Target="../charts/chart21.xml"/><Relationship Id="rId1" Type="http://schemas.openxmlformats.org/officeDocument/2006/relationships/chart" Target="../charts/chart6.xml"/><Relationship Id="rId6" Type="http://schemas.openxmlformats.org/officeDocument/2006/relationships/chart" Target="../charts/chart11.xml"/><Relationship Id="rId11" Type="http://schemas.openxmlformats.org/officeDocument/2006/relationships/chart" Target="../charts/chart16.xml"/><Relationship Id="rId5" Type="http://schemas.openxmlformats.org/officeDocument/2006/relationships/chart" Target="../charts/chart10.xml"/><Relationship Id="rId15" Type="http://schemas.openxmlformats.org/officeDocument/2006/relationships/chart" Target="../charts/chart20.xml"/><Relationship Id="rId10" Type="http://schemas.openxmlformats.org/officeDocument/2006/relationships/chart" Target="../charts/chart15.xml"/><Relationship Id="rId4" Type="http://schemas.openxmlformats.org/officeDocument/2006/relationships/chart" Target="../charts/chart9.xml"/><Relationship Id="rId9" Type="http://schemas.openxmlformats.org/officeDocument/2006/relationships/chart" Target="../charts/chart14.xml"/><Relationship Id="rId14"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5" Type="http://schemas.openxmlformats.org/officeDocument/2006/relationships/image" Target="../media/image7.emf"/><Relationship Id="rId4"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9</xdr:row>
      <xdr:rowOff>0</xdr:rowOff>
    </xdr:from>
    <xdr:to>
      <xdr:col>1</xdr:col>
      <xdr:colOff>6657975</xdr:colOff>
      <xdr:row>32</xdr:row>
      <xdr:rowOff>142875</xdr:rowOff>
    </xdr:to>
    <xdr:pic>
      <xdr:nvPicPr>
        <xdr:cNvPr id="2" name="Picture 6">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34000"/>
          <a:ext cx="8181975" cy="452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1130300</xdr:colOff>
      <xdr:row>12</xdr:row>
      <xdr:rowOff>0</xdr:rowOff>
    </xdr:from>
    <xdr:to>
      <xdr:col>17</xdr:col>
      <xdr:colOff>647700</xdr:colOff>
      <xdr:row>27</xdr:row>
      <xdr:rowOff>292100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12700</xdr:colOff>
      <xdr:row>52</xdr:row>
      <xdr:rowOff>0</xdr:rowOff>
    </xdr:from>
    <xdr:to>
      <xdr:col>17</xdr:col>
      <xdr:colOff>660400</xdr:colOff>
      <xdr:row>68</xdr:row>
      <xdr:rowOff>0</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12700</xdr:colOff>
      <xdr:row>32</xdr:row>
      <xdr:rowOff>0</xdr:rowOff>
    </xdr:from>
    <xdr:to>
      <xdr:col>17</xdr:col>
      <xdr:colOff>660400</xdr:colOff>
      <xdr:row>48</xdr:row>
      <xdr:rowOff>0</xdr:rowOff>
    </xdr:to>
    <xdr:graphicFrame macro="">
      <xdr:nvGraphicFramePr>
        <xdr:cNvPr id="3" name="Chart 4">
          <a:extLst>
            <a:ext uri="{FF2B5EF4-FFF2-40B4-BE49-F238E27FC236}">
              <a16:creationId xmlns:a16="http://schemas.microsoft.com/office/drawing/2014/main" id="{0C4B42F1-0861-7143-8EF0-6943488DC0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12700</xdr:colOff>
      <xdr:row>92</xdr:row>
      <xdr:rowOff>0</xdr:rowOff>
    </xdr:from>
    <xdr:to>
      <xdr:col>17</xdr:col>
      <xdr:colOff>660400</xdr:colOff>
      <xdr:row>108</xdr:row>
      <xdr:rowOff>0</xdr:rowOff>
    </xdr:to>
    <xdr:graphicFrame macro="">
      <xdr:nvGraphicFramePr>
        <xdr:cNvPr id="6" name="Chart 5">
          <a:extLst>
            <a:ext uri="{FF2B5EF4-FFF2-40B4-BE49-F238E27FC236}">
              <a16:creationId xmlns:a16="http://schemas.microsoft.com/office/drawing/2014/main" id="{A9ADE327-F57F-064A-8E0F-0AF158C9B7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12700</xdr:colOff>
      <xdr:row>71</xdr:row>
      <xdr:rowOff>0</xdr:rowOff>
    </xdr:from>
    <xdr:to>
      <xdr:col>17</xdr:col>
      <xdr:colOff>660400</xdr:colOff>
      <xdr:row>87</xdr:row>
      <xdr:rowOff>0</xdr:rowOff>
    </xdr:to>
    <xdr:graphicFrame macro="">
      <xdr:nvGraphicFramePr>
        <xdr:cNvPr id="8" name="Chart 7">
          <a:extLst>
            <a:ext uri="{FF2B5EF4-FFF2-40B4-BE49-F238E27FC236}">
              <a16:creationId xmlns:a16="http://schemas.microsoft.com/office/drawing/2014/main" id="{55CD72B3-70F6-5647-BFE3-DD178F56B3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152400</xdr:colOff>
      <xdr:row>11</xdr:row>
      <xdr:rowOff>9525</xdr:rowOff>
    </xdr:from>
    <xdr:to>
      <xdr:col>22</xdr:col>
      <xdr:colOff>133350</xdr:colOff>
      <xdr:row>107</xdr:row>
      <xdr:rowOff>171450</xdr:rowOff>
    </xdr:to>
    <xdr:graphicFrame macro="">
      <xdr:nvGraphicFramePr>
        <xdr:cNvPr id="2" name="Chart 6">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19050</xdr:colOff>
      <xdr:row>129</xdr:row>
      <xdr:rowOff>162330</xdr:rowOff>
    </xdr:from>
    <xdr:to>
      <xdr:col>23</xdr:col>
      <xdr:colOff>0</xdr:colOff>
      <xdr:row>131</xdr:row>
      <xdr:rowOff>162329</xdr:rowOff>
    </xdr:to>
    <xdr:sp macro="" textlink="">
      <xdr:nvSpPr>
        <xdr:cNvPr id="3" name="Rectangle 20">
          <a:extLst>
            <a:ext uri="{FF2B5EF4-FFF2-40B4-BE49-F238E27FC236}">
              <a16:creationId xmlns:a16="http://schemas.microsoft.com/office/drawing/2014/main" id="{00000000-0008-0000-0400-000003000000}"/>
            </a:ext>
          </a:extLst>
        </xdr:cNvPr>
        <xdr:cNvSpPr>
          <a:spLocks noChangeArrowheads="1"/>
        </xdr:cNvSpPr>
      </xdr:nvSpPr>
      <xdr:spPr bwMode="auto">
        <a:xfrm>
          <a:off x="9100027" y="17951879"/>
          <a:ext cx="7171251" cy="324661"/>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22</xdr:col>
      <xdr:colOff>9525</xdr:colOff>
      <xdr:row>7</xdr:row>
      <xdr:rowOff>25400</xdr:rowOff>
    </xdr:from>
    <xdr:to>
      <xdr:col>23</xdr:col>
      <xdr:colOff>0</xdr:colOff>
      <xdr:row>108</xdr:row>
      <xdr:rowOff>3175</xdr:rowOff>
    </xdr:to>
    <xdr:sp macro="" textlink="">
      <xdr:nvSpPr>
        <xdr:cNvPr id="4" name="Rectangle 19">
          <a:extLst>
            <a:ext uri="{FF2B5EF4-FFF2-40B4-BE49-F238E27FC236}">
              <a16:creationId xmlns:a16="http://schemas.microsoft.com/office/drawing/2014/main" id="{00000000-0008-0000-0400-000004000000}"/>
            </a:ext>
          </a:extLst>
        </xdr:cNvPr>
        <xdr:cNvSpPr>
          <a:spLocks noChangeArrowheads="1"/>
        </xdr:cNvSpPr>
      </xdr:nvSpPr>
      <xdr:spPr bwMode="auto">
        <a:xfrm>
          <a:off x="15653076" y="2102503"/>
          <a:ext cx="667017" cy="164877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278569</xdr:colOff>
      <xdr:row>10</xdr:row>
      <xdr:rowOff>161925</xdr:rowOff>
    </xdr:from>
    <xdr:to>
      <xdr:col>22</xdr:col>
      <xdr:colOff>154299</xdr:colOff>
      <xdr:row>18</xdr:row>
      <xdr:rowOff>114300</xdr:rowOff>
    </xdr:to>
    <xdr:graphicFrame macro="">
      <xdr:nvGraphicFramePr>
        <xdr:cNvPr id="5" name="Chart 1">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275394</xdr:colOff>
      <xdr:row>20</xdr:row>
      <xdr:rowOff>139700</xdr:rowOff>
    </xdr:from>
    <xdr:to>
      <xdr:col>22</xdr:col>
      <xdr:colOff>154299</xdr:colOff>
      <xdr:row>28</xdr:row>
      <xdr:rowOff>101600</xdr:rowOff>
    </xdr:to>
    <xdr:graphicFrame macro="">
      <xdr:nvGraphicFramePr>
        <xdr:cNvPr id="6" name="Chart 7">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284090</xdr:colOff>
      <xdr:row>27</xdr:row>
      <xdr:rowOff>90561</xdr:rowOff>
    </xdr:from>
    <xdr:to>
      <xdr:col>22</xdr:col>
      <xdr:colOff>154300</xdr:colOff>
      <xdr:row>35</xdr:row>
      <xdr:rowOff>71511</xdr:rowOff>
    </xdr:to>
    <xdr:graphicFrame macro="">
      <xdr:nvGraphicFramePr>
        <xdr:cNvPr id="7" name="Chart 8">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272990</xdr:colOff>
      <xdr:row>34</xdr:row>
      <xdr:rowOff>152400</xdr:rowOff>
    </xdr:from>
    <xdr:to>
      <xdr:col>22</xdr:col>
      <xdr:colOff>166169</xdr:colOff>
      <xdr:row>42</xdr:row>
      <xdr:rowOff>133350</xdr:rowOff>
    </xdr:to>
    <xdr:graphicFrame macro="">
      <xdr:nvGraphicFramePr>
        <xdr:cNvPr id="8" name="Chart 9">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270646</xdr:colOff>
      <xdr:row>41</xdr:row>
      <xdr:rowOff>152400</xdr:rowOff>
    </xdr:from>
    <xdr:to>
      <xdr:col>22</xdr:col>
      <xdr:colOff>166169</xdr:colOff>
      <xdr:row>49</xdr:row>
      <xdr:rowOff>133350</xdr:rowOff>
    </xdr:to>
    <xdr:graphicFrame macro="">
      <xdr:nvGraphicFramePr>
        <xdr:cNvPr id="9" name="Chart 10">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272991</xdr:colOff>
      <xdr:row>49</xdr:row>
      <xdr:rowOff>152400</xdr:rowOff>
    </xdr:from>
    <xdr:to>
      <xdr:col>22</xdr:col>
      <xdr:colOff>154300</xdr:colOff>
      <xdr:row>57</xdr:row>
      <xdr:rowOff>142875</xdr:rowOff>
    </xdr:to>
    <xdr:graphicFrame macro="">
      <xdr:nvGraphicFramePr>
        <xdr:cNvPr id="10" name="Chart 11">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267368</xdr:colOff>
      <xdr:row>81</xdr:row>
      <xdr:rowOff>142875</xdr:rowOff>
    </xdr:from>
    <xdr:to>
      <xdr:col>22</xdr:col>
      <xdr:colOff>162331</xdr:colOff>
      <xdr:row>89</xdr:row>
      <xdr:rowOff>142875</xdr:rowOff>
    </xdr:to>
    <xdr:graphicFrame macro="">
      <xdr:nvGraphicFramePr>
        <xdr:cNvPr id="11" name="Chart 12">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267367</xdr:colOff>
      <xdr:row>89</xdr:row>
      <xdr:rowOff>152400</xdr:rowOff>
    </xdr:from>
    <xdr:to>
      <xdr:col>22</xdr:col>
      <xdr:colOff>162330</xdr:colOff>
      <xdr:row>97</xdr:row>
      <xdr:rowOff>161925</xdr:rowOff>
    </xdr:to>
    <xdr:graphicFrame macro="">
      <xdr:nvGraphicFramePr>
        <xdr:cNvPr id="12" name="Chart 13">
          <a:extLst>
            <a:ext uri="{FF2B5EF4-FFF2-40B4-BE49-F238E27FC236}">
              <a16:creationId xmlns:a16="http://schemas.microsoft.com/office/drawing/2014/main" id="{00000000-0008-0000-04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267368</xdr:colOff>
      <xdr:row>97</xdr:row>
      <xdr:rowOff>152400</xdr:rowOff>
    </xdr:from>
    <xdr:to>
      <xdr:col>22</xdr:col>
      <xdr:colOff>162332</xdr:colOff>
      <xdr:row>105</xdr:row>
      <xdr:rowOff>161925</xdr:rowOff>
    </xdr:to>
    <xdr:graphicFrame macro="">
      <xdr:nvGraphicFramePr>
        <xdr:cNvPr id="13" name="Chart 14">
          <a:extLst>
            <a:ext uri="{FF2B5EF4-FFF2-40B4-BE49-F238E27FC236}">
              <a16:creationId xmlns:a16="http://schemas.microsoft.com/office/drawing/2014/main" id="{00000000-0008-0000-04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267368</xdr:colOff>
      <xdr:row>105</xdr:row>
      <xdr:rowOff>152400</xdr:rowOff>
    </xdr:from>
    <xdr:to>
      <xdr:col>22</xdr:col>
      <xdr:colOff>162331</xdr:colOff>
      <xdr:row>113</xdr:row>
      <xdr:rowOff>158750</xdr:rowOff>
    </xdr:to>
    <xdr:graphicFrame macro="">
      <xdr:nvGraphicFramePr>
        <xdr:cNvPr id="14" name="Chart 15">
          <a:extLst>
            <a:ext uri="{FF2B5EF4-FFF2-40B4-BE49-F238E27FC236}">
              <a16:creationId xmlns:a16="http://schemas.microsoft.com/office/drawing/2014/main" i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267368</xdr:colOff>
      <xdr:row>113</xdr:row>
      <xdr:rowOff>142875</xdr:rowOff>
    </xdr:from>
    <xdr:to>
      <xdr:col>22</xdr:col>
      <xdr:colOff>152782</xdr:colOff>
      <xdr:row>121</xdr:row>
      <xdr:rowOff>158750</xdr:rowOff>
    </xdr:to>
    <xdr:graphicFrame macro="">
      <xdr:nvGraphicFramePr>
        <xdr:cNvPr id="15" name="Chart 16">
          <a:extLst>
            <a:ext uri="{FF2B5EF4-FFF2-40B4-BE49-F238E27FC236}">
              <a16:creationId xmlns:a16="http://schemas.microsoft.com/office/drawing/2014/main" id="{00000000-0008-0000-04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267367</xdr:colOff>
      <xdr:row>121</xdr:row>
      <xdr:rowOff>152400</xdr:rowOff>
    </xdr:from>
    <xdr:to>
      <xdr:col>22</xdr:col>
      <xdr:colOff>162330</xdr:colOff>
      <xdr:row>130</xdr:row>
      <xdr:rowOff>5944</xdr:rowOff>
    </xdr:to>
    <xdr:graphicFrame macro="">
      <xdr:nvGraphicFramePr>
        <xdr:cNvPr id="16" name="Chart 17">
          <a:extLst>
            <a:ext uri="{FF2B5EF4-FFF2-40B4-BE49-F238E27FC236}">
              <a16:creationId xmlns:a16="http://schemas.microsoft.com/office/drawing/2014/main" id="{00000000-0008-0000-04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23</xdr:col>
      <xdr:colOff>657225</xdr:colOff>
      <xdr:row>28</xdr:row>
      <xdr:rowOff>158750</xdr:rowOff>
    </xdr:from>
    <xdr:to>
      <xdr:col>35</xdr:col>
      <xdr:colOff>317500</xdr:colOff>
      <xdr:row>64</xdr:row>
      <xdr:rowOff>50800</xdr:rowOff>
    </xdr:to>
    <xdr:graphicFrame macro="">
      <xdr:nvGraphicFramePr>
        <xdr:cNvPr id="17" name="Chart 16">
          <a:extLst>
            <a:ext uri="{FF2B5EF4-FFF2-40B4-BE49-F238E27FC236}">
              <a16:creationId xmlns:a16="http://schemas.microsoft.com/office/drawing/2014/main" id="{00000000-0008-0000-04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285750</xdr:colOff>
      <xdr:row>56</xdr:row>
      <xdr:rowOff>158750</xdr:rowOff>
    </xdr:from>
    <xdr:to>
      <xdr:col>22</xdr:col>
      <xdr:colOff>167059</xdr:colOff>
      <xdr:row>64</xdr:row>
      <xdr:rowOff>149224</xdr:rowOff>
    </xdr:to>
    <xdr:graphicFrame macro="">
      <xdr:nvGraphicFramePr>
        <xdr:cNvPr id="20" name="Chart 11">
          <a:extLst>
            <a:ext uri="{FF2B5EF4-FFF2-40B4-BE49-F238E27FC236}">
              <a16:creationId xmlns:a16="http://schemas.microsoft.com/office/drawing/2014/main" id="{5C449CFD-34CA-5645-BD3C-C727FAE49B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10583</xdr:colOff>
      <xdr:row>64</xdr:row>
      <xdr:rowOff>63500</xdr:rowOff>
    </xdr:from>
    <xdr:to>
      <xdr:col>22</xdr:col>
      <xdr:colOff>188225</xdr:colOff>
      <xdr:row>72</xdr:row>
      <xdr:rowOff>53975</xdr:rowOff>
    </xdr:to>
    <xdr:graphicFrame macro="">
      <xdr:nvGraphicFramePr>
        <xdr:cNvPr id="21" name="Chart 11">
          <a:extLst>
            <a:ext uri="{FF2B5EF4-FFF2-40B4-BE49-F238E27FC236}">
              <a16:creationId xmlns:a16="http://schemas.microsoft.com/office/drawing/2014/main" id="{44BA9962-782E-7B4D-A08D-7F5094C71D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10583</xdr:colOff>
      <xdr:row>71</xdr:row>
      <xdr:rowOff>10583</xdr:rowOff>
    </xdr:from>
    <xdr:to>
      <xdr:col>22</xdr:col>
      <xdr:colOff>188225</xdr:colOff>
      <xdr:row>79</xdr:row>
      <xdr:rowOff>1057</xdr:rowOff>
    </xdr:to>
    <xdr:graphicFrame macro="">
      <xdr:nvGraphicFramePr>
        <xdr:cNvPr id="22" name="Chart 11">
          <a:extLst>
            <a:ext uri="{FF2B5EF4-FFF2-40B4-BE49-F238E27FC236}">
              <a16:creationId xmlns:a16="http://schemas.microsoft.com/office/drawing/2014/main" id="{F73878F9-3B59-3A41-B15F-2537D346C5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xdr:col>
      <xdr:colOff>428625</xdr:colOff>
      <xdr:row>14</xdr:row>
      <xdr:rowOff>123825</xdr:rowOff>
    </xdr:to>
    <xdr:pic>
      <xdr:nvPicPr>
        <xdr:cNvPr id="2" name="Picture 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43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16</xdr:row>
      <xdr:rowOff>0</xdr:rowOff>
    </xdr:from>
    <xdr:to>
      <xdr:col>2</xdr:col>
      <xdr:colOff>428625</xdr:colOff>
      <xdr:row>28</xdr:row>
      <xdr:rowOff>123825</xdr:rowOff>
    </xdr:to>
    <xdr:pic>
      <xdr:nvPicPr>
        <xdr:cNvPr id="3" name="Picture 2">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7813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30</xdr:row>
      <xdr:rowOff>0</xdr:rowOff>
    </xdr:from>
    <xdr:to>
      <xdr:col>2</xdr:col>
      <xdr:colOff>428625</xdr:colOff>
      <xdr:row>42</xdr:row>
      <xdr:rowOff>123825</xdr:rowOff>
    </xdr:to>
    <xdr:pic>
      <xdr:nvPicPr>
        <xdr:cNvPr id="4" name="Picture 3">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0482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44</xdr:row>
      <xdr:rowOff>0</xdr:rowOff>
    </xdr:from>
    <xdr:to>
      <xdr:col>2</xdr:col>
      <xdr:colOff>428625</xdr:colOff>
      <xdr:row>56</xdr:row>
      <xdr:rowOff>123825</xdr:rowOff>
    </xdr:to>
    <xdr:pic>
      <xdr:nvPicPr>
        <xdr:cNvPr id="5" name="Picture 4">
          <a:extLst>
            <a:ext uri="{FF2B5EF4-FFF2-40B4-BE49-F238E27FC236}">
              <a16:creationId xmlns:a16="http://schemas.microsoft.com/office/drawing/2014/main" id="{00000000-0008-0000-06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73152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58</xdr:row>
      <xdr:rowOff>0</xdr:rowOff>
    </xdr:from>
    <xdr:to>
      <xdr:col>2</xdr:col>
      <xdr:colOff>428625</xdr:colOff>
      <xdr:row>70</xdr:row>
      <xdr:rowOff>123825</xdr:rowOff>
    </xdr:to>
    <xdr:pic>
      <xdr:nvPicPr>
        <xdr:cNvPr id="6" name="Picture 5">
          <a:extLst>
            <a:ext uri="{FF2B5EF4-FFF2-40B4-BE49-F238E27FC236}">
              <a16:creationId xmlns:a16="http://schemas.microsoft.com/office/drawing/2014/main" id="{00000000-0008-0000-06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95821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52"/>
  <sheetViews>
    <sheetView workbookViewId="0">
      <selection activeCell="C16" sqref="C16"/>
    </sheetView>
  </sheetViews>
  <sheetFormatPr baseColWidth="10" defaultColWidth="8.83203125" defaultRowHeight="13" x14ac:dyDescent="0.15"/>
  <cols>
    <col min="1" max="1" width="22.83203125" style="56" bestFit="1" customWidth="1"/>
    <col min="2" max="2" width="100.5" style="56" customWidth="1"/>
    <col min="3" max="16384" width="8.83203125" style="56"/>
  </cols>
  <sheetData>
    <row r="1" spans="1:2" s="54" customFormat="1" ht="25" x14ac:dyDescent="0.25">
      <c r="A1" s="53" t="s">
        <v>429</v>
      </c>
      <c r="B1" s="53"/>
    </row>
    <row r="2" spans="1:2" x14ac:dyDescent="0.15">
      <c r="A2" s="55"/>
      <c r="B2" s="55"/>
    </row>
    <row r="3" spans="1:2" x14ac:dyDescent="0.15">
      <c r="A3" s="55" t="s">
        <v>6</v>
      </c>
      <c r="B3" s="276" t="s">
        <v>436</v>
      </c>
    </row>
    <row r="4" spans="1:2" x14ac:dyDescent="0.15">
      <c r="A4" s="55"/>
      <c r="B4" s="55"/>
    </row>
    <row r="5" spans="1:2" ht="42" x14ac:dyDescent="0.15">
      <c r="A5" s="55" t="s">
        <v>7</v>
      </c>
      <c r="B5" s="57" t="s">
        <v>430</v>
      </c>
    </row>
    <row r="7" spans="1:2" x14ac:dyDescent="0.15">
      <c r="A7" s="55" t="s">
        <v>9</v>
      </c>
      <c r="B7" s="55" t="s">
        <v>434</v>
      </c>
    </row>
    <row r="8" spans="1:2" ht="42" x14ac:dyDescent="0.15">
      <c r="A8" s="55"/>
      <c r="B8" s="57" t="s">
        <v>10</v>
      </c>
    </row>
    <row r="35" spans="1:2" x14ac:dyDescent="0.15">
      <c r="A35" s="55" t="s">
        <v>99</v>
      </c>
      <c r="B35" s="55" t="s">
        <v>435</v>
      </c>
    </row>
    <row r="36" spans="1:2" x14ac:dyDescent="0.15">
      <c r="A36" s="55" t="s">
        <v>28</v>
      </c>
      <c r="B36" s="55" t="s">
        <v>431</v>
      </c>
    </row>
    <row r="37" spans="1:2" x14ac:dyDescent="0.15">
      <c r="A37" s="55" t="s">
        <v>8</v>
      </c>
      <c r="B37" s="55" t="s">
        <v>437</v>
      </c>
    </row>
    <row r="39" spans="1:2" x14ac:dyDescent="0.15">
      <c r="A39" s="55" t="s">
        <v>99</v>
      </c>
      <c r="B39" s="55" t="s">
        <v>103</v>
      </c>
    </row>
    <row r="40" spans="1:2" x14ac:dyDescent="0.15">
      <c r="A40" s="55" t="s">
        <v>28</v>
      </c>
      <c r="B40" s="55" t="s">
        <v>104</v>
      </c>
    </row>
    <row r="41" spans="1:2" x14ac:dyDescent="0.15">
      <c r="A41" s="55"/>
      <c r="B41" s="55"/>
    </row>
    <row r="42" spans="1:2" x14ac:dyDescent="0.15">
      <c r="A42" s="55" t="s">
        <v>99</v>
      </c>
      <c r="B42" s="55" t="s">
        <v>105</v>
      </c>
    </row>
    <row r="43" spans="1:2" x14ac:dyDescent="0.15">
      <c r="A43" s="55" t="s">
        <v>51</v>
      </c>
      <c r="B43" s="55" t="s">
        <v>100</v>
      </c>
    </row>
    <row r="44" spans="1:2" x14ac:dyDescent="0.15">
      <c r="A44" s="55" t="s">
        <v>8</v>
      </c>
      <c r="B44" s="55" t="s">
        <v>52</v>
      </c>
    </row>
    <row r="45" spans="1:2" x14ac:dyDescent="0.15">
      <c r="A45" s="55"/>
      <c r="B45" s="55"/>
    </row>
    <row r="46" spans="1:2" x14ac:dyDescent="0.15">
      <c r="A46" s="55" t="s">
        <v>99</v>
      </c>
      <c r="B46" s="55" t="s">
        <v>106</v>
      </c>
    </row>
    <row r="47" spans="1:2" x14ac:dyDescent="0.15">
      <c r="A47" s="55" t="s">
        <v>101</v>
      </c>
      <c r="B47" s="55" t="s">
        <v>102</v>
      </c>
    </row>
    <row r="48" spans="1:2" x14ac:dyDescent="0.15">
      <c r="A48" s="55" t="s">
        <v>8</v>
      </c>
      <c r="B48" s="55"/>
    </row>
    <row r="49" spans="1:3" x14ac:dyDescent="0.15">
      <c r="A49" s="55"/>
      <c r="B49" s="55"/>
    </row>
    <row r="50" spans="1:3" ht="28" x14ac:dyDescent="0.15">
      <c r="A50" s="58" t="s">
        <v>53</v>
      </c>
      <c r="B50" s="59" t="s">
        <v>54</v>
      </c>
      <c r="C50" s="60"/>
    </row>
    <row r="51" spans="1:3" x14ac:dyDescent="0.15">
      <c r="A51" s="58"/>
      <c r="B51" s="58" t="s">
        <v>433</v>
      </c>
      <c r="C51" s="60"/>
    </row>
    <row r="52" spans="1:3" x14ac:dyDescent="0.15">
      <c r="A52" s="58"/>
      <c r="B52" s="126" t="s">
        <v>432</v>
      </c>
      <c r="C52" s="60"/>
    </row>
  </sheetData>
  <sheetProtection sheet="1" objects="1" scenarios="1"/>
  <customSheetViews>
    <customSheetView guid="{9846C184-355C-EA4B-8C35-9561D1AEE31C}" fitToPage="1">
      <selection activeCell="B3" sqref="B3"/>
      <pageMargins left="0.74803149606299213" right="0.74803149606299213" top="0.39370078740157483" bottom="0.39370078740157483" header="0.51181102362204722" footer="0.51181102362204722"/>
      <pageSetup paperSize="9" scale="71" orientation="portrait" r:id="rId1"/>
      <headerFooter alignWithMargins="0"/>
    </customSheetView>
  </customSheetViews>
  <pageMargins left="0.74803149606299213" right="0.74803149606299213" top="0.39370078740157483" bottom="0.39370078740157483" header="0.51181102362204722" footer="0.51181102362204722"/>
  <pageSetup paperSize="9" scale="71"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33"/>
  <sheetViews>
    <sheetView tabSelected="1" topLeftCell="B1" zoomScale="80" zoomScaleNormal="80" workbookViewId="0">
      <selection activeCell="D14" sqref="D14"/>
    </sheetView>
  </sheetViews>
  <sheetFormatPr baseColWidth="10" defaultColWidth="8.83203125" defaultRowHeight="14" x14ac:dyDescent="0.15"/>
  <cols>
    <col min="1" max="1" width="10.33203125" style="22" hidden="1" customWidth="1"/>
    <col min="2" max="2" width="13.5" customWidth="1"/>
    <col min="3" max="3" width="7.33203125" style="135" customWidth="1"/>
    <col min="4" max="4" width="107.83203125" style="132" customWidth="1"/>
    <col min="5" max="5" width="5.1640625" style="147" hidden="1" customWidth="1"/>
    <col min="6" max="6" width="33.33203125" style="26" customWidth="1"/>
    <col min="7" max="7" width="8.6640625" style="22" hidden="1" customWidth="1"/>
    <col min="8" max="8" width="8.6640625" style="116" hidden="1" customWidth="1"/>
    <col min="9" max="9" width="48.6640625" customWidth="1"/>
    <col min="10" max="10" width="15" style="12" hidden="1" customWidth="1"/>
    <col min="11" max="11" width="26" customWidth="1"/>
    <col min="12" max="12" width="33.1640625" customWidth="1"/>
    <col min="13" max="13" width="35.33203125" customWidth="1"/>
    <col min="14" max="14" width="25.6640625" customWidth="1"/>
    <col min="15" max="15" width="28.6640625" customWidth="1"/>
    <col min="16" max="25" width="15" bestFit="1" customWidth="1"/>
  </cols>
  <sheetData>
    <row r="1" spans="1:25" ht="18" x14ac:dyDescent="0.2">
      <c r="A1"/>
      <c r="B1" s="503" t="str">
        <f>CONCATENATE("SAMM Assessment Interview: ",D11," For ",D10)</f>
        <v>SAMM Assessment Interview:  For COMPANY</v>
      </c>
      <c r="C1" s="503"/>
      <c r="D1" s="503"/>
      <c r="E1" s="503"/>
      <c r="F1" s="503"/>
      <c r="G1" s="503"/>
      <c r="H1" s="503"/>
      <c r="I1" s="503"/>
      <c r="J1" s="10"/>
      <c r="K1" s="1"/>
      <c r="L1" s="1"/>
      <c r="M1" s="1"/>
      <c r="N1" s="1"/>
      <c r="O1" s="1"/>
      <c r="P1" s="1"/>
      <c r="Q1" s="1"/>
      <c r="R1" s="1"/>
      <c r="S1" s="1"/>
      <c r="T1" s="1"/>
      <c r="U1" s="1"/>
      <c r="V1" s="1"/>
      <c r="W1" s="1"/>
      <c r="X1" s="1"/>
      <c r="Y1" s="1"/>
    </row>
    <row r="2" spans="1:25" ht="15" thickBot="1" x14ac:dyDescent="0.2">
      <c r="A2"/>
      <c r="B2" s="1"/>
      <c r="C2" s="134"/>
      <c r="D2" s="1"/>
      <c r="E2" s="19"/>
      <c r="F2" s="23"/>
      <c r="G2" s="19"/>
      <c r="H2" s="105"/>
      <c r="I2" s="9"/>
      <c r="J2" s="10"/>
      <c r="K2" s="1"/>
      <c r="L2" s="1"/>
      <c r="M2" s="1"/>
      <c r="N2" s="1"/>
      <c r="O2" s="1"/>
      <c r="P2" s="1"/>
      <c r="Q2" s="1"/>
      <c r="R2" s="1"/>
      <c r="S2" s="1"/>
      <c r="T2" s="1"/>
      <c r="U2" s="1"/>
      <c r="V2" s="1"/>
      <c r="W2" s="1"/>
      <c r="X2" s="1"/>
      <c r="Y2" s="1"/>
    </row>
    <row r="3" spans="1:25" x14ac:dyDescent="0.15">
      <c r="A3"/>
      <c r="B3" s="504" t="s">
        <v>11</v>
      </c>
      <c r="C3" s="505"/>
      <c r="D3" s="505"/>
      <c r="E3" s="505"/>
      <c r="F3" s="505"/>
      <c r="G3" s="505"/>
      <c r="H3" s="505"/>
      <c r="I3" s="506"/>
      <c r="J3" s="10"/>
      <c r="K3" s="1"/>
      <c r="M3" s="1"/>
      <c r="N3" s="1"/>
      <c r="O3" s="1"/>
      <c r="P3" s="1"/>
      <c r="Q3" s="1"/>
      <c r="R3" s="1"/>
      <c r="S3" s="1"/>
      <c r="T3" s="1"/>
      <c r="U3" s="1"/>
      <c r="V3" s="1"/>
      <c r="W3" s="1"/>
      <c r="X3" s="1"/>
      <c r="Y3" s="1"/>
    </row>
    <row r="4" spans="1:25" x14ac:dyDescent="0.15">
      <c r="A4"/>
      <c r="B4" s="507" t="s">
        <v>549</v>
      </c>
      <c r="C4" s="508"/>
      <c r="D4" s="508"/>
      <c r="E4" s="508"/>
      <c r="F4" s="508"/>
      <c r="G4" s="508"/>
      <c r="H4" s="508"/>
      <c r="I4" s="509"/>
      <c r="J4" s="10"/>
      <c r="L4" s="344" t="s">
        <v>533</v>
      </c>
      <c r="M4" s="344" t="s">
        <v>539</v>
      </c>
      <c r="N4" s="1"/>
      <c r="O4" s="1"/>
      <c r="P4" s="1"/>
      <c r="Q4" s="1"/>
      <c r="R4" s="1"/>
      <c r="S4" s="1"/>
      <c r="T4" s="1"/>
      <c r="U4" s="1"/>
      <c r="V4" s="1"/>
      <c r="W4" s="1"/>
      <c r="X4" s="1"/>
      <c r="Y4" s="1"/>
    </row>
    <row r="5" spans="1:25" x14ac:dyDescent="0.15">
      <c r="A5"/>
      <c r="B5" s="510" t="s">
        <v>604</v>
      </c>
      <c r="C5" s="511"/>
      <c r="D5" s="511"/>
      <c r="E5" s="511"/>
      <c r="F5" s="511"/>
      <c r="G5" s="511"/>
      <c r="H5" s="511"/>
      <c r="I5" s="512"/>
      <c r="J5" s="10"/>
      <c r="K5" s="1"/>
      <c r="L5" s="344" t="s">
        <v>534</v>
      </c>
      <c r="M5" s="344" t="s">
        <v>540</v>
      </c>
      <c r="N5" s="1"/>
      <c r="O5" s="1"/>
      <c r="P5" s="1"/>
      <c r="Q5" s="1"/>
      <c r="R5" s="1"/>
      <c r="S5" s="1"/>
      <c r="T5" s="1"/>
      <c r="U5" s="1"/>
      <c r="V5" s="1"/>
      <c r="W5" s="1"/>
      <c r="X5" s="1"/>
      <c r="Y5" s="1"/>
    </row>
    <row r="6" spans="1:25" x14ac:dyDescent="0.15">
      <c r="A6"/>
      <c r="B6" s="510" t="s">
        <v>551</v>
      </c>
      <c r="C6" s="511"/>
      <c r="D6" s="511"/>
      <c r="E6" s="511"/>
      <c r="F6" s="511"/>
      <c r="G6" s="511"/>
      <c r="H6" s="511"/>
      <c r="I6" s="512"/>
      <c r="J6" s="10"/>
      <c r="K6" s="1"/>
      <c r="L6" s="344" t="s">
        <v>535</v>
      </c>
      <c r="M6" s="344" t="s">
        <v>541</v>
      </c>
      <c r="N6" s="1"/>
      <c r="O6" s="1"/>
      <c r="P6" s="1"/>
      <c r="Q6" s="1"/>
      <c r="R6" s="1"/>
      <c r="S6" s="1"/>
      <c r="T6" s="1"/>
      <c r="U6" s="1"/>
      <c r="V6" s="1"/>
      <c r="W6" s="1"/>
      <c r="X6" s="1"/>
      <c r="Y6" s="1"/>
    </row>
    <row r="7" spans="1:25" x14ac:dyDescent="0.15">
      <c r="A7"/>
      <c r="B7" s="510" t="s">
        <v>547</v>
      </c>
      <c r="C7" s="511"/>
      <c r="D7" s="511"/>
      <c r="E7" s="511"/>
      <c r="F7" s="511"/>
      <c r="G7" s="511"/>
      <c r="H7" s="511"/>
      <c r="I7" s="512"/>
      <c r="J7" s="10"/>
      <c r="K7" s="1"/>
      <c r="L7" s="344" t="s">
        <v>536</v>
      </c>
      <c r="M7" s="344" t="s">
        <v>542</v>
      </c>
      <c r="N7" s="1"/>
      <c r="O7" s="1"/>
      <c r="P7" s="1"/>
      <c r="Q7" s="1"/>
      <c r="R7" s="1"/>
      <c r="S7" s="1"/>
      <c r="T7" s="1"/>
      <c r="U7" s="1"/>
      <c r="V7" s="1"/>
      <c r="W7" s="1"/>
      <c r="X7" s="1"/>
      <c r="Y7" s="1"/>
    </row>
    <row r="8" spans="1:25" ht="15" thickBot="1" x14ac:dyDescent="0.2">
      <c r="A8"/>
      <c r="B8" s="518" t="s">
        <v>550</v>
      </c>
      <c r="C8" s="519"/>
      <c r="D8" s="519"/>
      <c r="E8" s="519"/>
      <c r="F8" s="519"/>
      <c r="G8" s="519"/>
      <c r="H8" s="519"/>
      <c r="I8" s="520"/>
      <c r="J8" s="10"/>
      <c r="K8" s="1"/>
      <c r="M8" s="1"/>
      <c r="N8" s="1"/>
      <c r="O8" s="1"/>
      <c r="P8" s="1"/>
      <c r="Q8" s="1"/>
      <c r="R8" s="1"/>
      <c r="S8" s="1"/>
      <c r="T8" s="1"/>
      <c r="U8" s="1"/>
      <c r="V8" s="1"/>
      <c r="W8" s="1"/>
      <c r="X8" s="1"/>
      <c r="Y8" s="1"/>
    </row>
    <row r="9" spans="1:25" x14ac:dyDescent="0.15">
      <c r="A9"/>
      <c r="B9" s="1"/>
      <c r="C9" s="134"/>
      <c r="D9" s="1"/>
      <c r="E9" s="19"/>
      <c r="F9" s="23"/>
      <c r="G9" s="19"/>
      <c r="H9" s="105"/>
      <c r="I9" s="9"/>
      <c r="J9" s="10"/>
      <c r="K9" s="1"/>
      <c r="L9" s="1"/>
      <c r="M9" s="1"/>
      <c r="N9" s="1"/>
      <c r="O9" s="1"/>
      <c r="P9" s="1"/>
      <c r="Q9" s="1"/>
      <c r="R9" s="1"/>
      <c r="S9" s="1"/>
      <c r="T9" s="1"/>
      <c r="U9" s="1"/>
      <c r="V9" s="1"/>
      <c r="W9" s="1"/>
      <c r="X9" s="1"/>
      <c r="Y9" s="1"/>
    </row>
    <row r="10" spans="1:25" hidden="1" x14ac:dyDescent="0.15">
      <c r="A10"/>
      <c r="B10" s="521" t="s">
        <v>15</v>
      </c>
      <c r="C10" s="522"/>
      <c r="D10" s="14" t="s">
        <v>605</v>
      </c>
      <c r="E10" s="19"/>
      <c r="F10" s="23"/>
      <c r="G10" s="19"/>
      <c r="H10" s="105"/>
      <c r="I10" s="9"/>
      <c r="J10" s="10"/>
      <c r="K10" s="1"/>
      <c r="L10" s="1"/>
      <c r="M10" s="1"/>
      <c r="N10" s="1"/>
      <c r="O10" s="1"/>
      <c r="P10" s="1"/>
      <c r="Q10" s="1"/>
      <c r="R10" s="1"/>
      <c r="S10" s="1"/>
      <c r="T10" s="1"/>
      <c r="U10" s="1"/>
      <c r="V10" s="1"/>
      <c r="W10" s="1"/>
      <c r="X10" s="1"/>
      <c r="Y10" s="1"/>
    </row>
    <row r="11" spans="1:25" hidden="1" x14ac:dyDescent="0.15">
      <c r="A11"/>
      <c r="B11" s="513" t="s">
        <v>310</v>
      </c>
      <c r="C11" s="514"/>
      <c r="D11" s="15"/>
      <c r="E11" s="19"/>
      <c r="F11" s="23"/>
      <c r="G11" s="19"/>
      <c r="H11" s="105"/>
      <c r="I11" s="9"/>
      <c r="J11" s="10"/>
      <c r="K11" s="1"/>
      <c r="L11" s="1"/>
      <c r="M11" s="1"/>
      <c r="N11" s="1"/>
      <c r="O11" s="1"/>
      <c r="P11" s="1"/>
      <c r="Q11" s="1"/>
      <c r="R11" s="1"/>
      <c r="S11" s="1"/>
      <c r="T11" s="1"/>
      <c r="U11" s="1"/>
      <c r="V11" s="1"/>
      <c r="W11" s="1"/>
      <c r="X11" s="1"/>
      <c r="Y11" s="1"/>
    </row>
    <row r="12" spans="1:25" hidden="1" x14ac:dyDescent="0.15">
      <c r="A12"/>
      <c r="B12" s="513" t="s">
        <v>16</v>
      </c>
      <c r="C12" s="514"/>
      <c r="D12" s="16"/>
      <c r="E12" s="143"/>
      <c r="F12" s="23"/>
      <c r="G12" s="19"/>
      <c r="H12" s="105"/>
      <c r="I12" s="9"/>
      <c r="J12" s="10"/>
      <c r="K12" s="1"/>
      <c r="L12" s="1"/>
      <c r="M12" s="1"/>
      <c r="N12" s="1"/>
      <c r="O12" s="1"/>
      <c r="P12" s="1"/>
      <c r="Q12" s="1"/>
      <c r="R12" s="1"/>
      <c r="S12" s="1"/>
      <c r="T12" s="1"/>
      <c r="U12" s="1"/>
      <c r="V12" s="1"/>
      <c r="W12" s="1"/>
      <c r="X12" s="1"/>
      <c r="Y12" s="1"/>
    </row>
    <row r="13" spans="1:25" hidden="1" x14ac:dyDescent="0.15">
      <c r="A13"/>
      <c r="B13" s="513" t="s">
        <v>311</v>
      </c>
      <c r="C13" s="515"/>
      <c r="D13" s="15"/>
      <c r="E13" s="19"/>
      <c r="F13" s="23"/>
      <c r="G13" s="19"/>
      <c r="H13" s="105"/>
      <c r="I13" s="9"/>
      <c r="J13" s="10"/>
      <c r="K13" s="1"/>
      <c r="L13" s="1"/>
      <c r="M13" s="1"/>
      <c r="N13" s="1"/>
      <c r="O13" s="1"/>
      <c r="P13" s="1"/>
      <c r="Q13" s="1"/>
      <c r="R13" s="1"/>
      <c r="S13" s="1"/>
      <c r="T13" s="1"/>
      <c r="U13" s="1"/>
      <c r="V13" s="1"/>
      <c r="W13" s="1"/>
      <c r="X13" s="1"/>
      <c r="Y13" s="1"/>
    </row>
    <row r="14" spans="1:25" ht="48.75" customHeight="1" thickBot="1" x14ac:dyDescent="0.3">
      <c r="A14" s="168"/>
      <c r="B14" s="516" t="s">
        <v>544</v>
      </c>
      <c r="C14" s="517"/>
      <c r="D14" s="345" t="s">
        <v>603</v>
      </c>
      <c r="E14" s="121"/>
      <c r="F14" s="311" t="s">
        <v>545</v>
      </c>
      <c r="G14" s="342"/>
      <c r="H14" s="343"/>
      <c r="I14" s="436">
        <v>0.44791666666666669</v>
      </c>
      <c r="J14" s="298"/>
      <c r="K14" s="299" t="s">
        <v>606</v>
      </c>
      <c r="L14" s="307" t="s">
        <v>538</v>
      </c>
      <c r="M14" s="307" t="s">
        <v>537</v>
      </c>
      <c r="N14" s="1"/>
      <c r="O14" s="1"/>
      <c r="P14" s="1"/>
      <c r="Q14" s="1"/>
      <c r="R14" s="1"/>
      <c r="S14" s="1"/>
      <c r="T14" s="1"/>
      <c r="U14" s="1"/>
      <c r="V14" s="1"/>
      <c r="W14" s="1"/>
      <c r="X14" s="1"/>
      <c r="Y14" s="1"/>
    </row>
    <row r="15" spans="1:25" x14ac:dyDescent="0.15">
      <c r="A15"/>
      <c r="B15" s="1"/>
      <c r="C15" s="134"/>
      <c r="D15" s="1"/>
      <c r="E15" s="19"/>
      <c r="F15" s="23"/>
      <c r="G15" s="19"/>
      <c r="H15" s="105"/>
      <c r="I15" s="9"/>
      <c r="J15" s="10"/>
      <c r="K15" s="1"/>
      <c r="L15" s="1"/>
      <c r="M15" s="1"/>
      <c r="N15" s="1"/>
      <c r="O15" s="1"/>
      <c r="P15" s="1"/>
      <c r="Q15" s="1"/>
      <c r="R15" s="1"/>
      <c r="S15" s="1"/>
      <c r="T15" s="1"/>
      <c r="U15" s="1"/>
      <c r="V15" s="1"/>
      <c r="W15" s="1"/>
      <c r="X15" s="1"/>
      <c r="Y15" s="1"/>
    </row>
    <row r="16" spans="1:25" ht="13" x14ac:dyDescent="0.15">
      <c r="A16"/>
      <c r="B16" s="468" t="s">
        <v>17</v>
      </c>
      <c r="C16" s="468"/>
      <c r="D16" s="468"/>
      <c r="E16" s="468"/>
      <c r="F16" s="468"/>
      <c r="G16" s="468"/>
      <c r="H16" s="468"/>
      <c r="I16" s="468"/>
      <c r="J16" s="523"/>
      <c r="K16" s="468"/>
      <c r="L16" s="468"/>
      <c r="M16" s="468"/>
      <c r="P16" s="1"/>
      <c r="Q16" s="1"/>
      <c r="R16" s="1"/>
      <c r="S16" s="1"/>
      <c r="T16" s="1"/>
      <c r="U16" s="1"/>
      <c r="V16" s="1"/>
      <c r="W16" s="1"/>
      <c r="X16" s="1"/>
      <c r="Y16" s="1"/>
    </row>
    <row r="17" spans="1:25" x14ac:dyDescent="0.15">
      <c r="B17" s="179" t="s">
        <v>312</v>
      </c>
      <c r="C17" s="178" t="s">
        <v>313</v>
      </c>
      <c r="D17" s="177" t="s">
        <v>18</v>
      </c>
      <c r="E17" s="136"/>
      <c r="F17" s="62" t="s">
        <v>31</v>
      </c>
      <c r="G17" s="62"/>
      <c r="H17" s="106"/>
      <c r="I17" s="63" t="s">
        <v>543</v>
      </c>
      <c r="J17" s="297" t="s">
        <v>29</v>
      </c>
      <c r="K17" s="179"/>
      <c r="L17" s="178"/>
      <c r="M17" s="177"/>
      <c r="P17" s="1"/>
      <c r="Q17" s="1"/>
      <c r="R17" s="1"/>
      <c r="S17" s="1"/>
      <c r="T17" s="1"/>
      <c r="U17" s="1"/>
      <c r="V17" s="1"/>
      <c r="W17" s="1"/>
      <c r="X17" s="1"/>
      <c r="Y17" s="1"/>
    </row>
    <row r="18" spans="1:25" x14ac:dyDescent="0.15">
      <c r="A18" s="142" t="s">
        <v>155</v>
      </c>
      <c r="B18" s="477" t="str">
        <f>VLOOKUP(A18,'imp-questions'!A:H,4,FALSE)</f>
        <v>Create and Promote</v>
      </c>
      <c r="C18" s="180">
        <f>VLOOKUP(A18,'imp-questions'!A:H,5,FALSE)</f>
        <v>1</v>
      </c>
      <c r="D18" s="176" t="str">
        <f>VLOOKUP(A18,'imp-questions'!A:H,6,FALSE)</f>
        <v>Do you understand the enterprise-wide risk appetite for your applications ?</v>
      </c>
      <c r="E18" s="144" t="str">
        <f>CHAR(65+VLOOKUP(A18,'imp-questions'!A:H,8,FALSE))</f>
        <v>Y</v>
      </c>
      <c r="F18" s="425" t="s">
        <v>27</v>
      </c>
      <c r="G18" s="152">
        <f>IFERROR(VLOOKUP(F18,AnsYTBL,2,FALSE),0)</f>
        <v>0</v>
      </c>
      <c r="H18" s="94">
        <f>IFERROR(AVERAGE(G18,G25),0)</f>
        <v>0</v>
      </c>
      <c r="I18" s="485" t="s">
        <v>607</v>
      </c>
      <c r="J18" s="492">
        <f>SUM(H18,H20,H22)</f>
        <v>0</v>
      </c>
      <c r="K18" s="447"/>
      <c r="L18" s="441"/>
      <c r="M18" s="438"/>
      <c r="N18" s="121"/>
      <c r="O18" s="121"/>
      <c r="P18" s="1"/>
      <c r="Q18" s="1"/>
      <c r="R18" s="1"/>
      <c r="S18" s="1"/>
      <c r="T18" s="1"/>
      <c r="U18" s="1"/>
      <c r="V18" s="1"/>
      <c r="W18" s="1"/>
      <c r="X18" s="1"/>
      <c r="Y18" s="1"/>
    </row>
    <row r="19" spans="1:25" ht="59" customHeight="1" x14ac:dyDescent="0.15">
      <c r="B19" s="475"/>
      <c r="C19" s="133"/>
      <c r="D19" s="159" t="str">
        <f>VLOOKUP(A18,'imp-questions'!A:H,7,FALSE)</f>
        <v>You capture the risk appetite of your organization's executive leadership
The organization's leadership vet and approve the set of risks
You identify the main business and technical threats to your assets and data
You document risks and store them in an accessible location</v>
      </c>
      <c r="E19" s="149"/>
      <c r="F19" s="148"/>
      <c r="G19" s="150"/>
      <c r="H19" s="151"/>
      <c r="I19" s="486"/>
      <c r="J19" s="484"/>
      <c r="K19" s="448"/>
      <c r="L19" s="442"/>
      <c r="M19" s="439"/>
      <c r="N19" s="121"/>
      <c r="O19" s="121"/>
      <c r="P19" s="1"/>
      <c r="Q19" s="1"/>
      <c r="R19" s="1"/>
      <c r="S19" s="1"/>
      <c r="T19" s="1"/>
      <c r="U19" s="1"/>
      <c r="V19" s="1"/>
      <c r="W19" s="1"/>
      <c r="X19" s="1"/>
      <c r="Y19" s="1"/>
    </row>
    <row r="20" spans="1:25" x14ac:dyDescent="0.15">
      <c r="A20" s="142" t="s">
        <v>157</v>
      </c>
      <c r="B20" s="475"/>
      <c r="C20" s="180">
        <f>VLOOKUP(A20,'imp-questions'!A:H,5,FALSE)</f>
        <v>2</v>
      </c>
      <c r="D20" s="176" t="str">
        <f>VLOOKUP(A20,'imp-questions'!A:H,6,FALSE)</f>
        <v>Do you have a strategic plan for application security and use it to make decisions?</v>
      </c>
      <c r="E20" s="146" t="str">
        <f>CHAR(65+VLOOKUP(A20,'imp-questions'!A:H,8,FALSE))</f>
        <v>V</v>
      </c>
      <c r="F20" s="426" t="s">
        <v>27</v>
      </c>
      <c r="G20" s="17">
        <f>IFERROR(VLOOKUP(F20,AnsVTBL,2,FALSE),0)</f>
        <v>0</v>
      </c>
      <c r="H20" s="95">
        <f>IFERROR(AVERAGE(G20,G27),0)</f>
        <v>0</v>
      </c>
      <c r="I20" s="485"/>
      <c r="J20" s="11"/>
      <c r="K20" s="447"/>
      <c r="L20" s="442"/>
      <c r="M20" s="439"/>
      <c r="N20" s="121"/>
      <c r="O20" s="121"/>
      <c r="P20" s="1"/>
      <c r="Q20" s="1"/>
      <c r="R20" s="1"/>
      <c r="S20" s="1"/>
      <c r="T20" s="1"/>
      <c r="U20" s="1"/>
      <c r="V20" s="1"/>
      <c r="W20" s="1"/>
      <c r="X20" s="1"/>
      <c r="Y20" s="1"/>
    </row>
    <row r="21" spans="1:25" ht="72" customHeight="1" x14ac:dyDescent="0.15">
      <c r="B21" s="475"/>
      <c r="C21" s="153"/>
      <c r="D21" s="159" t="str">
        <f>VLOOKUP(A20,'imp-questions'!A:H,7,FALSE)</f>
        <v>The plan reflects the organization's business priorities and risk appetite
The plan includes measurable milestones and a budget
The plan is consistent with the organization's business drivers and risks
The plan lays out a roadmap for strategic and tactical initiatives
You have buy-in from stakeholders, including development teams</v>
      </c>
      <c r="E21" s="149"/>
      <c r="F21" s="154"/>
      <c r="G21" s="150"/>
      <c r="H21" s="155"/>
      <c r="I21" s="487"/>
      <c r="J21" s="11"/>
      <c r="K21" s="462"/>
      <c r="L21" s="442"/>
      <c r="M21" s="439"/>
      <c r="N21" s="121"/>
      <c r="O21" s="121"/>
      <c r="P21" s="1"/>
      <c r="Q21" s="1"/>
      <c r="R21" s="1"/>
      <c r="S21" s="1"/>
      <c r="T21" s="1"/>
      <c r="U21" s="1"/>
      <c r="V21" s="1"/>
      <c r="W21" s="1"/>
      <c r="X21" s="1"/>
      <c r="Y21" s="1"/>
    </row>
    <row r="22" spans="1:25" x14ac:dyDescent="0.15">
      <c r="A22" s="142" t="s">
        <v>158</v>
      </c>
      <c r="B22" s="475"/>
      <c r="C22" s="180">
        <f>VLOOKUP(A22,'imp-questions'!A:H,5,FALSE)</f>
        <v>3</v>
      </c>
      <c r="D22" s="176" t="str">
        <f>VLOOKUP(A22,'imp-questions'!A:H,6,FALSE)</f>
        <v>Do you regularly review and update the Strategic Plan for Application Security?</v>
      </c>
      <c r="E22" s="146" t="str">
        <f>CHAR(65+VLOOKUP(A22,'imp-questions'!A:H,8,FALSE))</f>
        <v>N</v>
      </c>
      <c r="F22" s="426" t="s">
        <v>27</v>
      </c>
      <c r="G22" s="17">
        <f>IFERROR(VLOOKUP(F22,AnsNTBL,2,FALSE),0)</f>
        <v>0</v>
      </c>
      <c r="H22" s="95">
        <f>IFERROR(AVERAGE(G22,G29),0)</f>
        <v>0</v>
      </c>
      <c r="I22" s="485"/>
      <c r="J22" s="11"/>
      <c r="K22" s="447"/>
      <c r="L22" s="442"/>
      <c r="M22" s="439"/>
      <c r="N22" s="121"/>
      <c r="O22" s="121"/>
      <c r="P22" s="1"/>
      <c r="Q22" s="1"/>
      <c r="R22" s="1"/>
      <c r="S22" s="1"/>
      <c r="T22" s="1"/>
      <c r="U22" s="1"/>
      <c r="V22" s="1"/>
      <c r="W22" s="1"/>
      <c r="X22" s="1"/>
      <c r="Y22" s="1"/>
    </row>
    <row r="23" spans="1:25" ht="60" customHeight="1" x14ac:dyDescent="0.15">
      <c r="B23" s="474"/>
      <c r="C23" s="133"/>
      <c r="D23" s="167" t="str">
        <f>VLOOKUP(A22,'imp-questions'!A:H,7,FALSE)</f>
        <v>You review and update the plan in response to significant changes in the business environment, the organization, or its risk appetite
Plan update steps include reviewing the plan with all the stakeholders and updating the business drivers and strategies
You adjust the plan and roadmap based on lessons learned from completed roadmap activities
You publish progress information on roadmap activities, making sure they are available to all stakeholders</v>
      </c>
      <c r="E23" s="145"/>
      <c r="F23" s="24"/>
      <c r="G23" s="20"/>
      <c r="H23" s="108"/>
      <c r="I23" s="486"/>
      <c r="J23" s="300"/>
      <c r="K23" s="448"/>
      <c r="L23" s="443"/>
      <c r="M23" s="440"/>
      <c r="N23" s="121"/>
      <c r="O23" s="121"/>
      <c r="P23" s="1"/>
      <c r="Q23" s="1"/>
      <c r="R23" s="1"/>
      <c r="S23" s="1"/>
      <c r="T23" s="1"/>
      <c r="U23" s="1"/>
      <c r="V23" s="1"/>
      <c r="W23" s="1"/>
      <c r="X23" s="1"/>
      <c r="Y23" s="1"/>
    </row>
    <row r="24" spans="1:25" x14ac:dyDescent="0.15">
      <c r="B24" s="305"/>
      <c r="C24" s="306"/>
      <c r="D24" s="306"/>
      <c r="E24" s="306"/>
      <c r="F24" s="306"/>
      <c r="G24" s="306"/>
      <c r="H24" s="306"/>
      <c r="I24" s="349"/>
      <c r="J24" s="350"/>
      <c r="K24" s="349"/>
      <c r="L24" s="349"/>
      <c r="M24" s="351"/>
      <c r="N24" s="121"/>
      <c r="O24" s="121"/>
      <c r="P24" s="1"/>
      <c r="Q24" s="1"/>
      <c r="R24" s="1"/>
      <c r="S24" s="1"/>
      <c r="T24" s="1"/>
      <c r="U24" s="1"/>
      <c r="V24" s="1"/>
      <c r="W24" s="1"/>
      <c r="X24" s="1"/>
      <c r="Y24" s="1"/>
    </row>
    <row r="25" spans="1:25" ht="28" x14ac:dyDescent="0.15">
      <c r="A25" s="142" t="s">
        <v>160</v>
      </c>
      <c r="B25" s="474" t="str">
        <f>VLOOKUP(A25,'imp-questions'!A:H,4,FALSE)</f>
        <v>Measure and Improve</v>
      </c>
      <c r="C25" s="301">
        <f>VLOOKUP(A25,'imp-questions'!A:H,5,FALSE)</f>
        <v>1</v>
      </c>
      <c r="D25" s="302" t="str">
        <f>VLOOKUP(A25,'imp-questions'!A:H,6,FALSE)</f>
        <v>Do you use a set of metrics to measure the effectiveness and efficiency of the application security program across applications?</v>
      </c>
      <c r="E25" s="146" t="str">
        <f>CHAR(65+VLOOKUP(A25,'imp-questions'!A:H,8,FALSE))</f>
        <v>K</v>
      </c>
      <c r="F25" s="427"/>
      <c r="G25" s="303">
        <f>IFERROR(VLOOKUP(F25,AnsKTBL,2,FALSE),0)</f>
        <v>0</v>
      </c>
      <c r="H25" s="304"/>
      <c r="I25" s="502" t="s">
        <v>552</v>
      </c>
      <c r="J25" s="300"/>
      <c r="K25" s="469"/>
      <c r="L25" s="441"/>
      <c r="M25" s="438"/>
      <c r="N25" s="121"/>
      <c r="O25" s="121"/>
      <c r="P25" s="1"/>
      <c r="Q25" s="1"/>
      <c r="R25" s="1"/>
      <c r="S25" s="1"/>
      <c r="T25" s="1"/>
      <c r="U25" s="1"/>
      <c r="V25" s="1"/>
      <c r="W25" s="1"/>
      <c r="X25" s="1"/>
      <c r="Y25" s="1"/>
    </row>
    <row r="26" spans="1:25" ht="71" customHeight="1" x14ac:dyDescent="0.15">
      <c r="B26" s="475"/>
      <c r="C26" s="133"/>
      <c r="D26" s="167" t="str">
        <f>VLOOKUP(A25,'imp-questions'!A:H,7,FALSE)</f>
        <v>You document each metric, including a description of the sources, measurement coverage, and guidance on how to use it to explain application security trends
Metrics include measures of efforts, results, and the environment measurement categories
Most of the metrics are frequently measured, easy or inexpensive to gather, and expressed as a cardinal number or a percentage
Application security and development teams publish metrics</v>
      </c>
      <c r="E26" s="145"/>
      <c r="F26" s="154"/>
      <c r="G26" s="150"/>
      <c r="H26" s="155"/>
      <c r="I26" s="486"/>
      <c r="J26" s="11"/>
      <c r="K26" s="448"/>
      <c r="L26" s="442"/>
      <c r="M26" s="439"/>
      <c r="N26" s="121"/>
      <c r="O26" s="121"/>
      <c r="P26" s="1"/>
      <c r="Q26" s="1"/>
      <c r="R26" s="1"/>
      <c r="S26" s="1"/>
      <c r="T26" s="1"/>
      <c r="U26" s="1"/>
      <c r="V26" s="1"/>
      <c r="W26" s="1"/>
      <c r="X26" s="1"/>
      <c r="Y26" s="1"/>
    </row>
    <row r="27" spans="1:25" x14ac:dyDescent="0.15">
      <c r="A27" s="142" t="s">
        <v>162</v>
      </c>
      <c r="B27" s="475"/>
      <c r="C27" s="180">
        <f>VLOOKUP(A27,'imp-questions'!A:H,5,FALSE)</f>
        <v>2</v>
      </c>
      <c r="D27" s="176" t="str">
        <f>VLOOKUP(A27,'imp-questions'!A:H,6,FALSE)</f>
        <v>Did you define Key Perfomance Indicators (KPI) from available application security metrics?</v>
      </c>
      <c r="E27" s="144" t="str">
        <f>CHAR(65+VLOOKUP(A27,'imp-questions'!A:H,8,FALSE))</f>
        <v>B</v>
      </c>
      <c r="F27" s="426"/>
      <c r="G27" s="17">
        <f>IFERROR(VLOOKUP(F27,AnsBTBL,2,FALSE),0)</f>
        <v>0</v>
      </c>
      <c r="H27" s="95"/>
      <c r="I27" s="485" t="s">
        <v>553</v>
      </c>
      <c r="J27" s="11"/>
      <c r="K27" s="447"/>
      <c r="L27" s="442"/>
      <c r="M27" s="439"/>
      <c r="N27" s="121"/>
      <c r="O27" s="121"/>
      <c r="P27" s="1"/>
      <c r="Q27" s="1"/>
      <c r="R27" s="1"/>
      <c r="S27" s="1"/>
      <c r="T27" s="1"/>
      <c r="U27" s="1"/>
      <c r="V27" s="1"/>
      <c r="W27" s="1"/>
      <c r="X27" s="1"/>
      <c r="Y27" s="1"/>
    </row>
    <row r="28" spans="1:25" ht="60" customHeight="1" x14ac:dyDescent="0.15">
      <c r="B28" s="475"/>
      <c r="C28" s="153"/>
      <c r="D28" s="159" t="str">
        <f>VLOOKUP(A27,'imp-questions'!A:H,7,FALSE)</f>
        <v>You defined KPIs after gathering enough information to establish realistic objectives
You developed KPIs with the buy-in from the leadership and teams responsible for application security
KPIs are available to the application teams and include acceptability thresholds and guidance in case teams need to take action
Success of the application security program is clearly visible based on defined KPIs</v>
      </c>
      <c r="E28" s="149"/>
      <c r="F28" s="154"/>
      <c r="G28" s="150"/>
      <c r="H28" s="155"/>
      <c r="I28" s="486"/>
      <c r="J28" s="11"/>
      <c r="K28" s="448"/>
      <c r="L28" s="442"/>
      <c r="M28" s="439"/>
      <c r="N28" s="121"/>
      <c r="O28" s="121"/>
      <c r="P28" s="1"/>
      <c r="Q28" s="1"/>
      <c r="R28" s="1"/>
      <c r="S28" s="1"/>
      <c r="T28" s="1"/>
      <c r="U28" s="1"/>
      <c r="V28" s="1"/>
      <c r="W28" s="1"/>
      <c r="X28" s="1"/>
      <c r="Y28" s="1"/>
    </row>
    <row r="29" spans="1:25" x14ac:dyDescent="0.15">
      <c r="A29" s="142" t="s">
        <v>164</v>
      </c>
      <c r="B29" s="475"/>
      <c r="C29" s="180">
        <f>VLOOKUP(A29,'imp-questions'!A:H,5,FALSE)</f>
        <v>3</v>
      </c>
      <c r="D29" s="176" t="str">
        <f>VLOOKUP(A29,'imp-questions'!A:H,6,FALSE)</f>
        <v>Do you update the Application Security strategy and roadmap based on application security metrics and KPIs?</v>
      </c>
      <c r="E29" s="144" t="str">
        <f>CHAR(65+VLOOKUP(A29,'imp-questions'!A:H,8,FALSE))</f>
        <v>N</v>
      </c>
      <c r="F29" s="426"/>
      <c r="G29" s="17">
        <f>IFERROR(VLOOKUP(F29,AnsNTBL,2,FALSE),0)</f>
        <v>0</v>
      </c>
      <c r="H29" s="95"/>
      <c r="I29" s="485" t="s">
        <v>554</v>
      </c>
      <c r="J29" s="11"/>
      <c r="K29" s="447"/>
      <c r="L29" s="442"/>
      <c r="M29" s="439"/>
      <c r="N29" s="121"/>
      <c r="O29" s="121"/>
      <c r="P29" s="1"/>
      <c r="Q29" s="1"/>
      <c r="R29" s="1"/>
      <c r="S29" s="1"/>
      <c r="T29" s="1"/>
      <c r="U29" s="1"/>
      <c r="V29" s="1"/>
      <c r="W29" s="1"/>
      <c r="X29" s="1"/>
      <c r="Y29" s="1"/>
    </row>
    <row r="30" spans="1:25" ht="38" customHeight="1" x14ac:dyDescent="0.15">
      <c r="B30" s="474"/>
      <c r="C30" s="133"/>
      <c r="D30" s="167" t="str">
        <f>VLOOKUP(A29,'imp-questions'!A:H,7,FALSE)</f>
        <v>You review KPIs at least yearly for their efficiency and effectiveness
KPIs and application security metrics trigger most of the changes to the application security strategy</v>
      </c>
      <c r="E30" s="145"/>
      <c r="F30" s="24"/>
      <c r="G30" s="20"/>
      <c r="H30" s="108"/>
      <c r="I30" s="486"/>
      <c r="J30" s="300"/>
      <c r="K30" s="448"/>
      <c r="L30" s="443"/>
      <c r="M30" s="440"/>
      <c r="N30" s="121"/>
      <c r="O30" s="121"/>
      <c r="P30" s="1"/>
      <c r="Q30" s="1"/>
      <c r="R30" s="1"/>
      <c r="S30" s="1"/>
      <c r="T30" s="1"/>
      <c r="U30" s="1"/>
      <c r="V30" s="1"/>
      <c r="W30" s="1"/>
      <c r="X30" s="1"/>
      <c r="Y30" s="1"/>
    </row>
    <row r="31" spans="1:25" x14ac:dyDescent="0.15">
      <c r="B31" s="498" t="s">
        <v>19</v>
      </c>
      <c r="C31" s="499"/>
      <c r="D31" s="500"/>
      <c r="E31" s="314"/>
      <c r="F31" s="315" t="s">
        <v>31</v>
      </c>
      <c r="G31" s="315"/>
      <c r="H31" s="316"/>
      <c r="I31" s="352" t="s">
        <v>543</v>
      </c>
      <c r="J31" s="353" t="s">
        <v>29</v>
      </c>
      <c r="K31" s="354"/>
      <c r="L31" s="355"/>
      <c r="M31" s="356"/>
      <c r="N31" s="121"/>
      <c r="O31" s="121"/>
      <c r="P31" s="1"/>
      <c r="Q31" s="1"/>
      <c r="R31" s="1"/>
      <c r="S31" s="1"/>
      <c r="T31" s="1"/>
      <c r="U31" s="1"/>
      <c r="V31" s="1"/>
      <c r="W31" s="1"/>
      <c r="X31" s="1"/>
      <c r="Y31" s="1"/>
    </row>
    <row r="32" spans="1:25" x14ac:dyDescent="0.15">
      <c r="A32" s="142" t="s">
        <v>304</v>
      </c>
      <c r="B32" s="474" t="str">
        <f>VLOOKUP(A32,'imp-questions'!A:H,4,FALSE)</f>
        <v>Policy &amp; Standards</v>
      </c>
      <c r="C32" s="301">
        <f>VLOOKUP(A32,'imp-questions'!A:H,5,FALSE)</f>
        <v>1</v>
      </c>
      <c r="D32" s="302" t="str">
        <f>VLOOKUP(A32,'imp-questions'!A:H,6,FALSE)</f>
        <v>Do you have and apply a common set of policies and standards throughout your organization?</v>
      </c>
      <c r="E32" s="146" t="str">
        <f>CHAR(65+VLOOKUP(A32,'imp-questions'!A:H,8,FALSE))</f>
        <v>F</v>
      </c>
      <c r="F32" s="427" t="s">
        <v>321</v>
      </c>
      <c r="G32" s="303">
        <f>IFERROR(VLOOKUP(F32,AnsFTBL,2,FALSE),0)</f>
        <v>1</v>
      </c>
      <c r="H32" s="304">
        <f>IFERROR(AVERAGE(G32,G39),0)</f>
        <v>0.5</v>
      </c>
      <c r="I32" s="502" t="s">
        <v>555</v>
      </c>
      <c r="J32" s="483">
        <f>SUM(H32,H34,H36)</f>
        <v>0.5</v>
      </c>
      <c r="K32" s="469"/>
      <c r="L32" s="441"/>
      <c r="M32" s="438"/>
      <c r="N32" s="121"/>
      <c r="O32" s="121"/>
      <c r="P32" s="1"/>
      <c r="Q32" s="1"/>
      <c r="R32" s="1"/>
      <c r="S32" s="1"/>
      <c r="T32" s="1"/>
      <c r="U32" s="1"/>
      <c r="V32" s="1"/>
      <c r="W32" s="1"/>
      <c r="X32" s="1"/>
      <c r="Y32" s="1"/>
    </row>
    <row r="33" spans="1:25" ht="36" customHeight="1" x14ac:dyDescent="0.15">
      <c r="B33" s="475"/>
      <c r="C33" s="133"/>
      <c r="D33" s="167" t="str">
        <f>VLOOKUP(A32,'imp-questions'!A:H,7,FALSE)</f>
        <v>You have adapted existing standards appropriate for the organization’s industry to account for domain-specific considerations
Your standards are aligned with your policies and incorporate technology-specific implementation guidance</v>
      </c>
      <c r="E33" s="145"/>
      <c r="F33" s="154"/>
      <c r="G33" s="150"/>
      <c r="H33" s="151"/>
      <c r="I33" s="486"/>
      <c r="J33" s="484"/>
      <c r="K33" s="448"/>
      <c r="L33" s="442"/>
      <c r="M33" s="439"/>
      <c r="N33" s="121"/>
      <c r="O33" s="121"/>
      <c r="P33" s="1"/>
      <c r="Q33" s="1"/>
      <c r="R33" s="1"/>
      <c r="S33" s="1"/>
      <c r="T33" s="1"/>
      <c r="U33" s="1"/>
      <c r="V33" s="1"/>
      <c r="W33" s="1"/>
      <c r="X33" s="1"/>
      <c r="Y33" s="1"/>
    </row>
    <row r="34" spans="1:25" x14ac:dyDescent="0.15">
      <c r="A34" s="142" t="s">
        <v>305</v>
      </c>
      <c r="B34" s="475"/>
      <c r="C34" s="180">
        <f>VLOOKUP(A34,'imp-questions'!A:H,5,FALSE)</f>
        <v>2</v>
      </c>
      <c r="D34" s="176" t="str">
        <f>VLOOKUP(A34,'imp-questions'!A:H,6,FALSE)</f>
        <v>Do you publish the organization's policies as test scripts or run-books for easy interpretation by development teams?</v>
      </c>
      <c r="E34" s="144" t="str">
        <f>CHAR(65+VLOOKUP(A34,'imp-questions'!A:H,8,FALSE))</f>
        <v>A</v>
      </c>
      <c r="F34" s="425"/>
      <c r="G34" s="17">
        <f>IFERROR(VLOOKUP(F34,AnsATBL,2,FALSE),0)</f>
        <v>0</v>
      </c>
      <c r="H34" s="95">
        <f>IFERROR(AVERAGE(G34,G41),0)</f>
        <v>0</v>
      </c>
      <c r="I34" s="485"/>
      <c r="J34" s="11"/>
      <c r="K34" s="447"/>
      <c r="L34" s="442"/>
      <c r="M34" s="439"/>
      <c r="N34" s="121"/>
      <c r="O34" s="121"/>
      <c r="P34" s="1"/>
      <c r="Q34" s="1"/>
      <c r="R34" s="1"/>
      <c r="S34" s="1"/>
      <c r="T34" s="1"/>
      <c r="U34" s="1"/>
      <c r="V34" s="1"/>
      <c r="W34" s="1"/>
      <c r="X34" s="1"/>
      <c r="Y34" s="1"/>
    </row>
    <row r="35" spans="1:25" ht="43" customHeight="1" x14ac:dyDescent="0.15">
      <c r="B35" s="475"/>
      <c r="C35" s="133"/>
      <c r="D35" s="167" t="str">
        <f>VLOOKUP(A34,'imp-questions'!A:H,7,FALSE)</f>
        <v>You create verification checklists and test scripts where applicable, aligned with the policy's requirements and the implementation guidance in the associated standards
You create versions adapted to each development methodology and technology the organization uses</v>
      </c>
      <c r="E35" s="145"/>
      <c r="F35" s="154"/>
      <c r="G35" s="150"/>
      <c r="H35" s="155"/>
      <c r="I35" s="487"/>
      <c r="J35" s="11"/>
      <c r="K35" s="462"/>
      <c r="L35" s="442"/>
      <c r="M35" s="439"/>
      <c r="N35" s="121"/>
      <c r="O35" s="121"/>
      <c r="P35" s="1"/>
      <c r="Q35" s="1"/>
      <c r="R35" s="1"/>
      <c r="S35" s="1"/>
      <c r="T35" s="1"/>
      <c r="U35" s="1"/>
      <c r="V35" s="1"/>
      <c r="W35" s="1"/>
      <c r="X35" s="1"/>
      <c r="Y35" s="1"/>
    </row>
    <row r="36" spans="1:25" ht="28" x14ac:dyDescent="0.15">
      <c r="A36" s="142" t="s">
        <v>306</v>
      </c>
      <c r="B36" s="475"/>
      <c r="C36" s="180">
        <f>VLOOKUP(A36,'imp-questions'!A:H,5,FALSE)</f>
        <v>3</v>
      </c>
      <c r="D36" s="176" t="str">
        <f>VLOOKUP(A36,'imp-questions'!A:H,6,FALSE)</f>
        <v>Do you regularly report on policy and standard compliance, and use that information to guide compliance improvement efforts?</v>
      </c>
      <c r="E36" s="144" t="str">
        <f>CHAR(65+VLOOKUP(A36,'imp-questions'!A:H,8,FALSE))</f>
        <v>E</v>
      </c>
      <c r="F36" s="425"/>
      <c r="G36" s="17">
        <f>IFERROR(VLOOKUP(F36,AnsETBL,2,FALSE),0)</f>
        <v>0</v>
      </c>
      <c r="H36" s="95">
        <f>IFERROR(AVERAGE(G36,G43),0)</f>
        <v>0</v>
      </c>
      <c r="I36" s="485" t="s">
        <v>556</v>
      </c>
      <c r="J36" s="11"/>
      <c r="K36" s="447"/>
      <c r="L36" s="442"/>
      <c r="M36" s="439"/>
      <c r="N36" s="121"/>
      <c r="O36" s="121"/>
      <c r="P36" s="1"/>
      <c r="Q36" s="1"/>
      <c r="R36" s="1"/>
      <c r="S36" s="1"/>
      <c r="T36" s="1"/>
      <c r="U36" s="1"/>
      <c r="V36" s="1"/>
      <c r="W36" s="1"/>
      <c r="X36" s="1"/>
      <c r="Y36" s="1"/>
    </row>
    <row r="37" spans="1:25" ht="47" customHeight="1" x14ac:dyDescent="0.15">
      <c r="B37" s="476"/>
      <c r="C37" s="133"/>
      <c r="D37" s="167" t="str">
        <f>VLOOKUP(A36,'imp-questions'!A:H,7,FALSE)</f>
        <v>You have procedures (automated, if possible) to regularly generate compliance reports
You deliver compliance reports to all relevant stakeholders
Stakeholders use the reported compliance status information to identify areas for improvement</v>
      </c>
      <c r="E37" s="145"/>
      <c r="F37" s="154"/>
      <c r="G37" s="150"/>
      <c r="H37" s="155"/>
      <c r="I37" s="487"/>
      <c r="J37" s="11"/>
      <c r="K37" s="462"/>
      <c r="L37" s="443"/>
      <c r="M37" s="440"/>
      <c r="N37" s="121"/>
      <c r="O37" s="121"/>
      <c r="P37" s="1"/>
      <c r="Q37" s="1"/>
      <c r="R37" s="1"/>
      <c r="S37" s="1"/>
      <c r="T37" s="1"/>
      <c r="U37" s="1"/>
      <c r="V37" s="1"/>
      <c r="W37" s="1"/>
      <c r="X37" s="1"/>
      <c r="Y37" s="1"/>
    </row>
    <row r="38" spans="1:25" x14ac:dyDescent="0.15">
      <c r="B38" s="305"/>
      <c r="C38" s="306"/>
      <c r="D38" s="306"/>
      <c r="E38" s="306"/>
      <c r="F38" s="306"/>
      <c r="G38" s="306"/>
      <c r="H38" s="306"/>
      <c r="I38" s="349"/>
      <c r="J38" s="350"/>
      <c r="K38" s="349"/>
      <c r="L38" s="349"/>
      <c r="M38" s="351"/>
      <c r="N38" s="121"/>
      <c r="O38" s="121"/>
      <c r="P38" s="1"/>
      <c r="Q38" s="1"/>
      <c r="R38" s="1"/>
      <c r="S38" s="1"/>
      <c r="T38" s="1"/>
      <c r="U38" s="1"/>
      <c r="V38" s="1"/>
      <c r="W38" s="1"/>
      <c r="X38" s="1"/>
      <c r="Y38" s="1"/>
    </row>
    <row r="39" spans="1:25" x14ac:dyDescent="0.15">
      <c r="A39" s="142" t="s">
        <v>307</v>
      </c>
      <c r="B39" s="477" t="str">
        <f>VLOOKUP(A39,'imp-questions'!A:H,4,FALSE)</f>
        <v>Compliance Management</v>
      </c>
      <c r="C39" s="180">
        <f>VLOOKUP(A39,'imp-questions'!A:H,5,FALSE)</f>
        <v>1</v>
      </c>
      <c r="D39" s="176" t="str">
        <f>VLOOKUP(A39,'imp-questions'!A:H,6,FALSE)</f>
        <v>Do you have a complete picture of your external compliance obligations?</v>
      </c>
      <c r="E39" s="144" t="str">
        <f>CHAR(65+VLOOKUP(A39,'imp-questions'!A:H,8,FALSE))</f>
        <v>F</v>
      </c>
      <c r="F39" s="428" t="s">
        <v>27</v>
      </c>
      <c r="G39" s="17">
        <f>IFERROR(VLOOKUP(F39,AnsFTBL,2,FALSE),0)</f>
        <v>0</v>
      </c>
      <c r="H39" s="171"/>
      <c r="I39" s="472"/>
      <c r="J39" s="11"/>
      <c r="K39" s="463"/>
      <c r="L39" s="441"/>
      <c r="M39" s="438"/>
      <c r="N39" s="121"/>
      <c r="O39" s="121"/>
      <c r="P39" s="1"/>
      <c r="Q39" s="1"/>
      <c r="R39" s="1"/>
      <c r="S39" s="1"/>
      <c r="T39" s="1"/>
      <c r="U39" s="1"/>
      <c r="V39" s="1"/>
      <c r="W39" s="1"/>
      <c r="X39" s="1"/>
      <c r="Y39" s="1"/>
    </row>
    <row r="40" spans="1:25" ht="37" customHeight="1" x14ac:dyDescent="0.15">
      <c r="B40" s="475"/>
      <c r="C40" s="133"/>
      <c r="D40" s="167" t="str">
        <f>VLOOKUP(A39,'imp-questions'!A:H,7,FALSE)</f>
        <v>You have identified all sources of external compliance obligations
You have captured and reconciled compliance obligations from all sources</v>
      </c>
      <c r="E40" s="149"/>
      <c r="F40" s="25"/>
      <c r="G40" s="21"/>
      <c r="H40" s="107"/>
      <c r="I40" s="473"/>
      <c r="J40" s="11"/>
      <c r="K40" s="453"/>
      <c r="L40" s="442"/>
      <c r="M40" s="439"/>
      <c r="N40" s="121"/>
      <c r="O40" s="121"/>
      <c r="P40" s="1"/>
      <c r="Q40" s="1"/>
      <c r="R40" s="1"/>
      <c r="S40" s="1"/>
      <c r="T40" s="1"/>
      <c r="U40" s="1"/>
      <c r="V40" s="1"/>
      <c r="W40" s="1"/>
      <c r="X40" s="1"/>
      <c r="Y40" s="1"/>
    </row>
    <row r="41" spans="1:25" ht="28" x14ac:dyDescent="0.15">
      <c r="A41" s="142" t="s">
        <v>308</v>
      </c>
      <c r="B41" s="475"/>
      <c r="C41" s="180">
        <f>VLOOKUP(A41,'imp-questions'!A:H,5,FALSE)</f>
        <v>2</v>
      </c>
      <c r="D41" s="176" t="str">
        <f>VLOOKUP(A41,'imp-questions'!A:H,6,FALSE)</f>
        <v>Do you have a standard set of security requirements and verification procedures addressing the organization's external compliance obligations?</v>
      </c>
      <c r="E41" s="144" t="str">
        <f>CHAR(65+VLOOKUP(A41,'imp-questions'!A:H,8,FALSE))</f>
        <v>D</v>
      </c>
      <c r="F41" s="428"/>
      <c r="G41" s="17">
        <f>IFERROR(VLOOKUP(F41,AnsDTBL,2,FALSE),0)</f>
        <v>0</v>
      </c>
      <c r="H41" s="171"/>
      <c r="I41" s="485" t="s">
        <v>557</v>
      </c>
      <c r="J41" s="11"/>
      <c r="K41" s="447"/>
      <c r="L41" s="442"/>
      <c r="M41" s="439"/>
      <c r="N41" s="121"/>
      <c r="O41" s="121"/>
      <c r="P41" s="1"/>
      <c r="Q41" s="1"/>
      <c r="R41" s="1"/>
      <c r="S41" s="1"/>
      <c r="T41" s="1"/>
      <c r="U41" s="1"/>
      <c r="V41" s="1"/>
      <c r="W41" s="1"/>
      <c r="X41" s="1"/>
      <c r="Y41" s="1"/>
    </row>
    <row r="42" spans="1:25" ht="38" customHeight="1" x14ac:dyDescent="0.15">
      <c r="B42" s="475"/>
      <c r="C42" s="133"/>
      <c r="D42" s="167" t="str">
        <f>VLOOKUP(A41,'imp-questions'!A:H,7,FALSE)</f>
        <v>You map each external compliance obligation to a well-defined set of application requirements
You define verification procedures, including automated tests, to verify compliance with compliance-related requirements</v>
      </c>
      <c r="E42" s="149"/>
      <c r="F42" s="25"/>
      <c r="G42" s="21"/>
      <c r="H42" s="107"/>
      <c r="I42" s="473"/>
      <c r="J42" s="11"/>
      <c r="K42" s="453"/>
      <c r="L42" s="442"/>
      <c r="M42" s="439"/>
      <c r="N42" s="121"/>
      <c r="O42" s="121"/>
      <c r="P42" s="1"/>
      <c r="Q42" s="1"/>
      <c r="R42" s="1"/>
      <c r="S42" s="1"/>
      <c r="T42" s="1"/>
      <c r="U42" s="1"/>
      <c r="V42" s="1"/>
      <c r="W42" s="1"/>
      <c r="X42" s="1"/>
      <c r="Y42" s="1"/>
    </row>
    <row r="43" spans="1:25" ht="28" x14ac:dyDescent="0.15">
      <c r="A43" s="142" t="s">
        <v>309</v>
      </c>
      <c r="B43" s="475"/>
      <c r="C43" s="180">
        <f>VLOOKUP(A43,'imp-questions'!A:H,5,FALSE)</f>
        <v>3</v>
      </c>
      <c r="D43" s="176" t="str">
        <f>VLOOKUP(A43,'imp-questions'!A:H,6,FALSE)</f>
        <v>Do you regularly report on adherence to external compliance obligations and use that information to guide efforts to close compliance gaps?</v>
      </c>
      <c r="E43" s="144" t="str">
        <f>CHAR(65+VLOOKUP(A43,'imp-questions'!A:H,8,FALSE))</f>
        <v>E</v>
      </c>
      <c r="F43" s="428"/>
      <c r="G43" s="17">
        <f>IFERROR(VLOOKUP(F43,AnsETBL,2,FALSE),0)</f>
        <v>0</v>
      </c>
      <c r="H43" s="171"/>
      <c r="I43" s="485" t="s">
        <v>558</v>
      </c>
      <c r="J43" s="11"/>
      <c r="K43" s="447"/>
      <c r="L43" s="442"/>
      <c r="M43" s="439"/>
      <c r="N43" s="121"/>
      <c r="O43" s="121"/>
      <c r="P43" s="1"/>
      <c r="Q43" s="1"/>
      <c r="R43" s="1"/>
      <c r="S43" s="1"/>
      <c r="T43" s="1"/>
      <c r="U43" s="1"/>
      <c r="V43" s="1"/>
      <c r="W43" s="1"/>
      <c r="X43" s="1"/>
      <c r="Y43" s="1"/>
    </row>
    <row r="44" spans="1:25" ht="45" customHeight="1" x14ac:dyDescent="0.15">
      <c r="B44" s="474"/>
      <c r="C44" s="133"/>
      <c r="D44" s="167" t="str">
        <f>VLOOKUP(A43,'imp-questions'!A:H,7,FALSE)</f>
        <v>You have established, well-defined compliance metrics
You measure and report on applications' compliance metrics regularly
Stakeholders use the reported compliance status information to identify compliance gaps and prioritize gap remediation efforts</v>
      </c>
      <c r="E44" s="145"/>
      <c r="F44" s="317"/>
      <c r="G44" s="318"/>
      <c r="H44" s="319"/>
      <c r="I44" s="486"/>
      <c r="J44" s="300"/>
      <c r="K44" s="448"/>
      <c r="L44" s="443"/>
      <c r="M44" s="440"/>
      <c r="N44" s="121"/>
      <c r="O44" s="121"/>
      <c r="P44" s="1"/>
      <c r="Q44" s="1"/>
      <c r="R44" s="1"/>
      <c r="S44" s="1"/>
      <c r="T44" s="1"/>
      <c r="U44" s="1"/>
      <c r="V44" s="1"/>
      <c r="W44" s="1"/>
      <c r="X44" s="1"/>
      <c r="Y44" s="1"/>
    </row>
    <row r="45" spans="1:25" x14ac:dyDescent="0.15">
      <c r="B45" s="498" t="s">
        <v>20</v>
      </c>
      <c r="C45" s="499"/>
      <c r="D45" s="500"/>
      <c r="E45" s="314"/>
      <c r="F45" s="315" t="s">
        <v>31</v>
      </c>
      <c r="G45" s="315"/>
      <c r="H45" s="316"/>
      <c r="I45" s="352" t="s">
        <v>543</v>
      </c>
      <c r="J45" s="353" t="s">
        <v>29</v>
      </c>
      <c r="K45" s="354"/>
      <c r="L45" s="355"/>
      <c r="M45" s="356"/>
      <c r="N45" s="121"/>
      <c r="O45" s="121"/>
      <c r="P45" s="1"/>
      <c r="Q45" s="1"/>
      <c r="R45" s="1"/>
      <c r="S45" s="1"/>
      <c r="T45" s="1"/>
      <c r="U45" s="1"/>
      <c r="V45" s="1"/>
      <c r="W45" s="1"/>
      <c r="X45" s="1"/>
      <c r="Y45" s="1"/>
    </row>
    <row r="46" spans="1:25" x14ac:dyDescent="0.15">
      <c r="A46" s="140" t="s">
        <v>165</v>
      </c>
      <c r="B46" s="474" t="str">
        <f>VLOOKUP(A46,'imp-questions'!A:H,4,FALSE)</f>
        <v>Training and Awareness</v>
      </c>
      <c r="C46" s="301">
        <f>VLOOKUP(A46,'imp-questions'!A:H,5,FALSE)</f>
        <v>1</v>
      </c>
      <c r="D46" s="302" t="str">
        <f>VLOOKUP(A46,'imp-questions'!A:H,6,FALSE)</f>
        <v>Do you require employees involved with application development to take SDLC training?</v>
      </c>
      <c r="E46" s="146" t="str">
        <f>CHAR(65+VLOOKUP(A46,'imp-questions'!A:H,8,FALSE))</f>
        <v>C</v>
      </c>
      <c r="F46" s="427"/>
      <c r="G46" s="303">
        <f>IFERROR(VLOOKUP(F46,AnsCTBL,2,FALSE),0)</f>
        <v>0</v>
      </c>
      <c r="H46" s="320">
        <f>IFERROR(AVERAGE(G46,G53),0)</f>
        <v>0</v>
      </c>
      <c r="I46" s="478" t="s">
        <v>559</v>
      </c>
      <c r="J46" s="561">
        <f>SUM(H46,H48,H50)</f>
        <v>1</v>
      </c>
      <c r="K46" s="449"/>
      <c r="L46" s="441"/>
      <c r="M46" s="438"/>
      <c r="N46" s="121"/>
      <c r="O46" s="121"/>
      <c r="P46" s="1"/>
      <c r="Q46" s="1"/>
      <c r="R46" s="1"/>
      <c r="S46" s="1"/>
      <c r="T46" s="1"/>
      <c r="U46" s="1"/>
      <c r="V46" s="1"/>
      <c r="W46" s="1"/>
      <c r="X46" s="1"/>
      <c r="Y46" s="1"/>
    </row>
    <row r="47" spans="1:25" ht="84" customHeight="1" x14ac:dyDescent="0.15">
      <c r="B47" s="475"/>
      <c r="C47" s="133"/>
      <c r="D47" s="167" t="str">
        <f>VLOOKUP(A46,'imp-questions'!A:H,7,FALSE)</f>
        <v>Training is repeatable, consistent, and available to anyone involved with software development lifecycle
Training includes the latest OWASP Top 10 if appropriate and includes concepts such as Least Privilege, Defense-in-Depth, Fail Secure (Safe), Complete Mediation, Session Management, Open Design, and Psychological Acceptability
Training requires a sign-off or an acknowledgement from attendees
You have updated the training in the last 12 months
Training is required during employees' onboarding process</v>
      </c>
      <c r="E47" s="149"/>
      <c r="F47" s="154"/>
      <c r="G47" s="150"/>
      <c r="H47" s="185"/>
      <c r="I47" s="479"/>
      <c r="J47" s="561"/>
      <c r="K47" s="446"/>
      <c r="L47" s="442"/>
      <c r="M47" s="439"/>
      <c r="N47" s="121"/>
      <c r="O47" s="121"/>
      <c r="P47" s="1"/>
      <c r="Q47" s="1"/>
      <c r="R47" s="1"/>
      <c r="S47" s="1"/>
      <c r="T47" s="1"/>
      <c r="U47" s="1"/>
      <c r="V47" s="1"/>
      <c r="W47" s="1"/>
      <c r="X47" s="1"/>
      <c r="Y47" s="1"/>
    </row>
    <row r="48" spans="1:25" x14ac:dyDescent="0.15">
      <c r="A48" s="140" t="s">
        <v>168</v>
      </c>
      <c r="B48" s="475"/>
      <c r="C48" s="180">
        <f>VLOOKUP(A48,'imp-questions'!A:H,5,FALSE)</f>
        <v>2</v>
      </c>
      <c r="D48" s="176" t="str">
        <f>VLOOKUP(A48,'imp-questions'!A:H,6,FALSE)</f>
        <v>Is training customized for individual roles such as developers, testers, or security champions?</v>
      </c>
      <c r="E48" s="146" t="str">
        <f>CHAR(65+VLOOKUP(A48,'imp-questions'!A:H,8,FALSE))</f>
        <v>I</v>
      </c>
      <c r="F48" s="426"/>
      <c r="G48" s="17">
        <f>IFERROR(VLOOKUP(F48,AnsITBL,2,FALSE),0)</f>
        <v>0</v>
      </c>
      <c r="H48" s="186">
        <f>IFERROR(AVERAGE(G48,G55),0)</f>
        <v>0.5</v>
      </c>
      <c r="I48" s="470" t="s">
        <v>560</v>
      </c>
      <c r="J48" s="187"/>
      <c r="K48" s="464" t="s">
        <v>608</v>
      </c>
      <c r="L48" s="442"/>
      <c r="M48" s="439"/>
      <c r="N48" s="121"/>
      <c r="O48" s="121"/>
      <c r="P48" s="1"/>
      <c r="Q48" s="1"/>
      <c r="R48" s="1"/>
      <c r="S48" s="1"/>
      <c r="T48" s="1"/>
      <c r="U48" s="1"/>
      <c r="V48" s="1"/>
      <c r="W48" s="1"/>
      <c r="X48" s="1"/>
      <c r="Y48" s="1"/>
    </row>
    <row r="49" spans="1:25" ht="73" customHeight="1" x14ac:dyDescent="0.15">
      <c r="B49" s="475"/>
      <c r="C49" s="133"/>
      <c r="D49" s="167" t="str">
        <f>VLOOKUP(A48,'imp-questions'!A:H,7,FALSE)</f>
        <v>Training includes all topics from maturity level 1, and adds more specific tools, techniques, and demonstrations
Training is mandatory for all employees and contractors
Training includes input from in-house SMEs and trainees
Training includes demonstrations of tools and techniques developed in-house
You use feedback to enhance and make future training more relevant</v>
      </c>
      <c r="E49" s="149"/>
      <c r="F49" s="154"/>
      <c r="G49" s="150"/>
      <c r="H49" s="188"/>
      <c r="I49" s="471"/>
      <c r="J49" s="187"/>
      <c r="K49" s="465"/>
      <c r="L49" s="442"/>
      <c r="M49" s="439"/>
      <c r="N49" s="121"/>
      <c r="O49" s="121"/>
      <c r="P49" s="1"/>
      <c r="Q49" s="1"/>
      <c r="R49" s="1"/>
      <c r="S49" s="1"/>
      <c r="T49" s="1"/>
      <c r="U49" s="1"/>
      <c r="V49" s="1"/>
      <c r="W49" s="1"/>
      <c r="X49" s="1"/>
      <c r="Y49" s="1"/>
    </row>
    <row r="50" spans="1:25" ht="28" x14ac:dyDescent="0.15">
      <c r="A50" s="140" t="s">
        <v>169</v>
      </c>
      <c r="B50" s="475"/>
      <c r="C50" s="180">
        <f>VLOOKUP(A50,'imp-questions'!A:H,5,FALSE)</f>
        <v>3</v>
      </c>
      <c r="D50" s="176" t="str">
        <f>VLOOKUP(A50,'imp-questions'!A:H,6,FALSE)</f>
        <v>Have you implemented a Learning Management System or equivalent to track employee training and certification processes?</v>
      </c>
      <c r="E50" s="146" t="str">
        <f>CHAR(65+VLOOKUP(A50,'imp-questions'!A:H,8,FALSE))</f>
        <v>I</v>
      </c>
      <c r="F50" s="426"/>
      <c r="G50" s="17">
        <f>IFERROR(VLOOKUP(F50,AnsITBL,2,FALSE),0)</f>
        <v>0</v>
      </c>
      <c r="H50" s="186">
        <f>IFERROR(AVERAGE(G50,G57),0)</f>
        <v>0.5</v>
      </c>
      <c r="I50" s="480" t="s">
        <v>561</v>
      </c>
      <c r="J50" s="187"/>
      <c r="K50" s="451"/>
      <c r="L50" s="442"/>
      <c r="M50" s="439"/>
      <c r="N50" s="121"/>
      <c r="O50" s="121"/>
      <c r="P50" s="1"/>
      <c r="Q50" s="1"/>
      <c r="R50" s="1"/>
      <c r="S50" s="1"/>
      <c r="T50" s="1"/>
      <c r="U50" s="1"/>
      <c r="V50" s="1"/>
      <c r="W50" s="1"/>
      <c r="X50" s="1"/>
      <c r="Y50" s="1"/>
    </row>
    <row r="51" spans="1:25" ht="47" customHeight="1" x14ac:dyDescent="0.15">
      <c r="B51" s="476"/>
      <c r="C51" s="153"/>
      <c r="D51" s="159" t="str">
        <f>VLOOKUP(A50,'imp-questions'!A:H,7,FALSE)</f>
        <v>A Learning Management System (LMS) is used to track trainings and certifications
Training is based on internal standards, policies, and procedures
You use certification programs or attendance records to determine access to development systems and resources</v>
      </c>
      <c r="E51" s="149"/>
      <c r="F51" s="154"/>
      <c r="G51" s="150"/>
      <c r="H51" s="188"/>
      <c r="I51" s="471"/>
      <c r="J51" s="187"/>
      <c r="K51" s="452"/>
      <c r="L51" s="443"/>
      <c r="M51" s="440"/>
      <c r="N51" s="121"/>
      <c r="O51" s="121"/>
      <c r="P51" s="1"/>
      <c r="Q51" s="1"/>
      <c r="R51" s="1"/>
      <c r="S51" s="1"/>
      <c r="T51" s="1"/>
      <c r="U51" s="1"/>
      <c r="V51" s="1"/>
      <c r="W51" s="1"/>
      <c r="X51" s="1"/>
      <c r="Y51" s="1"/>
    </row>
    <row r="52" spans="1:25" x14ac:dyDescent="0.15">
      <c r="B52" s="305"/>
      <c r="C52" s="306"/>
      <c r="D52" s="306"/>
      <c r="E52" s="306"/>
      <c r="F52" s="306"/>
      <c r="G52" s="306"/>
      <c r="H52" s="306"/>
      <c r="I52" s="349"/>
      <c r="J52" s="350"/>
      <c r="K52" s="349"/>
      <c r="L52" s="349"/>
      <c r="M52" s="351"/>
      <c r="N52" s="121"/>
      <c r="O52" s="121"/>
      <c r="P52" s="1"/>
      <c r="Q52" s="1"/>
      <c r="R52" s="1"/>
      <c r="S52" s="1"/>
      <c r="T52" s="1"/>
      <c r="U52" s="1"/>
      <c r="V52" s="1"/>
      <c r="W52" s="1"/>
      <c r="X52" s="1"/>
      <c r="Y52" s="1"/>
    </row>
    <row r="53" spans="1:25" x14ac:dyDescent="0.15">
      <c r="A53" s="140" t="s">
        <v>170</v>
      </c>
      <c r="B53" s="477" t="str">
        <f>VLOOKUP(A53,'imp-questions'!A:H,4,FALSE)</f>
        <v>Organization and Culture</v>
      </c>
      <c r="C53" s="180">
        <f>VLOOKUP(A53,'imp-questions'!A:H,5,FALSE)</f>
        <v>1</v>
      </c>
      <c r="D53" s="176" t="str">
        <f>VLOOKUP(A53,'imp-questions'!A:H,6,FALSE)</f>
        <v>Have you identified a Security Champion for each development team?</v>
      </c>
      <c r="E53" s="144" t="str">
        <f>CHAR(65+VLOOKUP(A53,'imp-questions'!A:H,8,FALSE))</f>
        <v>W</v>
      </c>
      <c r="F53" s="425"/>
      <c r="G53" s="17">
        <f>IFERROR(VLOOKUP(F53,AnsWTBL,2,FALSE),0)</f>
        <v>0</v>
      </c>
      <c r="H53" s="95"/>
      <c r="I53" s="485" t="s">
        <v>562</v>
      </c>
      <c r="J53" s="11"/>
      <c r="K53" s="466" t="s">
        <v>532</v>
      </c>
      <c r="L53" s="441"/>
      <c r="M53" s="438"/>
      <c r="N53" s="121"/>
      <c r="O53" s="121"/>
      <c r="P53" s="1"/>
      <c r="Q53" s="1"/>
      <c r="R53" s="1"/>
      <c r="S53" s="1"/>
      <c r="T53" s="1"/>
      <c r="U53" s="1"/>
      <c r="V53" s="1"/>
      <c r="W53" s="1"/>
      <c r="X53" s="1"/>
      <c r="Y53" s="1"/>
    </row>
    <row r="54" spans="1:25" ht="70" customHeight="1" x14ac:dyDescent="0.15">
      <c r="B54" s="475"/>
      <c r="C54" s="133"/>
      <c r="D54" s="167" t="str">
        <f>VLOOKUP(A53,'imp-questions'!A:H,7,FALSE)</f>
        <v>Security Champions receive appropriate training
Application Security and Development teams receive periodic briefings from Security Champions on the overall status of security initiatives and fixes
The Security Champion reviews the results of external testing before adding to the application backlog</v>
      </c>
      <c r="E54" s="145"/>
      <c r="F54" s="154"/>
      <c r="G54" s="150"/>
      <c r="H54" s="155"/>
      <c r="I54" s="486"/>
      <c r="J54" s="11"/>
      <c r="K54" s="467"/>
      <c r="L54" s="442"/>
      <c r="M54" s="439"/>
      <c r="N54" s="121"/>
      <c r="O54" s="121"/>
      <c r="P54" s="1"/>
      <c r="Q54" s="1"/>
      <c r="R54" s="1"/>
      <c r="S54" s="1"/>
      <c r="T54" s="1"/>
      <c r="U54" s="1"/>
      <c r="V54" s="1"/>
      <c r="W54" s="1"/>
      <c r="X54" s="1"/>
      <c r="Y54" s="1"/>
    </row>
    <row r="55" spans="1:25" x14ac:dyDescent="0.15">
      <c r="A55" s="140" t="s">
        <v>172</v>
      </c>
      <c r="B55" s="475"/>
      <c r="C55" s="180">
        <f>VLOOKUP(A55,'imp-questions'!A:H,5,FALSE)</f>
        <v>2</v>
      </c>
      <c r="D55" s="176" t="str">
        <f>VLOOKUP(A55,'imp-questions'!A:H,6,FALSE)</f>
        <v>Does the organization have a Secure Software Center of Excellence (SSCE)?</v>
      </c>
      <c r="E55" s="144" t="str">
        <f>CHAR(65+VLOOKUP(A55,'imp-questions'!A:H,8,FALSE))</f>
        <v>L</v>
      </c>
      <c r="F55" s="426" t="s">
        <v>453</v>
      </c>
      <c r="G55" s="17">
        <f>IFERROR(VLOOKUP(F55,AnsLTBL,2,FALSE),0)</f>
        <v>1</v>
      </c>
      <c r="H55" s="95"/>
      <c r="I55" s="485" t="s">
        <v>563</v>
      </c>
      <c r="J55" s="11"/>
      <c r="K55" s="447"/>
      <c r="L55" s="442"/>
      <c r="M55" s="439"/>
      <c r="N55" s="121"/>
      <c r="O55" s="121"/>
      <c r="P55" s="1"/>
      <c r="Q55" s="1"/>
      <c r="R55" s="1"/>
      <c r="S55" s="1"/>
      <c r="T55" s="1"/>
      <c r="U55" s="1"/>
      <c r="V55" s="1"/>
      <c r="W55" s="1"/>
      <c r="X55" s="1"/>
      <c r="Y55" s="1"/>
    </row>
    <row r="56" spans="1:25" ht="60" customHeight="1" x14ac:dyDescent="0.15">
      <c r="B56" s="475"/>
      <c r="C56" s="133"/>
      <c r="D56" s="167" t="str">
        <f>VLOOKUP(A55,'imp-questions'!A:H,7,FALSE)</f>
        <v>The SSCE has a charter defining its role in the organization
Development teams review all significant architectural changes with the SSCE
The SSCE publishes SDLC standards and guidelines related to Application Security
Product Champions are responsible for promoting the use of specific security tools</v>
      </c>
      <c r="E56" s="149"/>
      <c r="F56" s="154"/>
      <c r="G56" s="150"/>
      <c r="H56" s="155"/>
      <c r="I56" s="487"/>
      <c r="J56" s="11"/>
      <c r="K56" s="448"/>
      <c r="L56" s="442"/>
      <c r="M56" s="439"/>
      <c r="N56" s="121"/>
      <c r="O56" s="121"/>
      <c r="P56" s="1"/>
      <c r="Q56" s="1"/>
      <c r="R56" s="1"/>
      <c r="S56" s="1"/>
      <c r="T56" s="1"/>
      <c r="U56" s="1"/>
      <c r="V56" s="1"/>
      <c r="W56" s="1"/>
      <c r="X56" s="1"/>
      <c r="Y56" s="1"/>
    </row>
    <row r="57" spans="1:25" ht="28" x14ac:dyDescent="0.15">
      <c r="A57" s="140" t="s">
        <v>174</v>
      </c>
      <c r="B57" s="475"/>
      <c r="C57" s="180">
        <f>VLOOKUP(A57,'imp-questions'!A:H,5,FALSE)</f>
        <v>3</v>
      </c>
      <c r="D57" s="176" t="str">
        <f>VLOOKUP(A57,'imp-questions'!A:H,6,FALSE)</f>
        <v>Is there a centralized portal where developers and application security professionals from different teams and business units are able to communicate and share information?</v>
      </c>
      <c r="E57" s="144" t="str">
        <f>CHAR(65+VLOOKUP(A57,'imp-questions'!A:H,8,FALSE))</f>
        <v>L</v>
      </c>
      <c r="F57" s="426" t="s">
        <v>453</v>
      </c>
      <c r="G57" s="17">
        <f>IFERROR(VLOOKUP(F57,AnsLTBL,2,FALSE),0)</f>
        <v>1</v>
      </c>
      <c r="H57" s="95"/>
      <c r="I57" s="485" t="s">
        <v>564</v>
      </c>
      <c r="J57" s="11"/>
      <c r="K57" s="447"/>
      <c r="L57" s="442"/>
      <c r="M57" s="439"/>
      <c r="N57" s="121"/>
      <c r="O57" s="121"/>
      <c r="P57" s="1"/>
      <c r="Q57" s="1"/>
      <c r="R57" s="1"/>
      <c r="S57" s="1"/>
      <c r="T57" s="1"/>
      <c r="U57" s="1"/>
      <c r="V57" s="1"/>
      <c r="W57" s="1"/>
      <c r="X57" s="1"/>
      <c r="Y57" s="1"/>
    </row>
    <row r="58" spans="1:25" ht="106" customHeight="1" x14ac:dyDescent="0.15">
      <c r="B58" s="476"/>
      <c r="C58" s="153"/>
      <c r="D58" s="159" t="str">
        <f>VLOOKUP(A57,'imp-questions'!A:H,7,FALSE)</f>
        <v>The organization promotes use of a single portal across different teams and business units
The portal is used for timely information such as notification of security incidents, tool updates, architectural standard changes, and other related announcements
The portal is widely recognized by developers and architects as a centralized repository of the organization-specific application security information
All content is considered persistent and searchable
The portal provides access to application-specific security metrics</v>
      </c>
      <c r="E58" s="149"/>
      <c r="F58" s="154"/>
      <c r="G58" s="150"/>
      <c r="H58" s="155"/>
      <c r="I58" s="487"/>
      <c r="J58" s="11"/>
      <c r="K58" s="448"/>
      <c r="L58" s="443"/>
      <c r="M58" s="440"/>
      <c r="N58" s="121"/>
      <c r="O58" s="121"/>
      <c r="P58" s="1"/>
      <c r="Q58" s="1"/>
      <c r="R58" s="1"/>
      <c r="S58" s="1"/>
      <c r="T58" s="1"/>
      <c r="U58" s="1"/>
      <c r="V58" s="1"/>
      <c r="W58" s="1"/>
      <c r="X58" s="1"/>
      <c r="Y58" s="1"/>
    </row>
    <row r="59" spans="1:25" ht="13" x14ac:dyDescent="0.15">
      <c r="B59" s="481" t="s">
        <v>177</v>
      </c>
      <c r="C59" s="481"/>
      <c r="D59" s="481"/>
      <c r="E59" s="481"/>
      <c r="F59" s="481"/>
      <c r="G59" s="481"/>
      <c r="H59" s="481"/>
      <c r="I59" s="481"/>
      <c r="J59" s="482"/>
      <c r="K59" s="357"/>
      <c r="L59" s="357"/>
      <c r="M59" s="357"/>
      <c r="N59" s="121"/>
      <c r="O59" s="121"/>
      <c r="P59" s="1"/>
      <c r="Q59" s="1"/>
      <c r="R59" s="1"/>
      <c r="S59" s="1"/>
      <c r="T59" s="1"/>
      <c r="U59" s="1"/>
      <c r="V59" s="1"/>
      <c r="W59" s="1"/>
      <c r="X59" s="1"/>
      <c r="Y59" s="1"/>
    </row>
    <row r="60" spans="1:25" x14ac:dyDescent="0.15">
      <c r="B60" s="569" t="s">
        <v>21</v>
      </c>
      <c r="C60" s="570"/>
      <c r="D60" s="571"/>
      <c r="E60" s="358"/>
      <c r="F60" s="359" t="s">
        <v>31</v>
      </c>
      <c r="G60" s="359"/>
      <c r="H60" s="360"/>
      <c r="I60" s="361" t="s">
        <v>543</v>
      </c>
      <c r="J60" s="362" t="s">
        <v>29</v>
      </c>
      <c r="K60" s="363"/>
      <c r="L60" s="364"/>
      <c r="M60" s="365"/>
      <c r="N60" s="121"/>
      <c r="O60" s="121"/>
      <c r="P60" s="1"/>
      <c r="Q60" s="1"/>
      <c r="R60" s="1"/>
      <c r="S60" s="1"/>
      <c r="T60" s="1"/>
      <c r="U60" s="1"/>
      <c r="V60" s="1"/>
      <c r="W60" s="1"/>
      <c r="X60" s="1"/>
      <c r="Y60" s="1"/>
    </row>
    <row r="61" spans="1:25" x14ac:dyDescent="0.15">
      <c r="A61" s="140" t="s">
        <v>176</v>
      </c>
      <c r="B61" s="488" t="str">
        <f>VLOOKUP(A61,'imp-questions'!A:H,4,FALSE)</f>
        <v>Application Risk Profile</v>
      </c>
      <c r="C61" s="181">
        <f>VLOOKUP(A61,'imp-questions'!A:H,5,FALSE)</f>
        <v>1</v>
      </c>
      <c r="D61" s="176" t="str">
        <f>VLOOKUP(A61,'imp-questions'!A:H,6,FALSE)</f>
        <v>Do you classify applications according to business risk based on a simple and predefined set of questions?</v>
      </c>
      <c r="E61" s="144" t="str">
        <f>CHAR(65+VLOOKUP(A61,'imp-questions'!A:H,8,FALSE))</f>
        <v>C</v>
      </c>
      <c r="F61" s="429" t="s">
        <v>320</v>
      </c>
      <c r="G61" s="17">
        <f>IFERROR(VLOOKUP(F61,AnsCTBL,2,FALSE),0)</f>
        <v>1</v>
      </c>
      <c r="H61" s="184">
        <f>IFERROR(AVERAGE(G61,G68),0)</f>
        <v>1</v>
      </c>
      <c r="I61" s="494" t="s">
        <v>565</v>
      </c>
      <c r="J61" s="562">
        <f>SUM(H61,H63,H65)</f>
        <v>1.5</v>
      </c>
      <c r="K61" s="445"/>
      <c r="L61" s="441"/>
      <c r="M61" s="438"/>
      <c r="N61" s="121"/>
      <c r="O61" s="121"/>
      <c r="P61" s="1"/>
      <c r="Q61" s="1"/>
      <c r="R61" s="1"/>
      <c r="S61" s="1"/>
      <c r="T61" s="1"/>
      <c r="U61" s="1"/>
      <c r="V61" s="1"/>
      <c r="W61" s="1"/>
      <c r="X61" s="1"/>
      <c r="Y61" s="1"/>
    </row>
    <row r="62" spans="1:25" ht="56" x14ac:dyDescent="0.15">
      <c r="B62" s="489"/>
      <c r="C62" s="133"/>
      <c r="D62" s="167" t="str">
        <f>VLOOKUP(A61,'imp-questions'!A:H,7,FALSE)</f>
        <v>An agreed-upon risk classification exists
The application team understands the risk classification
The risk classification covers critical aspects of business risks the organization is facing
The organization has an inventory for the applications in scope</v>
      </c>
      <c r="E62" s="149"/>
      <c r="F62" s="24"/>
      <c r="G62" s="150"/>
      <c r="H62" s="185"/>
      <c r="I62" s="479"/>
      <c r="J62" s="542"/>
      <c r="K62" s="446"/>
      <c r="L62" s="442"/>
      <c r="M62" s="439"/>
      <c r="N62" s="121"/>
      <c r="O62" s="121"/>
      <c r="P62" s="1"/>
      <c r="Q62" s="1"/>
      <c r="R62" s="1"/>
      <c r="S62" s="1"/>
      <c r="T62" s="1"/>
      <c r="U62" s="1"/>
      <c r="V62" s="1"/>
      <c r="W62" s="1"/>
      <c r="X62" s="1"/>
      <c r="Y62" s="1"/>
    </row>
    <row r="63" spans="1:25" x14ac:dyDescent="0.15">
      <c r="A63" s="140" t="s">
        <v>179</v>
      </c>
      <c r="B63" s="489"/>
      <c r="C63" s="181">
        <f>VLOOKUP(A63,'imp-questions'!A:H,5,FALSE)</f>
        <v>2</v>
      </c>
      <c r="D63" s="176" t="str">
        <f>VLOOKUP(A63,'imp-questions'!A:H,6,FALSE)</f>
        <v>Do you use centralized and quantified application risk profiles to evaluate business risk?</v>
      </c>
      <c r="E63" s="144" t="str">
        <f>CHAR(65+VLOOKUP(A63,'imp-questions'!A:H,8,FALSE))</f>
        <v>F</v>
      </c>
      <c r="F63" s="429" t="s">
        <v>321</v>
      </c>
      <c r="G63" s="17">
        <f>IFERROR(VLOOKUP(F63,AnsFTBL,2,FALSE),0)</f>
        <v>1</v>
      </c>
      <c r="H63" s="184">
        <f>IFERROR(AVERAGE(G63,G70),0)</f>
        <v>0.5</v>
      </c>
      <c r="I63" s="470"/>
      <c r="J63" s="346"/>
      <c r="K63" s="445"/>
      <c r="L63" s="442"/>
      <c r="M63" s="439"/>
      <c r="N63" s="121"/>
      <c r="O63" s="121"/>
      <c r="P63" s="1"/>
      <c r="Q63" s="1"/>
      <c r="R63" s="1"/>
      <c r="S63" s="1"/>
      <c r="T63" s="1"/>
      <c r="U63" s="1"/>
      <c r="V63" s="1"/>
      <c r="W63" s="1"/>
      <c r="X63" s="1"/>
      <c r="Y63" s="1"/>
    </row>
    <row r="64" spans="1:25" ht="56" x14ac:dyDescent="0.15">
      <c r="A64"/>
      <c r="B64" s="489"/>
      <c r="C64" s="133"/>
      <c r="D64" s="167" t="str">
        <f>VLOOKUP(A63,'imp-questions'!A:H,7,FALSE)</f>
        <v>The application risk profile is in line with the organizational risk standard
The application risk profile covers impact to security and privacy
You validate the quality of the risk profile manually and/or automatically
The application risk profiles are stored in a central inventory</v>
      </c>
      <c r="E64" s="149"/>
      <c r="F64" s="25"/>
      <c r="G64" s="21"/>
      <c r="H64" s="188"/>
      <c r="I64" s="471"/>
      <c r="J64" s="346"/>
      <c r="K64" s="446"/>
      <c r="L64" s="442"/>
      <c r="M64" s="439"/>
      <c r="N64" s="121"/>
      <c r="O64" s="121"/>
      <c r="P64" s="1"/>
      <c r="Q64" s="1"/>
      <c r="R64" s="1"/>
      <c r="S64" s="1"/>
      <c r="T64" s="1"/>
      <c r="U64" s="1"/>
      <c r="V64" s="1"/>
      <c r="W64" s="1"/>
      <c r="X64" s="1"/>
      <c r="Y64" s="1"/>
    </row>
    <row r="65" spans="1:25" x14ac:dyDescent="0.15">
      <c r="A65" s="140" t="s">
        <v>180</v>
      </c>
      <c r="B65" s="489"/>
      <c r="C65" s="181">
        <f>VLOOKUP(A65,'imp-questions'!A:H,5,FALSE)</f>
        <v>3</v>
      </c>
      <c r="D65" s="176" t="str">
        <f>VLOOKUP(A65,'imp-questions'!A:H,6,FALSE)</f>
        <v>Do you regularly review and update the risk profiles for your applications?</v>
      </c>
      <c r="E65" s="144" t="str">
        <f>CHAR(65+VLOOKUP(A65,'imp-questions'!A:H,8,FALSE))</f>
        <v>G</v>
      </c>
      <c r="F65" s="429"/>
      <c r="G65" s="170">
        <f>IFERROR(VLOOKUP(F65,AnsGTBL,2,FALSE),0)</f>
        <v>0</v>
      </c>
      <c r="H65" s="184">
        <f>IFERROR(AVERAGE(G65,G72),0)</f>
        <v>0</v>
      </c>
      <c r="I65" s="480" t="s">
        <v>566</v>
      </c>
      <c r="J65" s="346"/>
      <c r="K65" s="445"/>
      <c r="L65" s="442"/>
      <c r="M65" s="439"/>
      <c r="N65" s="121"/>
      <c r="O65" s="121"/>
      <c r="P65" s="1"/>
      <c r="Q65" s="1"/>
      <c r="R65" s="1"/>
      <c r="S65" s="1"/>
      <c r="T65" s="1"/>
      <c r="U65" s="1"/>
      <c r="V65" s="1"/>
      <c r="W65" s="1"/>
      <c r="X65" s="1"/>
      <c r="Y65" s="1"/>
    </row>
    <row r="66" spans="1:25" ht="28" x14ac:dyDescent="0.15">
      <c r="A66"/>
      <c r="B66" s="490"/>
      <c r="C66" s="153"/>
      <c r="D66" s="159" t="str">
        <f>VLOOKUP(A65,'imp-questions'!A:H,7,FALSE)</f>
        <v>The organizational risk standard considers historical feedback to improve the evaluation method
Significant changes in the application or business context trigger a review of the relevant risk profiles</v>
      </c>
      <c r="E66" s="149"/>
      <c r="F66" s="25"/>
      <c r="G66" s="21"/>
      <c r="H66" s="188"/>
      <c r="I66" s="471"/>
      <c r="J66" s="346"/>
      <c r="K66" s="446"/>
      <c r="L66" s="443"/>
      <c r="M66" s="440"/>
      <c r="N66" s="121"/>
      <c r="O66" s="121"/>
      <c r="P66" s="1"/>
      <c r="Q66" s="1"/>
      <c r="R66" s="1"/>
      <c r="S66" s="1"/>
      <c r="T66" s="1"/>
      <c r="U66" s="1"/>
      <c r="V66" s="1"/>
      <c r="W66" s="1"/>
      <c r="X66" s="1"/>
      <c r="Y66" s="1"/>
    </row>
    <row r="67" spans="1:25" x14ac:dyDescent="0.15">
      <c r="A67"/>
      <c r="B67" s="305"/>
      <c r="C67" s="306"/>
      <c r="D67" s="306"/>
      <c r="E67" s="306"/>
      <c r="F67" s="306"/>
      <c r="G67" s="306"/>
      <c r="H67" s="306"/>
      <c r="I67" s="349"/>
      <c r="J67" s="350"/>
      <c r="K67" s="349"/>
      <c r="L67" s="349"/>
      <c r="M67" s="351"/>
      <c r="N67" s="121"/>
      <c r="O67" s="121"/>
      <c r="P67" s="1"/>
      <c r="Q67" s="1"/>
      <c r="R67" s="1"/>
      <c r="S67" s="1"/>
      <c r="T67" s="1"/>
      <c r="U67" s="1"/>
      <c r="V67" s="1"/>
      <c r="W67" s="1"/>
      <c r="X67" s="1"/>
      <c r="Y67" s="1"/>
    </row>
    <row r="68" spans="1:25" x14ac:dyDescent="0.15">
      <c r="A68" s="140" t="s">
        <v>182</v>
      </c>
      <c r="B68" s="488" t="str">
        <f>VLOOKUP(A68,'imp-questions'!A:H,4,FALSE)</f>
        <v>Threat Modeling</v>
      </c>
      <c r="C68" s="181">
        <f>VLOOKUP(A68,'imp-questions'!A:H,5,FALSE)</f>
        <v>1</v>
      </c>
      <c r="D68" s="176" t="str">
        <f>VLOOKUP(A68,'imp-questions'!A:H,6,FALSE)</f>
        <v>Do you identify and manage architectural design flaws with threat modeling?</v>
      </c>
      <c r="E68" s="144" t="str">
        <f>CHAR(65+VLOOKUP(A68,'imp-questions'!A:H,8,FALSE))</f>
        <v>C</v>
      </c>
      <c r="F68" s="429" t="s">
        <v>320</v>
      </c>
      <c r="G68" s="17">
        <f>IFERROR(VLOOKUP(F68,AnsCTBL,2,FALSE),0)</f>
        <v>1</v>
      </c>
      <c r="H68" s="95"/>
      <c r="I68" s="493" t="s">
        <v>567</v>
      </c>
      <c r="J68" s="347"/>
      <c r="K68" s="450"/>
      <c r="L68" s="441"/>
      <c r="M68" s="438"/>
      <c r="N68" s="121"/>
      <c r="O68" s="121"/>
      <c r="P68" s="1"/>
      <c r="Q68" s="1"/>
      <c r="R68" s="1"/>
      <c r="S68" s="1"/>
      <c r="T68" s="1"/>
      <c r="U68" s="1"/>
      <c r="V68" s="1"/>
      <c r="W68" s="1"/>
      <c r="X68" s="1"/>
      <c r="Y68" s="1"/>
    </row>
    <row r="69" spans="1:25" ht="42" x14ac:dyDescent="0.15">
      <c r="B69" s="489"/>
      <c r="C69" s="133"/>
      <c r="D69" s="167" t="str">
        <f>VLOOKUP(A68,'imp-questions'!A:H,7,FALSE)</f>
        <v>You perform threat modeling for high-risk applications
You use simple threat checklists, such as STRIDE
You persist the outcome of a threat model for later use</v>
      </c>
      <c r="E69" s="149"/>
      <c r="F69" s="25"/>
      <c r="G69" s="21"/>
      <c r="H69" s="107"/>
      <c r="I69" s="473"/>
      <c r="J69" s="347"/>
      <c r="K69" s="453"/>
      <c r="L69" s="442"/>
      <c r="M69" s="439"/>
      <c r="N69" s="121"/>
      <c r="O69" s="121"/>
      <c r="P69" s="1"/>
      <c r="Q69" s="1"/>
      <c r="R69" s="1"/>
      <c r="S69" s="1"/>
      <c r="T69" s="1"/>
      <c r="U69" s="1"/>
      <c r="V69" s="1"/>
      <c r="W69" s="1"/>
      <c r="X69" s="1"/>
      <c r="Y69" s="1"/>
    </row>
    <row r="70" spans="1:25" ht="14" customHeight="1" x14ac:dyDescent="0.15">
      <c r="A70" s="140" t="s">
        <v>184</v>
      </c>
      <c r="B70" s="489"/>
      <c r="C70" s="181">
        <f>VLOOKUP(A70,'imp-questions'!A:H,5,FALSE)</f>
        <v>2</v>
      </c>
      <c r="D70" s="176" t="str">
        <f>VLOOKUP(A70,'imp-questions'!A:H,6,FALSE)</f>
        <v>Do you use a standard methodology, aligned on your application risk levels?</v>
      </c>
      <c r="E70" s="144" t="str">
        <f>CHAR(65+VLOOKUP(A70,'imp-questions'!A:H,8,FALSE))</f>
        <v>F</v>
      </c>
      <c r="F70" s="429"/>
      <c r="G70" s="17">
        <f>IFERROR(VLOOKUP(F70,AnsFTBL,2,FALSE),0)</f>
        <v>0</v>
      </c>
      <c r="H70" s="95"/>
      <c r="I70" s="493"/>
      <c r="J70" s="347"/>
      <c r="K70" s="460" t="s">
        <v>548</v>
      </c>
      <c r="L70" s="442"/>
      <c r="M70" s="439"/>
      <c r="N70" s="121"/>
      <c r="O70" s="121"/>
      <c r="P70" s="1"/>
      <c r="Q70" s="1"/>
      <c r="R70" s="1"/>
      <c r="S70" s="1"/>
      <c r="T70" s="1"/>
      <c r="U70" s="1"/>
      <c r="V70" s="1"/>
      <c r="W70" s="1"/>
      <c r="X70" s="1"/>
      <c r="Y70" s="1"/>
    </row>
    <row r="71" spans="1:25" ht="70" x14ac:dyDescent="0.15">
      <c r="A71"/>
      <c r="B71" s="489"/>
      <c r="C71" s="133"/>
      <c r="D71" s="167" t="str">
        <f>VLOOKUP(A70,'imp-questions'!A:H,7,FALSE)</f>
        <v>You train your architects, security champions, and other stakeholders on how to do practical threat modeling
Your threat modeling methodology includes at least diagramming, threat identification, design flaw mitigations, and how to validate your threat model artifacts
Changes in the application or business context trigger a review of the relevant threat models
You capture the threat modeling artifacts with tools that are used by your application teams</v>
      </c>
      <c r="E71" s="149"/>
      <c r="F71" s="25"/>
      <c r="G71" s="21"/>
      <c r="H71" s="107"/>
      <c r="I71" s="473"/>
      <c r="J71" s="347"/>
      <c r="K71" s="461"/>
      <c r="L71" s="442"/>
      <c r="M71" s="439"/>
      <c r="N71" s="121"/>
      <c r="O71" s="121"/>
      <c r="P71" s="1"/>
      <c r="Q71" s="1"/>
      <c r="R71" s="1"/>
      <c r="S71" s="1"/>
      <c r="T71" s="1"/>
      <c r="U71" s="1"/>
      <c r="V71" s="1"/>
      <c r="W71" s="1"/>
      <c r="X71" s="1"/>
      <c r="Y71" s="1"/>
    </row>
    <row r="72" spans="1:25" x14ac:dyDescent="0.15">
      <c r="A72" s="140" t="s">
        <v>185</v>
      </c>
      <c r="B72" s="489"/>
      <c r="C72" s="181">
        <f>VLOOKUP(A72,'imp-questions'!A:H,5,FALSE)</f>
        <v>3</v>
      </c>
      <c r="D72" s="176" t="str">
        <f>VLOOKUP(A72,'imp-questions'!A:H,6,FALSE)</f>
        <v>Do you regularly review and update the threat modeling methodology for your applications?</v>
      </c>
      <c r="E72" s="144" t="str">
        <f>CHAR(65+VLOOKUP(A72,'imp-questions'!A:H,8,FALSE))</f>
        <v>N</v>
      </c>
      <c r="F72" s="428"/>
      <c r="G72" s="17">
        <f>IFERROR(VLOOKUP(F72,AnsNTBL,2,FALSE),0)</f>
        <v>0</v>
      </c>
      <c r="H72" s="95"/>
      <c r="I72" s="493" t="s">
        <v>568</v>
      </c>
      <c r="J72" s="347"/>
      <c r="K72" s="450"/>
      <c r="L72" s="442"/>
      <c r="M72" s="439"/>
      <c r="N72" s="121"/>
      <c r="O72" s="121"/>
      <c r="P72" s="1"/>
      <c r="Q72" s="1"/>
      <c r="R72" s="1"/>
      <c r="S72" s="1"/>
      <c r="T72" s="1"/>
      <c r="U72" s="1"/>
      <c r="V72" s="1"/>
      <c r="W72" s="1"/>
      <c r="X72" s="1"/>
      <c r="Y72" s="1"/>
    </row>
    <row r="73" spans="1:25" ht="42" x14ac:dyDescent="0.15">
      <c r="A73"/>
      <c r="B73" s="491"/>
      <c r="C73" s="133"/>
      <c r="D73" s="167" t="str">
        <f>VLOOKUP(A72,'imp-questions'!A:H,7,FALSE)</f>
        <v>The threat model methodology considers historical feedback for improvement
You regularly (e.g., yearly) review the existing threat models to verify that no new threats are relevant for your applications
You automate parts of your threat modeling process with threat modeling tools</v>
      </c>
      <c r="E73" s="145"/>
      <c r="F73" s="317"/>
      <c r="G73" s="318"/>
      <c r="H73" s="319"/>
      <c r="I73" s="486"/>
      <c r="J73" s="348"/>
      <c r="K73" s="448"/>
      <c r="L73" s="443"/>
      <c r="M73" s="440"/>
      <c r="N73" s="121"/>
      <c r="O73" s="121"/>
      <c r="P73" s="1"/>
      <c r="Q73" s="1"/>
      <c r="R73" s="1"/>
      <c r="S73" s="1"/>
      <c r="T73" s="1"/>
      <c r="U73" s="1"/>
      <c r="V73" s="1"/>
      <c r="W73" s="1"/>
      <c r="X73" s="1"/>
      <c r="Y73" s="1"/>
    </row>
    <row r="74" spans="1:25" x14ac:dyDescent="0.15">
      <c r="A74"/>
      <c r="B74" s="566" t="s">
        <v>22</v>
      </c>
      <c r="C74" s="567"/>
      <c r="D74" s="568"/>
      <c r="E74" s="322"/>
      <c r="F74" s="323" t="s">
        <v>31</v>
      </c>
      <c r="G74" s="323"/>
      <c r="H74" s="324"/>
      <c r="I74" s="366" t="s">
        <v>543</v>
      </c>
      <c r="J74" s="367" t="s">
        <v>29</v>
      </c>
      <c r="K74" s="368"/>
      <c r="L74" s="369"/>
      <c r="M74" s="370"/>
      <c r="N74" s="121"/>
      <c r="O74" s="121"/>
      <c r="P74" s="1"/>
      <c r="Q74" s="1"/>
      <c r="R74" s="1"/>
      <c r="S74" s="1"/>
      <c r="T74" s="1"/>
      <c r="U74" s="1"/>
      <c r="V74" s="1"/>
      <c r="W74" s="1"/>
      <c r="X74" s="1"/>
      <c r="Y74" s="1"/>
    </row>
    <row r="75" spans="1:25" ht="14" customHeight="1" x14ac:dyDescent="0.15">
      <c r="A75" s="140" t="s">
        <v>186</v>
      </c>
      <c r="B75" s="491" t="str">
        <f>VLOOKUP(A75,'imp-questions'!A:H,4,FALSE)</f>
        <v>Software Requirements</v>
      </c>
      <c r="C75" s="321">
        <f>VLOOKUP(A75,'imp-questions'!A:H,5,FALSE)</f>
        <v>1</v>
      </c>
      <c r="D75" s="302" t="str">
        <f>VLOOKUP(A75,'imp-questions'!A:H,6,FALSE)</f>
        <v>Do project teams specify security requirements during development?</v>
      </c>
      <c r="E75" s="146" t="str">
        <f>CHAR(65+VLOOKUP(A75,'imp-questions'!A:H,8,FALSE))</f>
        <v>F</v>
      </c>
      <c r="F75" s="430"/>
      <c r="G75" s="303">
        <f>IFERROR(VLOOKUP(F75,AnsFTBL,2,FALSE),0)</f>
        <v>0</v>
      </c>
      <c r="H75" s="320">
        <f>IFERROR(AVERAGE(G75,G82),0)</f>
        <v>0</v>
      </c>
      <c r="I75" s="478" t="s">
        <v>569</v>
      </c>
      <c r="J75" s="542">
        <f>SUM(H75,H77,H79)</f>
        <v>0</v>
      </c>
      <c r="K75" s="449"/>
      <c r="L75" s="441"/>
      <c r="M75" s="438"/>
      <c r="N75" s="121"/>
      <c r="O75" s="121"/>
      <c r="P75" s="1"/>
      <c r="Q75" s="1"/>
      <c r="R75" s="1"/>
      <c r="S75" s="1"/>
      <c r="T75" s="1"/>
      <c r="U75" s="1"/>
      <c r="V75" s="1"/>
      <c r="W75" s="1"/>
      <c r="X75" s="1"/>
      <c r="Y75" s="1"/>
    </row>
    <row r="76" spans="1:25" ht="42" x14ac:dyDescent="0.15">
      <c r="A76"/>
      <c r="B76" s="489"/>
      <c r="C76" s="133"/>
      <c r="D76" s="167" t="str">
        <f>VLOOKUP(A75,'imp-questions'!A:H,7,FALSE)</f>
        <v>Teams derive security requirements from functional requirements and customer or organization concerns
Security requirements are specific, measurable, and reasonable
Security requirements are in line with the organizational baseline</v>
      </c>
      <c r="E76" s="149"/>
      <c r="F76" s="25"/>
      <c r="G76" s="21"/>
      <c r="H76" s="185"/>
      <c r="I76" s="479"/>
      <c r="J76" s="542"/>
      <c r="K76" s="446"/>
      <c r="L76" s="442"/>
      <c r="M76" s="439"/>
      <c r="N76" s="121"/>
      <c r="O76" s="121"/>
      <c r="P76" s="1"/>
      <c r="Q76" s="1"/>
      <c r="R76" s="1"/>
      <c r="S76" s="1"/>
      <c r="T76" s="1"/>
      <c r="U76" s="1"/>
      <c r="V76" s="1"/>
      <c r="W76" s="1"/>
      <c r="X76" s="1"/>
      <c r="Y76" s="1"/>
    </row>
    <row r="77" spans="1:25" x14ac:dyDescent="0.15">
      <c r="A77" s="140" t="s">
        <v>188</v>
      </c>
      <c r="B77" s="489"/>
      <c r="C77" s="181">
        <f>VLOOKUP(A77,'imp-questions'!A:H,5,FALSE)</f>
        <v>2</v>
      </c>
      <c r="D77" s="176" t="str">
        <f>VLOOKUP(A77,'imp-questions'!A:H,6,FALSE)</f>
        <v>Do you define, structure, and include prioritization in the artifacts of the security requirements gathering process?</v>
      </c>
      <c r="E77" s="144" t="str">
        <f>CHAR(65+VLOOKUP(A77,'imp-questions'!A:H,8,FALSE))</f>
        <v>H</v>
      </c>
      <c r="F77" s="431"/>
      <c r="G77" s="17">
        <f>IFERROR(VLOOKUP(F77,AnsHTBL,2,FALSE),0)</f>
        <v>0</v>
      </c>
      <c r="H77" s="184">
        <f>IFERROR(AVERAGE(G77,G84),0)</f>
        <v>0</v>
      </c>
      <c r="I77" s="470" t="s">
        <v>570</v>
      </c>
      <c r="J77" s="346"/>
      <c r="K77" s="454"/>
      <c r="L77" s="442"/>
      <c r="M77" s="439"/>
      <c r="N77" s="121"/>
      <c r="O77" s="121"/>
      <c r="P77" s="1"/>
      <c r="Q77" s="1"/>
      <c r="R77" s="1"/>
      <c r="S77" s="1"/>
      <c r="T77" s="1"/>
      <c r="U77" s="1"/>
      <c r="V77" s="1"/>
      <c r="W77" s="1"/>
      <c r="X77" s="1"/>
      <c r="Y77" s="1"/>
    </row>
    <row r="78" spans="1:25" ht="70" x14ac:dyDescent="0.15">
      <c r="A78"/>
      <c r="B78" s="489"/>
      <c r="C78" s="133"/>
      <c r="D78" s="167" t="str">
        <f>VLOOKUP(A77,'imp-questions'!A:H,7,FALSE)</f>
        <v>Security requirements take into consideration domain specific knowledge when applying policies and guidance to product development
Domain experts are involved in the requirements definition process
You have an agreed upon structured notation for security requirements
Development teams have a security champion dedicated to reviewing security requirements and outcomes</v>
      </c>
      <c r="E78" s="149"/>
      <c r="F78" s="25"/>
      <c r="G78" s="21"/>
      <c r="H78" s="188"/>
      <c r="I78" s="471"/>
      <c r="J78" s="346"/>
      <c r="K78" s="452"/>
      <c r="L78" s="442"/>
      <c r="M78" s="439"/>
      <c r="N78" s="121"/>
      <c r="O78" s="121"/>
      <c r="P78" s="1"/>
      <c r="Q78" s="1"/>
      <c r="R78" s="1"/>
      <c r="S78" s="1"/>
      <c r="T78" s="1"/>
      <c r="U78" s="1"/>
      <c r="V78" s="1"/>
      <c r="W78" s="1"/>
      <c r="X78" s="1"/>
      <c r="Y78" s="1"/>
    </row>
    <row r="79" spans="1:25" x14ac:dyDescent="0.15">
      <c r="A79" s="140" t="s">
        <v>189</v>
      </c>
      <c r="B79" s="489"/>
      <c r="C79" s="181">
        <f>VLOOKUP(A79,'imp-questions'!A:H,5,FALSE)</f>
        <v>3</v>
      </c>
      <c r="D79" s="176" t="str">
        <f>VLOOKUP(A79,'imp-questions'!A:H,6,FALSE)</f>
        <v>Do you use a standard requirements framework to streamline the elicitation of security requirements?</v>
      </c>
      <c r="E79" s="144" t="str">
        <f>CHAR(65+VLOOKUP(A79,'imp-questions'!A:H,8,FALSE))</f>
        <v>F</v>
      </c>
      <c r="F79" s="429"/>
      <c r="G79" s="17">
        <f>IFERROR(VLOOKUP(F79,AnsFTBL,2,FALSE),0)</f>
        <v>0</v>
      </c>
      <c r="H79" s="184">
        <f>IFERROR(AVERAGE(G79,G86),0)</f>
        <v>0</v>
      </c>
      <c r="I79" s="480" t="s">
        <v>571</v>
      </c>
      <c r="J79" s="346"/>
      <c r="K79" s="451"/>
      <c r="L79" s="442"/>
      <c r="M79" s="439"/>
      <c r="N79" s="121"/>
      <c r="O79" s="121"/>
      <c r="P79" s="1"/>
      <c r="Q79" s="1"/>
      <c r="R79" s="1"/>
      <c r="S79" s="1"/>
      <c r="T79" s="1"/>
      <c r="U79" s="1"/>
      <c r="V79" s="1"/>
      <c r="W79" s="1"/>
      <c r="X79" s="1"/>
      <c r="Y79" s="1"/>
    </row>
    <row r="80" spans="1:25" ht="56" x14ac:dyDescent="0.15">
      <c r="A80"/>
      <c r="B80" s="490"/>
      <c r="C80" s="153"/>
      <c r="D80" s="159" t="str">
        <f>VLOOKUP(A79,'imp-questions'!A:H,7,FALSE)</f>
        <v>A security requirements framework is available for project teams
The framework is categorized by common requirements and standards-based requirements
The framework gives clear guidance on the quality of requirements and how to describe them
The framework is adaptable to specific business requirements</v>
      </c>
      <c r="E80" s="149"/>
      <c r="F80" s="25"/>
      <c r="G80" s="21"/>
      <c r="H80" s="188"/>
      <c r="I80" s="471"/>
      <c r="J80" s="346"/>
      <c r="K80" s="452"/>
      <c r="L80" s="443"/>
      <c r="M80" s="440"/>
      <c r="N80" s="121"/>
      <c r="O80" s="121"/>
      <c r="P80" s="1"/>
      <c r="Q80" s="1"/>
      <c r="R80" s="1"/>
      <c r="S80" s="1"/>
      <c r="T80" s="1"/>
      <c r="U80" s="1"/>
      <c r="V80" s="1"/>
      <c r="W80" s="1"/>
      <c r="X80" s="1"/>
      <c r="Y80" s="1"/>
    </row>
    <row r="81" spans="1:25" x14ac:dyDescent="0.15">
      <c r="A81"/>
      <c r="B81" s="305"/>
      <c r="C81" s="306"/>
      <c r="D81" s="306"/>
      <c r="E81" s="306"/>
      <c r="F81" s="306"/>
      <c r="G81" s="306"/>
      <c r="H81" s="306"/>
      <c r="I81" s="349"/>
      <c r="J81" s="350"/>
      <c r="K81" s="349"/>
      <c r="L81" s="349"/>
      <c r="M81" s="351"/>
      <c r="N81" s="121"/>
      <c r="O81" s="121"/>
      <c r="P81" s="1"/>
      <c r="Q81" s="1"/>
      <c r="R81" s="1"/>
      <c r="S81" s="1"/>
      <c r="T81" s="1"/>
      <c r="U81" s="1"/>
      <c r="V81" s="1"/>
      <c r="W81" s="1"/>
      <c r="X81" s="1"/>
      <c r="Y81" s="1"/>
    </row>
    <row r="82" spans="1:25" x14ac:dyDescent="0.15">
      <c r="A82" s="140" t="s">
        <v>190</v>
      </c>
      <c r="B82" s="488" t="str">
        <f>VLOOKUP(A82,'imp-questions'!A:H,4,FALSE)</f>
        <v>Supplier Security</v>
      </c>
      <c r="C82" s="181">
        <f>VLOOKUP(A82,'imp-questions'!A:H,5,FALSE)</f>
        <v>1</v>
      </c>
      <c r="D82" s="176" t="str">
        <f>VLOOKUP(A82,'imp-questions'!A:H,6,FALSE)</f>
        <v>Do stakeholders review vendor collaborations for security requirements and methodology?</v>
      </c>
      <c r="E82" s="144" t="str">
        <f>CHAR(65+VLOOKUP(A82,'imp-questions'!A:H,8,FALSE))</f>
        <v>H</v>
      </c>
      <c r="F82" s="431"/>
      <c r="G82" s="17">
        <f>IFERROR(VLOOKUP(F82,AnsHTBL,2,FALSE),0)</f>
        <v>0</v>
      </c>
      <c r="H82" s="95"/>
      <c r="I82" s="485" t="s">
        <v>572</v>
      </c>
      <c r="J82" s="347"/>
      <c r="K82" s="458"/>
      <c r="L82" s="441"/>
      <c r="M82" s="438"/>
      <c r="N82" s="121"/>
      <c r="O82" s="121"/>
      <c r="P82" s="1"/>
      <c r="Q82" s="1"/>
      <c r="R82" s="1"/>
      <c r="S82" s="1"/>
      <c r="T82" s="1"/>
      <c r="U82" s="1"/>
      <c r="V82" s="1"/>
      <c r="W82" s="1"/>
      <c r="X82" s="1"/>
      <c r="Y82" s="1"/>
    </row>
    <row r="83" spans="1:25" ht="32" customHeight="1" x14ac:dyDescent="0.15">
      <c r="A83"/>
      <c r="B83" s="489"/>
      <c r="C83" s="133"/>
      <c r="D83" s="167" t="str">
        <f>VLOOKUP(A82,'imp-questions'!A:H,7,FALSE)</f>
        <v>You consider including specific security requirements, activities, and processes when creating third-party agreements
A vendor questionnaire is available and used to assess the strengths and weaknesses of your suppliers</v>
      </c>
      <c r="E83" s="149"/>
      <c r="F83" s="25"/>
      <c r="G83" s="21"/>
      <c r="H83" s="107"/>
      <c r="I83" s="473"/>
      <c r="J83" s="347"/>
      <c r="K83" s="459"/>
      <c r="L83" s="442"/>
      <c r="M83" s="439"/>
      <c r="N83" s="121"/>
      <c r="O83" s="121"/>
      <c r="P83" s="1"/>
      <c r="Q83" s="1"/>
      <c r="R83" s="1"/>
      <c r="S83" s="1"/>
      <c r="T83" s="1"/>
      <c r="U83" s="1"/>
      <c r="V83" s="1"/>
      <c r="W83" s="1"/>
      <c r="X83" s="1"/>
      <c r="Y83" s="1"/>
    </row>
    <row r="84" spans="1:25" ht="28" x14ac:dyDescent="0.15">
      <c r="A84" s="140" t="s">
        <v>193</v>
      </c>
      <c r="B84" s="489"/>
      <c r="C84" s="181">
        <f>VLOOKUP(A84,'imp-questions'!A:H,5,FALSE)</f>
        <v>2</v>
      </c>
      <c r="D84" s="176" t="str">
        <f>VLOOKUP(A84,'imp-questions'!A:H,6,FALSE)</f>
        <v>Do vendors meet the security responsibilities and quality measures of service level agreements defined by the organization?</v>
      </c>
      <c r="E84" s="144" t="str">
        <f>CHAR(65+VLOOKUP(A84,'imp-questions'!A:H,8,FALSE))</f>
        <v>H</v>
      </c>
      <c r="F84" s="431"/>
      <c r="G84" s="17">
        <f>IFERROR(VLOOKUP(F84,AnsHTBL,2,FALSE),0)</f>
        <v>0</v>
      </c>
      <c r="H84" s="95"/>
      <c r="I84" s="485" t="s">
        <v>573</v>
      </c>
      <c r="J84" s="347"/>
      <c r="K84" s="458"/>
      <c r="L84" s="442"/>
      <c r="M84" s="439"/>
      <c r="N84" s="121"/>
      <c r="O84" s="121"/>
      <c r="P84" s="1"/>
      <c r="Q84" s="1"/>
      <c r="R84" s="1"/>
      <c r="S84" s="1"/>
      <c r="T84" s="1"/>
      <c r="U84" s="1"/>
      <c r="V84" s="1"/>
      <c r="W84" s="1"/>
      <c r="X84" s="1"/>
      <c r="Y84" s="1"/>
    </row>
    <row r="85" spans="1:25" ht="74" customHeight="1" x14ac:dyDescent="0.15">
      <c r="A85"/>
      <c r="B85" s="489"/>
      <c r="C85" s="133"/>
      <c r="D85" s="167" t="str">
        <f>VLOOKUP(A84,'imp-questions'!A:H,7,FALSE)</f>
        <v>You discuss security requirements with the vendor when creating vendor agreements
Vendor agreements provide specific guidance on security defect remediation within an agreed upon timeframe
The organization has a templated agreement of responsibilities and service levels for key vendor security processes
You measure key performance indicators</v>
      </c>
      <c r="E85" s="149"/>
      <c r="F85" s="25"/>
      <c r="G85" s="21"/>
      <c r="H85" s="107"/>
      <c r="I85" s="473"/>
      <c r="J85" s="347"/>
      <c r="K85" s="459"/>
      <c r="L85" s="442"/>
      <c r="M85" s="439"/>
      <c r="N85" s="121"/>
      <c r="O85" s="121"/>
      <c r="P85" s="1"/>
      <c r="Q85" s="1"/>
      <c r="R85" s="1"/>
      <c r="S85" s="1"/>
      <c r="T85" s="1"/>
      <c r="U85" s="1"/>
      <c r="V85" s="1"/>
      <c r="W85" s="1"/>
      <c r="X85" s="1"/>
      <c r="Y85" s="1"/>
    </row>
    <row r="86" spans="1:25" ht="28" x14ac:dyDescent="0.15">
      <c r="A86" s="140" t="s">
        <v>194</v>
      </c>
      <c r="B86" s="489"/>
      <c r="C86" s="181">
        <f>VLOOKUP(A86,'imp-questions'!A:H,5,FALSE)</f>
        <v>3</v>
      </c>
      <c r="D86" s="176" t="str">
        <f>VLOOKUP(A86,'imp-questions'!A:H,6,FALSE)</f>
        <v>Are vendors aligned with standard security controls and software development tools and processes that the organization utilizes?</v>
      </c>
      <c r="E86" s="144" t="str">
        <f>CHAR(65+VLOOKUP(A86,'imp-questions'!A:H,8,FALSE))</f>
        <v>H</v>
      </c>
      <c r="F86" s="431"/>
      <c r="G86" s="17">
        <f>IFERROR(VLOOKUP(F86,AnsHTBL,2,FALSE),0)</f>
        <v>0</v>
      </c>
      <c r="H86" s="95"/>
      <c r="I86" s="485" t="s">
        <v>566</v>
      </c>
      <c r="J86" s="347"/>
      <c r="K86" s="458"/>
      <c r="L86" s="442"/>
      <c r="M86" s="439"/>
      <c r="N86" s="121"/>
      <c r="O86" s="121"/>
      <c r="P86" s="1"/>
      <c r="Q86" s="1"/>
      <c r="R86" s="1"/>
      <c r="S86" s="1"/>
      <c r="T86" s="1"/>
      <c r="U86" s="1"/>
      <c r="V86" s="1"/>
      <c r="W86" s="1"/>
      <c r="X86" s="1"/>
      <c r="Y86" s="1"/>
    </row>
    <row r="87" spans="1:25" ht="72" customHeight="1" x14ac:dyDescent="0.15">
      <c r="A87"/>
      <c r="B87" s="490"/>
      <c r="C87" s="153"/>
      <c r="D87" s="159" t="str">
        <f>VLOOKUP(A86,'imp-questions'!A:H,7,FALSE)</f>
        <v>The vendor has a secure SDLC that includes secure build, secure deployment, defect management, and incident management that align with those used in your organization
You verify the solution meets quality and security objectives before every major release
When standard verification processes are not available, you use compensating controls such as software composition analysis and independent penetration testing</v>
      </c>
      <c r="E87" s="149"/>
      <c r="F87" s="25"/>
      <c r="G87" s="21"/>
      <c r="H87" s="107"/>
      <c r="I87" s="473"/>
      <c r="J87" s="347"/>
      <c r="K87" s="459"/>
      <c r="L87" s="443"/>
      <c r="M87" s="440"/>
      <c r="N87" s="121"/>
      <c r="O87" s="121"/>
      <c r="P87" s="1"/>
      <c r="Q87" s="1"/>
      <c r="R87" s="1"/>
      <c r="S87" s="1"/>
      <c r="T87" s="1"/>
      <c r="U87" s="1"/>
      <c r="V87" s="1"/>
      <c r="W87" s="1"/>
      <c r="X87" s="1"/>
      <c r="Y87" s="1"/>
    </row>
    <row r="88" spans="1:25" ht="13.25" customHeight="1" x14ac:dyDescent="0.15">
      <c r="A88"/>
      <c r="B88" s="566" t="s">
        <v>23</v>
      </c>
      <c r="C88" s="567"/>
      <c r="D88" s="568"/>
      <c r="E88" s="322"/>
      <c r="F88" s="323" t="s">
        <v>31</v>
      </c>
      <c r="G88" s="323"/>
      <c r="H88" s="324"/>
      <c r="I88" s="366" t="s">
        <v>543</v>
      </c>
      <c r="J88" s="367" t="s">
        <v>29</v>
      </c>
      <c r="K88" s="368"/>
      <c r="L88" s="369"/>
      <c r="M88" s="370"/>
      <c r="N88" s="121"/>
      <c r="O88" s="121"/>
      <c r="P88" s="1"/>
      <c r="Q88" s="1"/>
      <c r="R88" s="1"/>
      <c r="S88" s="1"/>
      <c r="T88" s="1"/>
      <c r="U88" s="1"/>
      <c r="V88" s="1"/>
      <c r="W88" s="1"/>
      <c r="X88" s="1"/>
      <c r="Y88" s="1"/>
    </row>
    <row r="89" spans="1:25" ht="14" customHeight="1" x14ac:dyDescent="0.15">
      <c r="A89" s="140" t="s">
        <v>196</v>
      </c>
      <c r="B89" s="488" t="str">
        <f>VLOOKUP(A89,'imp-questions'!A:H,4,FALSE)</f>
        <v>Architecture Design</v>
      </c>
      <c r="C89" s="181">
        <f>VLOOKUP(A89,'imp-questions'!A:H,5,FALSE)</f>
        <v>1</v>
      </c>
      <c r="D89" s="176" t="str">
        <f>VLOOKUP(A89,'imp-questions'!A:H,6,FALSE)</f>
        <v>Do teams use security principles during design?</v>
      </c>
      <c r="E89" s="144" t="str">
        <f>CHAR(65+VLOOKUP(A89,'imp-questions'!A:H,8,FALSE))</f>
        <v>F</v>
      </c>
      <c r="F89" s="429" t="s">
        <v>321</v>
      </c>
      <c r="G89" s="17">
        <f>IFERROR(VLOOKUP(F89,AnsFTBL,2,FALSE),0)</f>
        <v>1</v>
      </c>
      <c r="H89" s="184">
        <f>IFERROR(AVERAGE(G89,G96),0)</f>
        <v>0.5</v>
      </c>
      <c r="I89" s="494" t="s">
        <v>574</v>
      </c>
      <c r="J89" s="562">
        <f>SUM(H89,H91,H93)</f>
        <v>0.5</v>
      </c>
      <c r="K89" s="445"/>
      <c r="L89" s="441"/>
      <c r="M89" s="438"/>
      <c r="N89" s="121"/>
      <c r="O89" s="121"/>
      <c r="P89" s="1"/>
      <c r="Q89" s="1"/>
      <c r="R89" s="1"/>
      <c r="S89" s="1"/>
      <c r="T89" s="1"/>
      <c r="U89" s="1"/>
      <c r="V89" s="1"/>
      <c r="W89" s="1"/>
      <c r="X89" s="1"/>
      <c r="Y89" s="1"/>
    </row>
    <row r="90" spans="1:25" ht="42" x14ac:dyDescent="0.15">
      <c r="A90"/>
      <c r="B90" s="489"/>
      <c r="C90" s="133"/>
      <c r="D90" s="167" t="str">
        <f>VLOOKUP(A89,'imp-questions'!A:H,7,FALSE)</f>
        <v>You have an agreed upon checklist of security principles
You store your checklist in an accessible location
Relevant stakeholders understand security principles</v>
      </c>
      <c r="E90" s="149"/>
      <c r="F90" s="25"/>
      <c r="G90" s="21"/>
      <c r="H90" s="185"/>
      <c r="I90" s="479"/>
      <c r="J90" s="542"/>
      <c r="K90" s="446"/>
      <c r="L90" s="442"/>
      <c r="M90" s="439"/>
      <c r="N90" s="121"/>
      <c r="O90" s="121"/>
      <c r="P90" s="1"/>
      <c r="Q90" s="1"/>
      <c r="R90" s="1"/>
      <c r="S90" s="1"/>
      <c r="T90" s="1"/>
      <c r="U90" s="1"/>
      <c r="V90" s="1"/>
      <c r="W90" s="1"/>
      <c r="X90" s="1"/>
      <c r="Y90" s="1"/>
    </row>
    <row r="91" spans="1:25" x14ac:dyDescent="0.15">
      <c r="A91" s="140" t="s">
        <v>200</v>
      </c>
      <c r="B91" s="489"/>
      <c r="C91" s="181">
        <f>VLOOKUP(A91,'imp-questions'!A:H,5,FALSE)</f>
        <v>2</v>
      </c>
      <c r="D91" s="176" t="str">
        <f>VLOOKUP(A91,'imp-questions'!A:H,6,FALSE)</f>
        <v>Do you use shared security services during design?</v>
      </c>
      <c r="E91" s="144" t="str">
        <f>CHAR(65+VLOOKUP(A91,'imp-questions'!A:H,8,FALSE))</f>
        <v>F</v>
      </c>
      <c r="F91" s="429"/>
      <c r="G91" s="17">
        <f>IFERROR(VLOOKUP(F91,AnsFTBL,2,FALSE),0)</f>
        <v>0</v>
      </c>
      <c r="H91" s="184">
        <f>IFERROR(AVERAGE(G91,G98),0)</f>
        <v>0</v>
      </c>
      <c r="I91" s="470" t="s">
        <v>575</v>
      </c>
      <c r="J91" s="346"/>
      <c r="K91" s="454"/>
      <c r="L91" s="442"/>
      <c r="M91" s="439"/>
      <c r="N91" s="121"/>
      <c r="O91" s="121"/>
      <c r="P91" s="1"/>
      <c r="Q91" s="1"/>
      <c r="R91" s="1"/>
      <c r="S91" s="1"/>
      <c r="T91" s="1"/>
      <c r="U91" s="1"/>
      <c r="V91" s="1"/>
      <c r="W91" s="1"/>
      <c r="X91" s="1"/>
      <c r="Y91" s="1"/>
    </row>
    <row r="92" spans="1:25" ht="42" x14ac:dyDescent="0.15">
      <c r="A92"/>
      <c r="B92" s="489"/>
      <c r="C92" s="133"/>
      <c r="D92" s="167" t="str">
        <f>VLOOKUP(A91,'imp-questions'!A:H,7,FALSE)</f>
        <v>You have a documented list of reusable security services, available to relevant stakeholders
You have reviewed the baseline security posture for each selected service
Your designers are trained to integrate each selected service following available guidance</v>
      </c>
      <c r="E92" s="149"/>
      <c r="F92" s="25"/>
      <c r="G92" s="21"/>
      <c r="H92" s="188"/>
      <c r="I92" s="471"/>
      <c r="J92" s="346"/>
      <c r="K92" s="452"/>
      <c r="L92" s="442"/>
      <c r="M92" s="439"/>
      <c r="N92" s="121"/>
      <c r="O92" s="121"/>
      <c r="P92" s="1"/>
      <c r="Q92" s="1"/>
      <c r="R92" s="1"/>
      <c r="S92" s="1"/>
      <c r="T92" s="1"/>
      <c r="U92" s="1"/>
      <c r="V92" s="1"/>
      <c r="W92" s="1"/>
      <c r="X92" s="1"/>
      <c r="Y92" s="1"/>
    </row>
    <row r="93" spans="1:25" x14ac:dyDescent="0.15">
      <c r="A93" s="140" t="s">
        <v>201</v>
      </c>
      <c r="B93" s="489"/>
      <c r="C93" s="181">
        <f>VLOOKUP(A93,'imp-questions'!A:H,5,FALSE)</f>
        <v>3</v>
      </c>
      <c r="D93" s="176" t="str">
        <f>VLOOKUP(A93,'imp-questions'!A:H,6,FALSE)</f>
        <v>Do you base your design on available reference architectures?</v>
      </c>
      <c r="E93" s="144" t="str">
        <f>CHAR(65+VLOOKUP(A93,'imp-questions'!A:H,8,FALSE))</f>
        <v>F</v>
      </c>
      <c r="F93" s="429"/>
      <c r="G93" s="17">
        <f>IFERROR(VLOOKUP(F93,AnsFTBL,2,FALSE),0)</f>
        <v>0</v>
      </c>
      <c r="H93" s="184">
        <f>IFERROR(AVERAGE(G93,G100),0)</f>
        <v>0</v>
      </c>
      <c r="I93" s="480"/>
      <c r="J93" s="346"/>
      <c r="K93" s="451"/>
      <c r="L93" s="442"/>
      <c r="M93" s="439"/>
      <c r="N93" s="121"/>
      <c r="O93" s="121"/>
      <c r="P93" s="1"/>
      <c r="Q93" s="1"/>
      <c r="R93" s="1"/>
      <c r="S93" s="1"/>
      <c r="T93" s="1"/>
      <c r="U93" s="1"/>
      <c r="V93" s="1"/>
      <c r="W93" s="1"/>
      <c r="X93" s="1"/>
      <c r="Y93" s="1"/>
    </row>
    <row r="94" spans="1:25" ht="42" x14ac:dyDescent="0.15">
      <c r="A94"/>
      <c r="B94" s="490"/>
      <c r="C94" s="153"/>
      <c r="D94" s="159" t="str">
        <f>VLOOKUP(A93,'imp-questions'!A:H,7,FALSE)</f>
        <v>You have one or more approved reference architectures documented and available to stakeholders
You improve the reference architectures continuously based on insights and best practices
You provide a set of components, libraries, and tools to implement each reference architecture</v>
      </c>
      <c r="E94" s="149"/>
      <c r="F94" s="25"/>
      <c r="G94" s="21"/>
      <c r="H94" s="188"/>
      <c r="I94" s="471"/>
      <c r="J94" s="346"/>
      <c r="K94" s="452"/>
      <c r="L94" s="443"/>
      <c r="M94" s="440"/>
      <c r="N94" s="121"/>
      <c r="O94" s="121"/>
      <c r="P94" s="1"/>
      <c r="Q94" s="1"/>
      <c r="R94" s="1"/>
      <c r="S94" s="1"/>
      <c r="T94" s="1"/>
      <c r="U94" s="1"/>
      <c r="V94" s="1"/>
      <c r="W94" s="1"/>
      <c r="X94" s="1"/>
      <c r="Y94" s="1"/>
    </row>
    <row r="95" spans="1:25" x14ac:dyDescent="0.15">
      <c r="A95"/>
      <c r="B95" s="305"/>
      <c r="C95" s="306"/>
      <c r="D95" s="306"/>
      <c r="E95" s="306"/>
      <c r="F95" s="306"/>
      <c r="G95" s="306"/>
      <c r="H95" s="306"/>
      <c r="I95" s="349"/>
      <c r="J95" s="350"/>
      <c r="K95" s="349"/>
      <c r="L95" s="349"/>
      <c r="M95" s="351"/>
      <c r="N95" s="121"/>
      <c r="O95" s="121"/>
      <c r="P95" s="1"/>
      <c r="Q95" s="1"/>
      <c r="R95" s="1"/>
      <c r="S95" s="1"/>
      <c r="T95" s="1"/>
      <c r="U95" s="1"/>
      <c r="V95" s="1"/>
      <c r="W95" s="1"/>
      <c r="X95" s="1"/>
      <c r="Y95" s="1"/>
    </row>
    <row r="96" spans="1:25" x14ac:dyDescent="0.15">
      <c r="A96" s="140" t="s">
        <v>203</v>
      </c>
      <c r="B96" s="488" t="str">
        <f>VLOOKUP(A96,'imp-questions'!A:H,4,FALSE)</f>
        <v>Technology Management</v>
      </c>
      <c r="C96" s="181">
        <f>VLOOKUP(A96,'imp-questions'!A:H,5,FALSE)</f>
        <v>1</v>
      </c>
      <c r="D96" s="176" t="str">
        <f>VLOOKUP(A96,'imp-questions'!A:H,6,FALSE)</f>
        <v>Do you evaluate the security quality of important technologies used for development?</v>
      </c>
      <c r="E96" s="144" t="str">
        <f>CHAR(65+VLOOKUP(A96,'imp-questions'!A:H,8,FALSE))</f>
        <v>F</v>
      </c>
      <c r="F96" s="429"/>
      <c r="G96" s="17">
        <f>IFERROR(VLOOKUP(F96,AnsFTBL,2,FALSE),0)</f>
        <v>0</v>
      </c>
      <c r="H96" s="95"/>
      <c r="I96" s="485" t="s">
        <v>576</v>
      </c>
      <c r="J96" s="347"/>
      <c r="K96" s="447"/>
      <c r="L96" s="441"/>
      <c r="M96" s="438"/>
      <c r="N96" s="121"/>
      <c r="O96" s="121"/>
      <c r="P96" s="1"/>
      <c r="Q96" s="1"/>
      <c r="R96" s="1"/>
      <c r="S96" s="1"/>
      <c r="T96" s="1"/>
      <c r="U96" s="1"/>
      <c r="V96" s="1"/>
      <c r="W96" s="1"/>
      <c r="X96" s="1"/>
      <c r="Y96" s="1"/>
    </row>
    <row r="97" spans="1:25" ht="42" x14ac:dyDescent="0.15">
      <c r="A97"/>
      <c r="B97" s="489"/>
      <c r="C97" s="133"/>
      <c r="D97" s="167" t="str">
        <f>VLOOKUP(A96,'imp-questions'!A:H,7,FALSE)</f>
        <v>You have a list of the most important technologies used in or in support of each application
You identify and track technological risks
You ensure the risks to these technologies are in line with the organizational baseline</v>
      </c>
      <c r="E97" s="149"/>
      <c r="F97" s="25"/>
      <c r="G97" s="21"/>
      <c r="H97" s="107"/>
      <c r="I97" s="473"/>
      <c r="J97" s="347"/>
      <c r="K97" s="453"/>
      <c r="L97" s="442"/>
      <c r="M97" s="439"/>
      <c r="N97" s="121"/>
      <c r="O97" s="121"/>
      <c r="P97" s="1"/>
      <c r="Q97" s="1"/>
      <c r="R97" s="1"/>
      <c r="S97" s="1"/>
      <c r="T97" s="1"/>
      <c r="U97" s="1"/>
      <c r="V97" s="1"/>
      <c r="W97" s="1"/>
      <c r="X97" s="1"/>
      <c r="Y97" s="1"/>
    </row>
    <row r="98" spans="1:25" x14ac:dyDescent="0.15">
      <c r="A98" s="140" t="s">
        <v>205</v>
      </c>
      <c r="B98" s="489"/>
      <c r="C98" s="181">
        <f>VLOOKUP(A98,'imp-questions'!A:H,5,FALSE)</f>
        <v>2</v>
      </c>
      <c r="D98" s="176" t="str">
        <f>VLOOKUP(A98,'imp-questions'!A:H,6,FALSE)</f>
        <v>Do you have a list of recommended technologies for the organization?</v>
      </c>
      <c r="E98" s="144" t="str">
        <f>CHAR(65+VLOOKUP(A98,'imp-questions'!A:H,8,FALSE))</f>
        <v>U</v>
      </c>
      <c r="F98" s="431"/>
      <c r="G98" s="17">
        <f>IFERROR(VLOOKUP(F98,AnsUTBL,2,FALSE),0)</f>
        <v>0</v>
      </c>
      <c r="H98" s="95"/>
      <c r="I98" s="485" t="s">
        <v>577</v>
      </c>
      <c r="J98" s="347"/>
      <c r="K98" s="447"/>
      <c r="L98" s="442"/>
      <c r="M98" s="439"/>
      <c r="N98" s="121"/>
      <c r="O98" s="121"/>
      <c r="P98" s="1"/>
      <c r="Q98" s="1"/>
      <c r="R98" s="1"/>
      <c r="S98" s="1"/>
      <c r="T98" s="1"/>
      <c r="U98" s="1"/>
      <c r="V98" s="1"/>
      <c r="W98" s="1"/>
      <c r="X98" s="1"/>
      <c r="Y98" s="1"/>
    </row>
    <row r="99" spans="1:25" ht="56" x14ac:dyDescent="0.15">
      <c r="A99"/>
      <c r="B99" s="489"/>
      <c r="C99" s="133"/>
      <c r="D99" s="167" t="str">
        <f>VLOOKUP(A98,'imp-questions'!A:H,7,FALSE)</f>
        <v>The list is based on technologies used in the software portfolio
Lead architects and developers review and approve the list
You share the list across the organization
You review and update the list at least yearly</v>
      </c>
      <c r="E99" s="149"/>
      <c r="F99" s="25"/>
      <c r="G99" s="21"/>
      <c r="H99" s="107"/>
      <c r="I99" s="473"/>
      <c r="J99" s="347"/>
      <c r="K99" s="453"/>
      <c r="L99" s="442"/>
      <c r="M99" s="439"/>
      <c r="N99" s="121"/>
      <c r="O99" s="121"/>
      <c r="P99" s="1"/>
      <c r="Q99" s="1"/>
      <c r="R99" s="1"/>
      <c r="S99" s="1"/>
      <c r="T99" s="1"/>
      <c r="U99" s="1"/>
      <c r="V99" s="1"/>
      <c r="W99" s="1"/>
      <c r="X99" s="1"/>
      <c r="Y99" s="1"/>
    </row>
    <row r="100" spans="1:25" x14ac:dyDescent="0.15">
      <c r="A100" s="140" t="s">
        <v>206</v>
      </c>
      <c r="B100" s="489"/>
      <c r="C100" s="181">
        <f>VLOOKUP(A100,'imp-questions'!A:H,5,FALSE)</f>
        <v>3</v>
      </c>
      <c r="D100" s="176" t="str">
        <f>VLOOKUP(A100,'imp-questions'!A:H,6,FALSE)</f>
        <v>Do you enforce the use of recommended technologies within the organization?</v>
      </c>
      <c r="E100" s="144" t="str">
        <f>CHAR(65+VLOOKUP(A100,'imp-questions'!A:H,8,FALSE))</f>
        <v>F</v>
      </c>
      <c r="F100" s="429"/>
      <c r="G100" s="17">
        <f>IFERROR(VLOOKUP(F100,AnsFTBL,2,FALSE),0)</f>
        <v>0</v>
      </c>
      <c r="H100" s="95"/>
      <c r="I100" s="485" t="s">
        <v>578</v>
      </c>
      <c r="J100" s="347"/>
      <c r="K100" s="447"/>
      <c r="L100" s="442"/>
      <c r="M100" s="439"/>
      <c r="N100" s="121"/>
      <c r="O100" s="121"/>
      <c r="P100" s="1"/>
      <c r="Q100" s="1"/>
      <c r="R100" s="1"/>
      <c r="S100" s="1"/>
      <c r="T100" s="1"/>
      <c r="U100" s="1"/>
      <c r="V100" s="1"/>
      <c r="W100" s="1"/>
      <c r="X100" s="1"/>
      <c r="Y100" s="1"/>
    </row>
    <row r="101" spans="1:25" ht="42" x14ac:dyDescent="0.15">
      <c r="A101"/>
      <c r="B101" s="491"/>
      <c r="C101" s="133"/>
      <c r="D101" s="167" t="str">
        <f>VLOOKUP(A100,'imp-questions'!A:H,7,FALSE)</f>
        <v>You monitor applications regularly for the correct use of the recommended technologies
You solve violations against the list accoranding to organizational policies
You take action if the number of violations falls outside the yearly objectives</v>
      </c>
      <c r="E101" s="145"/>
      <c r="F101" s="317"/>
      <c r="G101" s="318"/>
      <c r="H101" s="319"/>
      <c r="I101" s="486"/>
      <c r="J101" s="348"/>
      <c r="K101" s="448"/>
      <c r="L101" s="443"/>
      <c r="M101" s="440"/>
      <c r="N101" s="121"/>
      <c r="O101" s="121"/>
      <c r="P101" s="1"/>
      <c r="Q101" s="1"/>
      <c r="R101" s="1"/>
      <c r="S101" s="1"/>
      <c r="T101" s="1"/>
      <c r="U101" s="1"/>
      <c r="V101" s="1"/>
      <c r="W101" s="1"/>
      <c r="X101" s="1"/>
      <c r="Y101" s="1"/>
    </row>
    <row r="102" spans="1:25" ht="13" x14ac:dyDescent="0.15">
      <c r="A102"/>
      <c r="B102" s="572" t="s">
        <v>208</v>
      </c>
      <c r="C102" s="573"/>
      <c r="D102" s="573"/>
      <c r="E102" s="573"/>
      <c r="F102" s="573"/>
      <c r="G102" s="573"/>
      <c r="H102" s="573"/>
      <c r="I102" s="573"/>
      <c r="J102" s="573"/>
      <c r="K102" s="371"/>
      <c r="L102" s="371"/>
      <c r="M102" s="372"/>
      <c r="N102" s="121"/>
      <c r="O102" s="121"/>
      <c r="P102" s="1"/>
      <c r="Q102" s="1"/>
      <c r="R102" s="1"/>
      <c r="S102" s="1"/>
      <c r="T102" s="1"/>
      <c r="U102" s="1"/>
      <c r="V102" s="1"/>
      <c r="W102" s="1"/>
      <c r="X102" s="1"/>
      <c r="Y102" s="1"/>
    </row>
    <row r="103" spans="1:25" x14ac:dyDescent="0.15">
      <c r="A103"/>
      <c r="B103" s="574" t="s">
        <v>209</v>
      </c>
      <c r="C103" s="575"/>
      <c r="D103" s="576"/>
      <c r="E103" s="373"/>
      <c r="F103" s="374" t="s">
        <v>31</v>
      </c>
      <c r="G103" s="374"/>
      <c r="H103" s="375"/>
      <c r="I103" s="376" t="s">
        <v>543</v>
      </c>
      <c r="J103" s="377" t="s">
        <v>29</v>
      </c>
      <c r="K103" s="378"/>
      <c r="L103" s="379"/>
      <c r="M103" s="380"/>
      <c r="N103" s="121"/>
      <c r="O103" s="121"/>
      <c r="P103" s="1"/>
      <c r="Q103" s="1"/>
      <c r="R103" s="1"/>
      <c r="S103" s="1"/>
      <c r="T103" s="1"/>
      <c r="U103" s="1"/>
      <c r="V103" s="1"/>
      <c r="W103" s="1"/>
      <c r="X103" s="1"/>
      <c r="Y103" s="1"/>
    </row>
    <row r="104" spans="1:25" x14ac:dyDescent="0.15">
      <c r="A104" s="140" t="s">
        <v>207</v>
      </c>
      <c r="B104" s="501" t="str">
        <f>VLOOKUP(A104,'imp-questions'!A:H,4,FALSE)</f>
        <v>Build Process</v>
      </c>
      <c r="C104" s="294">
        <f>VLOOKUP(A104,'imp-questions'!A:H,5,FALSE)</f>
        <v>1</v>
      </c>
      <c r="D104" s="176" t="str">
        <f>VLOOKUP(A104,'imp-questions'!A:H,6,FALSE)</f>
        <v>Is your full build process formally described?</v>
      </c>
      <c r="E104" s="144" t="str">
        <f>CHAR(65+VLOOKUP(A104,'imp-questions'!A:H,8,FALSE))</f>
        <v>F</v>
      </c>
      <c r="F104" s="429"/>
      <c r="G104" s="17">
        <f>IFERROR(VLOOKUP(F104,AnsFTBL,2,FALSE),0)</f>
        <v>0</v>
      </c>
      <c r="H104" s="184">
        <f>IFERROR(AVERAGE(G104,G111),0)</f>
        <v>0.5</v>
      </c>
      <c r="I104" s="494"/>
      <c r="J104" s="540">
        <f>SUM(H104,H106,H108)</f>
        <v>0.5</v>
      </c>
      <c r="K104" s="445"/>
      <c r="L104" s="441"/>
      <c r="M104" s="438"/>
      <c r="N104" s="121"/>
      <c r="O104" s="121"/>
      <c r="P104" s="1"/>
      <c r="Q104" s="1"/>
      <c r="R104" s="1"/>
      <c r="S104" s="1"/>
      <c r="T104" s="1"/>
      <c r="U104" s="1"/>
      <c r="V104" s="1"/>
      <c r="W104" s="1"/>
      <c r="X104" s="1"/>
      <c r="Y104" s="1"/>
    </row>
    <row r="105" spans="1:25" ht="70" x14ac:dyDescent="0.15">
      <c r="A105"/>
      <c r="B105" s="496"/>
      <c r="C105" s="133"/>
      <c r="D105" s="167" t="str">
        <f>VLOOKUP(A104,'imp-questions'!A:H,7,FALSE)</f>
        <v>You have enough information to recreate the build processes
Your build documentation up to date
Your build documentation is stored in an accessible location
Produced artifact checksums are created during build to support later verification
You harden the tools that are used within the build process</v>
      </c>
      <c r="E105" s="149"/>
      <c r="F105" s="25"/>
      <c r="G105" s="21"/>
      <c r="H105" s="185"/>
      <c r="I105" s="479"/>
      <c r="J105" s="541"/>
      <c r="K105" s="446"/>
      <c r="L105" s="442"/>
      <c r="M105" s="439"/>
      <c r="N105" s="121"/>
      <c r="O105" s="121"/>
      <c r="P105" s="1"/>
      <c r="Q105" s="1"/>
      <c r="R105" s="1"/>
      <c r="S105" s="1"/>
      <c r="T105" s="1"/>
      <c r="U105" s="1"/>
      <c r="V105" s="1"/>
      <c r="W105" s="1"/>
      <c r="X105" s="1"/>
      <c r="Y105" s="1"/>
    </row>
    <row r="106" spans="1:25" x14ac:dyDescent="0.15">
      <c r="A106" s="140" t="s">
        <v>211</v>
      </c>
      <c r="B106" s="496"/>
      <c r="C106" s="294">
        <f>VLOOKUP(A106,'imp-questions'!A:H,5,FALSE)</f>
        <v>2</v>
      </c>
      <c r="D106" s="176" t="str">
        <f>VLOOKUP(A106,'imp-questions'!A:H,6,FALSE)</f>
        <v>Is the build process fully automated?</v>
      </c>
      <c r="E106" s="144" t="str">
        <f>CHAR(65+VLOOKUP(A106,'imp-questions'!A:H,8,FALSE))</f>
        <v>F</v>
      </c>
      <c r="F106" s="429"/>
      <c r="G106" s="17">
        <f>IFERROR(VLOOKUP(F106,AnsFTBL,2,FALSE),0)</f>
        <v>0</v>
      </c>
      <c r="H106" s="184">
        <f>IFERROR(AVERAGE(G106,G113),0)</f>
        <v>0</v>
      </c>
      <c r="I106" s="470"/>
      <c r="J106" s="346"/>
      <c r="K106" s="454"/>
      <c r="L106" s="442"/>
      <c r="M106" s="439"/>
      <c r="N106" s="121"/>
      <c r="O106" s="121"/>
      <c r="P106" s="1"/>
      <c r="Q106" s="1"/>
      <c r="R106" s="1"/>
      <c r="S106" s="1"/>
      <c r="T106" s="1"/>
      <c r="U106" s="1"/>
      <c r="V106" s="1"/>
      <c r="W106" s="1"/>
      <c r="X106" s="1"/>
      <c r="Y106" s="1"/>
    </row>
    <row r="107" spans="1:25" ht="42" x14ac:dyDescent="0.15">
      <c r="A107"/>
      <c r="B107" s="496"/>
      <c r="C107" s="133"/>
      <c r="D107" s="167" t="str">
        <f>VLOOKUP(A106,'imp-questions'!A:H,7,FALSE)</f>
        <v>The build process itself doesn't require any human interaction
Your build tools are hardened as per best practice and vendor guidance
You encrypt the secrets required by the build tools and control access based on the principle of least privilege</v>
      </c>
      <c r="E107" s="149"/>
      <c r="F107" s="25"/>
      <c r="G107" s="21"/>
      <c r="H107" s="188"/>
      <c r="I107" s="471"/>
      <c r="J107" s="346"/>
      <c r="K107" s="452"/>
      <c r="L107" s="442"/>
      <c r="M107" s="439"/>
      <c r="N107" s="121"/>
      <c r="O107" s="121"/>
      <c r="P107" s="1"/>
      <c r="Q107" s="1"/>
      <c r="R107" s="1"/>
      <c r="S107" s="1"/>
      <c r="T107" s="1"/>
      <c r="U107" s="1"/>
      <c r="V107" s="1"/>
      <c r="W107" s="1"/>
      <c r="X107" s="1"/>
      <c r="Y107" s="1"/>
    </row>
    <row r="108" spans="1:25" x14ac:dyDescent="0.15">
      <c r="A108" s="140" t="s">
        <v>212</v>
      </c>
      <c r="B108" s="496"/>
      <c r="C108" s="294">
        <f>VLOOKUP(A108,'imp-questions'!A:H,5,FALSE)</f>
        <v>3</v>
      </c>
      <c r="D108" s="176" t="str">
        <f>VLOOKUP(A108,'imp-questions'!A:H,6,FALSE)</f>
        <v>Do you enforce automated security checks in your build processes?</v>
      </c>
      <c r="E108" s="144" t="str">
        <f>CHAR(65+VLOOKUP(A108,'imp-questions'!A:H,8,FALSE))</f>
        <v>F</v>
      </c>
      <c r="F108" s="429"/>
      <c r="G108" s="17">
        <f>IFERROR(VLOOKUP(F108,AnsFTBL,2,FALSE),0)</f>
        <v>0</v>
      </c>
      <c r="H108" s="184">
        <f>IFERROR(AVERAGE(G108,G115),0)</f>
        <v>0</v>
      </c>
      <c r="I108" s="480"/>
      <c r="J108" s="346"/>
      <c r="K108" s="451"/>
      <c r="L108" s="442"/>
      <c r="M108" s="439"/>
      <c r="N108" s="121"/>
      <c r="O108" s="121"/>
      <c r="P108" s="1"/>
      <c r="Q108" s="1"/>
      <c r="R108" s="1"/>
      <c r="S108" s="1"/>
      <c r="T108" s="1"/>
      <c r="U108" s="1"/>
      <c r="V108" s="1"/>
      <c r="W108" s="1"/>
      <c r="X108" s="1"/>
      <c r="Y108" s="1"/>
    </row>
    <row r="109" spans="1:25" ht="56" x14ac:dyDescent="0.15">
      <c r="A109"/>
      <c r="B109" s="497"/>
      <c r="C109" s="153"/>
      <c r="D109" s="159" t="str">
        <f>VLOOKUP(A108,'imp-questions'!A:H,7,FALSE)</f>
        <v>Builds fail if the application doesn't meet a predefined security baseline
You have a maximum accepted severity for vulnerabilties
You log warnings and failures in a centralized system
You select and configure tools to evaluate each application against its security requirements at least once a year</v>
      </c>
      <c r="E109" s="149"/>
      <c r="F109" s="25"/>
      <c r="G109" s="21"/>
      <c r="H109" s="188"/>
      <c r="I109" s="471"/>
      <c r="J109" s="346"/>
      <c r="K109" s="452"/>
      <c r="L109" s="443"/>
      <c r="M109" s="440"/>
      <c r="N109" s="121"/>
      <c r="O109" s="121"/>
      <c r="P109" s="1"/>
      <c r="Q109" s="1"/>
      <c r="R109" s="1"/>
      <c r="S109" s="1"/>
      <c r="T109" s="1"/>
      <c r="U109" s="1"/>
      <c r="V109" s="1"/>
      <c r="W109" s="1"/>
      <c r="X109" s="1"/>
      <c r="Y109" s="1"/>
    </row>
    <row r="110" spans="1:25" x14ac:dyDescent="0.15">
      <c r="A110"/>
      <c r="B110" s="305"/>
      <c r="C110" s="306"/>
      <c r="D110" s="306"/>
      <c r="E110" s="306"/>
      <c r="F110" s="306"/>
      <c r="G110" s="306"/>
      <c r="H110" s="306"/>
      <c r="I110" s="349"/>
      <c r="J110" s="350"/>
      <c r="K110" s="349"/>
      <c r="L110" s="349"/>
      <c r="M110" s="351"/>
      <c r="N110" s="121"/>
      <c r="O110" s="121"/>
      <c r="P110" s="1"/>
      <c r="Q110" s="1"/>
      <c r="R110" s="1"/>
      <c r="S110" s="1"/>
      <c r="T110" s="1"/>
      <c r="U110" s="1"/>
      <c r="V110" s="1"/>
      <c r="W110" s="1"/>
      <c r="X110" s="1"/>
      <c r="Y110" s="1"/>
    </row>
    <row r="111" spans="1:25" x14ac:dyDescent="0.15">
      <c r="A111" s="140" t="s">
        <v>213</v>
      </c>
      <c r="B111" s="501" t="str">
        <f>VLOOKUP(A111,'imp-questions'!A:H,4,FALSE)</f>
        <v>Software Dependencies</v>
      </c>
      <c r="C111" s="294">
        <f>VLOOKUP(A111,'imp-questions'!A:H,5,FALSE)</f>
        <v>1</v>
      </c>
      <c r="D111" s="176" t="str">
        <f>VLOOKUP(A111,'imp-questions'!A:H,6,FALSE)</f>
        <v>Do you have solid knowledge about dependencies you're relying on?</v>
      </c>
      <c r="E111" s="144" t="str">
        <f>CHAR(65+VLOOKUP(A111,'imp-questions'!A:H,8,FALSE))</f>
        <v>F</v>
      </c>
      <c r="F111" s="429" t="s">
        <v>321</v>
      </c>
      <c r="G111" s="17">
        <f>IFERROR(VLOOKUP(F111,AnsFTBL,2,FALSE),0)</f>
        <v>1</v>
      </c>
      <c r="H111" s="95"/>
      <c r="I111" s="493" t="s">
        <v>579</v>
      </c>
      <c r="J111" s="347"/>
      <c r="K111" s="450"/>
      <c r="L111" s="441"/>
      <c r="M111" s="438"/>
      <c r="N111" s="121"/>
      <c r="O111" s="121"/>
      <c r="P111" s="1"/>
      <c r="Q111" s="1"/>
      <c r="R111" s="1"/>
      <c r="S111" s="1"/>
      <c r="T111" s="1"/>
      <c r="U111" s="1"/>
      <c r="V111" s="1"/>
      <c r="W111" s="1"/>
      <c r="X111" s="1"/>
      <c r="Y111" s="1"/>
    </row>
    <row r="112" spans="1:25" ht="42" x14ac:dyDescent="0.15">
      <c r="A112"/>
      <c r="B112" s="496"/>
      <c r="C112" s="133"/>
      <c r="D112" s="167" t="str">
        <f>VLOOKUP(A111,'imp-questions'!A:H,7,FALSE)</f>
        <v>You have a current bill of materials (BOM) for every application
You can quickly find out which applications are affected by a particular CVE
You have analyzed, addressed, and documented findings from dependencies at least once in the last three months</v>
      </c>
      <c r="E112" s="149"/>
      <c r="F112" s="25"/>
      <c r="G112" s="21"/>
      <c r="H112" s="107"/>
      <c r="I112" s="473"/>
      <c r="J112" s="347"/>
      <c r="K112" s="453"/>
      <c r="L112" s="442"/>
      <c r="M112" s="439"/>
      <c r="N112" s="121"/>
      <c r="O112" s="121"/>
      <c r="P112" s="1"/>
      <c r="Q112" s="1"/>
      <c r="R112" s="1"/>
      <c r="S112" s="1"/>
      <c r="T112" s="1"/>
      <c r="U112" s="1"/>
      <c r="V112" s="1"/>
      <c r="W112" s="1"/>
      <c r="X112" s="1"/>
      <c r="Y112" s="1"/>
    </row>
    <row r="113" spans="1:25" x14ac:dyDescent="0.15">
      <c r="A113" s="140" t="s">
        <v>215</v>
      </c>
      <c r="B113" s="496"/>
      <c r="C113" s="294">
        <f>VLOOKUP(A113,'imp-questions'!A:H,5,FALSE)</f>
        <v>2</v>
      </c>
      <c r="D113" s="176" t="str">
        <f>VLOOKUP(A113,'imp-questions'!A:H,6,FALSE)</f>
        <v>Do you handle 3rd party dependency risk by a formal process?</v>
      </c>
      <c r="E113" s="144" t="str">
        <f>CHAR(65+VLOOKUP(A113,'imp-questions'!A:H,8,FALSE))</f>
        <v>F</v>
      </c>
      <c r="F113" s="429"/>
      <c r="G113" s="17">
        <f>IFERROR(VLOOKUP(F113,AnsFTBL,2,FALSE),0)</f>
        <v>0</v>
      </c>
      <c r="H113" s="95"/>
      <c r="I113" s="493"/>
      <c r="J113" s="347"/>
      <c r="K113" s="450"/>
      <c r="L113" s="442"/>
      <c r="M113" s="439"/>
      <c r="N113" s="121"/>
      <c r="O113" s="121"/>
      <c r="P113" s="1"/>
      <c r="Q113" s="1"/>
      <c r="R113" s="1"/>
      <c r="S113" s="1"/>
      <c r="T113" s="1"/>
      <c r="U113" s="1"/>
      <c r="V113" s="1"/>
      <c r="W113" s="1"/>
      <c r="X113" s="1"/>
      <c r="Y113" s="1"/>
    </row>
    <row r="114" spans="1:25" ht="70" x14ac:dyDescent="0.15">
      <c r="A114"/>
      <c r="B114" s="496"/>
      <c r="C114" s="133"/>
      <c r="D114" s="167" t="str">
        <f>VLOOKUP(A113,'imp-questions'!A:H,7,FALSE)</f>
        <v>You keep a list of approved dependencies that meet predefined criteria
You automatically evaluate dependencies for new CVEs and alert responsible staff
You automatically detect and alert to license changes with possible impact on legal application usage
You track and alert to usage of unmaintained dependencies
You reliably detect and remove unnecessary dependencies from the software</v>
      </c>
      <c r="E114" s="149"/>
      <c r="F114" s="25"/>
      <c r="G114" s="21"/>
      <c r="H114" s="107"/>
      <c r="I114" s="473"/>
      <c r="J114" s="347"/>
      <c r="K114" s="453"/>
      <c r="L114" s="442"/>
      <c r="M114" s="439"/>
      <c r="N114" s="121"/>
      <c r="O114" s="121"/>
      <c r="P114" s="1"/>
      <c r="Q114" s="1"/>
      <c r="R114" s="1"/>
      <c r="S114" s="1"/>
      <c r="T114" s="1"/>
      <c r="U114" s="1"/>
      <c r="V114" s="1"/>
      <c r="W114" s="1"/>
      <c r="X114" s="1"/>
      <c r="Y114" s="1"/>
    </row>
    <row r="115" spans="1:25" x14ac:dyDescent="0.15">
      <c r="A115" s="140" t="s">
        <v>216</v>
      </c>
      <c r="B115" s="496"/>
      <c r="C115" s="294">
        <f>VLOOKUP(A115,'imp-questions'!A:H,5,FALSE)</f>
        <v>3</v>
      </c>
      <c r="D115" s="176" t="str">
        <f>VLOOKUP(A115,'imp-questions'!A:H,6,FALSE)</f>
        <v>Do you prevent build of software if it's affected by vulnerabilities in dependencies?</v>
      </c>
      <c r="E115" s="144" t="str">
        <f>CHAR(65+VLOOKUP(A115,'imp-questions'!A:H,8,FALSE))</f>
        <v>F</v>
      </c>
      <c r="F115" s="429"/>
      <c r="G115" s="17">
        <f>IFERROR(VLOOKUP(F115,AnsFTBL,2,FALSE),0)</f>
        <v>0</v>
      </c>
      <c r="H115" s="95"/>
      <c r="I115" s="493"/>
      <c r="J115" s="347"/>
      <c r="K115" s="450"/>
      <c r="L115" s="442"/>
      <c r="M115" s="439"/>
      <c r="N115" s="121"/>
      <c r="O115" s="121"/>
      <c r="P115" s="1"/>
      <c r="Q115" s="1"/>
      <c r="R115" s="1"/>
      <c r="S115" s="1"/>
      <c r="T115" s="1"/>
      <c r="U115" s="1"/>
      <c r="V115" s="1"/>
      <c r="W115" s="1"/>
      <c r="X115" s="1"/>
      <c r="Y115" s="1"/>
    </row>
    <row r="116" spans="1:25" ht="70" x14ac:dyDescent="0.15">
      <c r="A116"/>
      <c r="B116" s="495"/>
      <c r="C116" s="133"/>
      <c r="D116" s="167" t="str">
        <f>VLOOKUP(A115,'imp-questions'!A:H,7,FALSE)</f>
        <v>Your build system is connected to a system for tracking 3rd party dependency risk, causing build to fail unless the vulnerability is evaluated to be a false positive or the risk is explicitly accepted
You scan your dependencies using a static analysis tool
You report findings back to dependency authors using an established responsible disclosure process
Using a new dependency not evaluated for security risks causes the build to fail</v>
      </c>
      <c r="E116" s="145"/>
      <c r="F116" s="317"/>
      <c r="G116" s="318"/>
      <c r="H116" s="319"/>
      <c r="I116" s="486"/>
      <c r="J116" s="348"/>
      <c r="K116" s="448"/>
      <c r="L116" s="443"/>
      <c r="M116" s="440"/>
      <c r="N116" s="121"/>
      <c r="O116" s="121"/>
      <c r="P116" s="1"/>
      <c r="Q116" s="1"/>
      <c r="R116" s="1"/>
      <c r="S116" s="1"/>
      <c r="T116" s="1"/>
      <c r="U116" s="1"/>
      <c r="V116" s="1"/>
      <c r="W116" s="1"/>
      <c r="X116" s="1"/>
      <c r="Y116" s="1"/>
    </row>
    <row r="117" spans="1:25" x14ac:dyDescent="0.15">
      <c r="A117"/>
      <c r="B117" s="545" t="s">
        <v>219</v>
      </c>
      <c r="C117" s="546"/>
      <c r="D117" s="547"/>
      <c r="E117" s="326"/>
      <c r="F117" s="327" t="s">
        <v>31</v>
      </c>
      <c r="G117" s="328"/>
      <c r="H117" s="329"/>
      <c r="I117" s="381" t="s">
        <v>543</v>
      </c>
      <c r="J117" s="382" t="s">
        <v>29</v>
      </c>
      <c r="K117" s="383"/>
      <c r="L117" s="384"/>
      <c r="M117" s="385"/>
      <c r="N117" s="121"/>
      <c r="O117" s="121"/>
      <c r="P117" s="1"/>
      <c r="Q117" s="1"/>
      <c r="R117" s="1"/>
      <c r="S117" s="1"/>
      <c r="T117" s="1"/>
      <c r="U117" s="1"/>
      <c r="V117" s="1"/>
      <c r="W117" s="1"/>
      <c r="X117" s="1"/>
      <c r="Y117" s="1"/>
    </row>
    <row r="118" spans="1:25" ht="14" customHeight="1" x14ac:dyDescent="0.15">
      <c r="A118" s="140" t="s">
        <v>218</v>
      </c>
      <c r="B118" s="495" t="str">
        <f>VLOOKUP(A118,'imp-questions'!A:H,4,FALSE)</f>
        <v>Deployment Process</v>
      </c>
      <c r="C118" s="325">
        <f>VLOOKUP(A118,'imp-questions'!A:H,5,FALSE)</f>
        <v>1</v>
      </c>
      <c r="D118" s="302" t="str">
        <f>VLOOKUP(A118,'imp-questions'!A:H,6,FALSE)</f>
        <v>Do you use repeatable deployment processes?</v>
      </c>
      <c r="E118" s="146" t="str">
        <f>CHAR(65+VLOOKUP(A118,'imp-questions'!A:H,8,FALSE))</f>
        <v>F</v>
      </c>
      <c r="F118" s="430"/>
      <c r="G118" s="303">
        <f>IFERROR(VLOOKUP(F118,AnsFTBL,2,FALSE),0)</f>
        <v>0</v>
      </c>
      <c r="H118" s="320">
        <f>IFERROR(AVERAGE(G118,G125),0)</f>
        <v>0</v>
      </c>
      <c r="I118" s="478"/>
      <c r="J118" s="541">
        <f>SUM(H118,H120,H122)</f>
        <v>0.625</v>
      </c>
      <c r="K118" s="449"/>
      <c r="L118" s="441"/>
      <c r="M118" s="438"/>
      <c r="N118" s="121"/>
      <c r="O118" s="121"/>
      <c r="P118" s="1"/>
      <c r="Q118" s="1"/>
      <c r="R118" s="1"/>
      <c r="S118" s="1"/>
      <c r="T118" s="1"/>
      <c r="U118" s="1"/>
      <c r="V118" s="1"/>
      <c r="W118" s="1"/>
      <c r="X118" s="1"/>
      <c r="Y118" s="1"/>
    </row>
    <row r="119" spans="1:25" ht="70" x14ac:dyDescent="0.15">
      <c r="A119"/>
      <c r="B119" s="496"/>
      <c r="C119" s="133"/>
      <c r="D119" s="167" t="str">
        <f>VLOOKUP(A118,'imp-questions'!A:H,7,FALSE)</f>
        <v>You have enough information to run the deployment processes
Your deployment documentation up to date
Your deployment documentation is accessible to relevant stakeholders
You ensure that only defined qualified personnel can trigger a deployment
You harden the tools that are used within the deployment process</v>
      </c>
      <c r="E119" s="149"/>
      <c r="F119" s="25"/>
      <c r="G119" s="21"/>
      <c r="H119" s="185"/>
      <c r="I119" s="479"/>
      <c r="J119" s="541"/>
      <c r="K119" s="446"/>
      <c r="L119" s="442"/>
      <c r="M119" s="439"/>
      <c r="N119" s="121"/>
      <c r="O119" s="121"/>
      <c r="P119" s="1"/>
      <c r="Q119" s="1"/>
      <c r="R119" s="1"/>
      <c r="S119" s="1"/>
      <c r="T119" s="1"/>
      <c r="U119" s="1"/>
      <c r="V119" s="1"/>
      <c r="W119" s="1"/>
      <c r="X119" s="1"/>
      <c r="Y119" s="1"/>
    </row>
    <row r="120" spans="1:25" x14ac:dyDescent="0.15">
      <c r="A120" s="140" t="s">
        <v>222</v>
      </c>
      <c r="B120" s="496"/>
      <c r="C120" s="294">
        <f>VLOOKUP(A120,'imp-questions'!A:H,5,FALSE)</f>
        <v>2</v>
      </c>
      <c r="D120" s="176" t="str">
        <f>VLOOKUP(A120,'imp-questions'!A:H,6,FALSE)</f>
        <v>Are deployment processes automated and employing security checks?</v>
      </c>
      <c r="E120" s="144" t="str">
        <f>CHAR(65+VLOOKUP(A120,'imp-questions'!A:H,8,FALSE))</f>
        <v>F</v>
      </c>
      <c r="F120" s="429"/>
      <c r="G120" s="17">
        <f>IFERROR(VLOOKUP(F120,AnsFTBL,2,FALSE),0)</f>
        <v>0</v>
      </c>
      <c r="H120" s="184">
        <f>IFERROR(AVERAGE(G120,G127),0)</f>
        <v>0.5</v>
      </c>
      <c r="I120" s="470"/>
      <c r="J120" s="346"/>
      <c r="K120" s="454"/>
      <c r="L120" s="442"/>
      <c r="M120" s="439"/>
      <c r="N120" s="121"/>
      <c r="O120" s="121"/>
      <c r="P120" s="1"/>
      <c r="Q120" s="1"/>
      <c r="R120" s="1"/>
      <c r="S120" s="1"/>
      <c r="T120" s="1"/>
      <c r="U120" s="1"/>
      <c r="V120" s="1"/>
      <c r="W120" s="1"/>
      <c r="X120" s="1"/>
      <c r="Y120" s="1"/>
    </row>
    <row r="121" spans="1:25" ht="56" x14ac:dyDescent="0.15">
      <c r="A121"/>
      <c r="B121" s="496"/>
      <c r="C121" s="133"/>
      <c r="D121" s="167" t="str">
        <f>VLOOKUP(A120,'imp-questions'!A:H,7,FALSE)</f>
        <v>Deployment processes are automated on all stages
Deployment includes automated security testing procedures
You alert responsible staff to identified vulnerabilities
You have logs available for your past deployments for a defined period of time</v>
      </c>
      <c r="E121" s="149"/>
      <c r="F121" s="25"/>
      <c r="G121" s="21"/>
      <c r="H121" s="188"/>
      <c r="I121" s="471"/>
      <c r="J121" s="346"/>
      <c r="K121" s="452"/>
      <c r="L121" s="442"/>
      <c r="M121" s="439"/>
      <c r="N121" s="121"/>
      <c r="O121" s="121"/>
      <c r="P121" s="1"/>
      <c r="Q121" s="1"/>
      <c r="R121" s="1"/>
      <c r="S121" s="1"/>
      <c r="T121" s="1"/>
      <c r="U121" s="1"/>
      <c r="V121" s="1"/>
      <c r="W121" s="1"/>
      <c r="X121" s="1"/>
      <c r="Y121" s="1"/>
    </row>
    <row r="122" spans="1:25" x14ac:dyDescent="0.15">
      <c r="A122" s="140" t="s">
        <v>223</v>
      </c>
      <c r="B122" s="496"/>
      <c r="C122" s="294">
        <f>VLOOKUP(A122,'imp-questions'!A:H,5,FALSE)</f>
        <v>3</v>
      </c>
      <c r="D122" s="176" t="str">
        <f>VLOOKUP(A122,'imp-questions'!A:H,6,FALSE)</f>
        <v>Do you consistently validate the integrity of deployed artifacts?</v>
      </c>
      <c r="E122" s="144" t="str">
        <f>CHAR(65+VLOOKUP(A122,'imp-questions'!A:H,8,FALSE))</f>
        <v>F</v>
      </c>
      <c r="F122" s="429"/>
      <c r="G122" s="17">
        <f>IFERROR(VLOOKUP(F122,AnsFTBL,2,FALSE),0)</f>
        <v>0</v>
      </c>
      <c r="H122" s="184">
        <f>IFERROR(AVERAGE(G122,G129),0)</f>
        <v>0.125</v>
      </c>
      <c r="I122" s="480"/>
      <c r="J122" s="346"/>
      <c r="K122" s="451"/>
      <c r="L122" s="442"/>
      <c r="M122" s="439"/>
      <c r="N122" s="121"/>
      <c r="O122" s="121"/>
      <c r="P122" s="1"/>
      <c r="Q122" s="1"/>
      <c r="R122" s="1"/>
      <c r="S122" s="1"/>
      <c r="T122" s="1"/>
      <c r="U122" s="1"/>
      <c r="V122" s="1"/>
      <c r="W122" s="1"/>
      <c r="X122" s="1"/>
      <c r="Y122" s="1"/>
    </row>
    <row r="123" spans="1:25" ht="42" x14ac:dyDescent="0.15">
      <c r="A123"/>
      <c r="B123" s="497"/>
      <c r="C123" s="153"/>
      <c r="D123" s="159" t="str">
        <f>VLOOKUP(A122,'imp-questions'!A:H,7,FALSE)</f>
        <v>You prevent or roll back deployment if you detect an integrity breach
The verification is done against signatures created during the build time
If checking of signatures is not possible (e.g. externally build software), you introduce compensating measures</v>
      </c>
      <c r="E123" s="149"/>
      <c r="F123" s="25"/>
      <c r="G123" s="21"/>
      <c r="H123" s="188"/>
      <c r="I123" s="471"/>
      <c r="J123" s="346"/>
      <c r="K123" s="452"/>
      <c r="L123" s="443"/>
      <c r="M123" s="440"/>
      <c r="N123" s="121"/>
      <c r="O123" s="121"/>
      <c r="P123" s="1"/>
      <c r="Q123" s="1"/>
      <c r="R123" s="1"/>
      <c r="S123" s="1"/>
      <c r="T123" s="1"/>
      <c r="U123" s="1"/>
      <c r="V123" s="1"/>
      <c r="W123" s="1"/>
      <c r="X123" s="1"/>
      <c r="Y123" s="1"/>
    </row>
    <row r="124" spans="1:25" x14ac:dyDescent="0.15">
      <c r="A124"/>
      <c r="B124" s="305"/>
      <c r="C124" s="306"/>
      <c r="D124" s="306"/>
      <c r="E124" s="306"/>
      <c r="F124" s="306"/>
      <c r="G124" s="306"/>
      <c r="H124" s="306"/>
      <c r="I124" s="349"/>
      <c r="J124" s="350"/>
      <c r="K124" s="349"/>
      <c r="L124" s="349"/>
      <c r="M124" s="351"/>
      <c r="N124" s="121"/>
      <c r="O124" s="121"/>
      <c r="P124" s="1"/>
      <c r="Q124" s="1"/>
      <c r="R124" s="1"/>
      <c r="S124" s="1"/>
      <c r="T124" s="1"/>
      <c r="U124" s="1"/>
      <c r="V124" s="1"/>
      <c r="W124" s="1"/>
      <c r="X124" s="1"/>
      <c r="Y124" s="1"/>
    </row>
    <row r="125" spans="1:25" x14ac:dyDescent="0.15">
      <c r="A125" s="140" t="s">
        <v>225</v>
      </c>
      <c r="B125" s="501" t="str">
        <f>VLOOKUP(A125,'imp-questions'!A:H,4,FALSE)</f>
        <v>Secret Management</v>
      </c>
      <c r="C125" s="294">
        <f>VLOOKUP(A125,'imp-questions'!A:H,5,FALSE)</f>
        <v>1</v>
      </c>
      <c r="D125" s="176" t="str">
        <f>VLOOKUP(A125,'imp-questions'!A:H,6,FALSE)</f>
        <v>Do you limit access to application secrets according to the least privilege principle?</v>
      </c>
      <c r="E125" s="144" t="str">
        <f>CHAR(65+VLOOKUP(A125,'imp-questions'!A:H,8,FALSE))</f>
        <v>F</v>
      </c>
      <c r="F125" s="429"/>
      <c r="G125" s="17">
        <f>IFERROR(VLOOKUP(F125,AnsFTBL,2,FALSE),0)</f>
        <v>0</v>
      </c>
      <c r="H125" s="95"/>
      <c r="I125" s="493"/>
      <c r="J125" s="347"/>
      <c r="K125" s="450"/>
      <c r="L125" s="441"/>
      <c r="M125" s="438"/>
      <c r="N125" s="121"/>
      <c r="O125" s="121"/>
      <c r="P125" s="1"/>
      <c r="Q125" s="1"/>
      <c r="R125" s="1"/>
      <c r="S125" s="1"/>
      <c r="T125" s="1"/>
      <c r="U125" s="1"/>
      <c r="V125" s="1"/>
      <c r="W125" s="1"/>
      <c r="X125" s="1"/>
      <c r="Y125" s="1"/>
    </row>
    <row r="126" spans="1:25" ht="42" x14ac:dyDescent="0.15">
      <c r="A126"/>
      <c r="B126" s="496"/>
      <c r="C126" s="133"/>
      <c r="D126" s="167" t="str">
        <f>VLOOKUP(A125,'imp-questions'!A:H,7,FALSE)</f>
        <v>You store production secrets protected in a secured location
Developers do not have access to production secrets
Production secrets are not available in non-production environments</v>
      </c>
      <c r="E126" s="149"/>
      <c r="F126" s="25"/>
      <c r="G126" s="21"/>
      <c r="H126" s="107"/>
      <c r="I126" s="473"/>
      <c r="J126" s="347"/>
      <c r="K126" s="453"/>
      <c r="L126" s="442"/>
      <c r="M126" s="439"/>
      <c r="N126" s="121"/>
      <c r="O126" s="121"/>
      <c r="P126" s="1"/>
      <c r="Q126" s="1"/>
      <c r="R126" s="1"/>
      <c r="S126" s="1"/>
      <c r="T126" s="1"/>
      <c r="U126" s="1"/>
      <c r="V126" s="1"/>
      <c r="W126" s="1"/>
      <c r="X126" s="1"/>
      <c r="Y126" s="1"/>
    </row>
    <row r="127" spans="1:25" x14ac:dyDescent="0.15">
      <c r="A127" s="140" t="s">
        <v>227</v>
      </c>
      <c r="B127" s="496"/>
      <c r="C127" s="294">
        <f>VLOOKUP(A127,'imp-questions'!A:H,5,FALSE)</f>
        <v>2</v>
      </c>
      <c r="D127" s="176" t="str">
        <f>VLOOKUP(A127,'imp-questions'!A:H,6,FALSE)</f>
        <v>Do you inject production secrets into configuration files during deployment?</v>
      </c>
      <c r="E127" s="144" t="str">
        <f>CHAR(65+VLOOKUP(A127,'imp-questions'!A:H,8,FALSE))</f>
        <v>F</v>
      </c>
      <c r="F127" s="429" t="s">
        <v>321</v>
      </c>
      <c r="G127" s="17">
        <f>IFERROR(VLOOKUP(F127,AnsFTBL,2,FALSE),0)</f>
        <v>1</v>
      </c>
      <c r="H127" s="95"/>
      <c r="I127" s="493" t="s">
        <v>580</v>
      </c>
      <c r="J127" s="347"/>
      <c r="K127" s="450"/>
      <c r="L127" s="442"/>
      <c r="M127" s="439"/>
      <c r="N127" s="121"/>
      <c r="O127" s="121"/>
      <c r="P127" s="1"/>
      <c r="Q127" s="1"/>
      <c r="R127" s="1"/>
      <c r="S127" s="1"/>
      <c r="T127" s="1"/>
      <c r="U127" s="1"/>
      <c r="V127" s="1"/>
      <c r="W127" s="1"/>
      <c r="X127" s="1"/>
      <c r="Y127" s="1"/>
    </row>
    <row r="128" spans="1:25" ht="42" x14ac:dyDescent="0.15">
      <c r="A128"/>
      <c r="B128" s="496"/>
      <c r="C128" s="133"/>
      <c r="D128" s="167" t="str">
        <f>VLOOKUP(A127,'imp-questions'!A:H,7,FALSE)</f>
        <v>Source code files no longer contain active application secrets
Under normal circumstances, no humans access secrets during deployment procedures
You log and alert to any abnormal access to secrets</v>
      </c>
      <c r="E128" s="149"/>
      <c r="F128" s="25"/>
      <c r="G128" s="21"/>
      <c r="H128" s="107"/>
      <c r="I128" s="473"/>
      <c r="J128" s="347"/>
      <c r="K128" s="453"/>
      <c r="L128" s="442"/>
      <c r="M128" s="439"/>
      <c r="N128" s="121"/>
      <c r="O128" s="121"/>
      <c r="P128" s="1"/>
      <c r="Q128" s="1"/>
      <c r="R128" s="1"/>
      <c r="S128" s="1"/>
      <c r="T128" s="1"/>
      <c r="U128" s="1"/>
      <c r="V128" s="1"/>
      <c r="W128" s="1"/>
      <c r="X128" s="1"/>
      <c r="Y128" s="1"/>
    </row>
    <row r="129" spans="1:25" x14ac:dyDescent="0.15">
      <c r="A129" s="140" t="s">
        <v>228</v>
      </c>
      <c r="B129" s="496"/>
      <c r="C129" s="294">
        <f>VLOOKUP(A129,'imp-questions'!A:H,5,FALSE)</f>
        <v>3</v>
      </c>
      <c r="D129" s="176" t="str">
        <f>VLOOKUP(A129,'imp-questions'!A:H,6,FALSE)</f>
        <v>Do you practice proper lifecycle management for application secrets?</v>
      </c>
      <c r="E129" s="144" t="str">
        <f>CHAR(65+VLOOKUP(A129,'imp-questions'!A:H,8,FALSE))</f>
        <v>F</v>
      </c>
      <c r="F129" s="429" t="s">
        <v>125</v>
      </c>
      <c r="G129" s="17">
        <f>IFERROR(VLOOKUP(F129,AnsFTBL,2,FALSE),0)</f>
        <v>0.25</v>
      </c>
      <c r="H129" s="95"/>
      <c r="I129" s="493" t="s">
        <v>581</v>
      </c>
      <c r="J129" s="347"/>
      <c r="K129" s="450"/>
      <c r="L129" s="442"/>
      <c r="M129" s="439"/>
      <c r="N129" s="121"/>
      <c r="O129" s="121"/>
      <c r="P129" s="1"/>
      <c r="Q129" s="1"/>
      <c r="R129" s="1"/>
      <c r="S129" s="1"/>
      <c r="T129" s="1"/>
      <c r="U129" s="1"/>
      <c r="V129" s="1"/>
      <c r="W129" s="1"/>
      <c r="X129" s="1"/>
      <c r="Y129" s="1"/>
    </row>
    <row r="130" spans="1:25" ht="42" x14ac:dyDescent="0.15">
      <c r="A130"/>
      <c r="B130" s="497"/>
      <c r="C130" s="153"/>
      <c r="D130" s="159" t="str">
        <f>VLOOKUP(A129,'imp-questions'!A:H,7,FALSE)</f>
        <v>You generate and synchronize secrets using a vetted solution
Secrets are different between different application instances
Secrets are regularly updated</v>
      </c>
      <c r="E130" s="149"/>
      <c r="F130" s="25"/>
      <c r="G130" s="21"/>
      <c r="H130" s="107"/>
      <c r="I130" s="473"/>
      <c r="J130" s="347"/>
      <c r="K130" s="453"/>
      <c r="L130" s="443"/>
      <c r="M130" s="440"/>
      <c r="N130" s="121"/>
      <c r="O130" s="121"/>
      <c r="P130" s="1"/>
      <c r="Q130" s="1"/>
      <c r="R130" s="1"/>
      <c r="S130" s="1"/>
      <c r="T130" s="1"/>
      <c r="U130" s="1"/>
      <c r="V130" s="1"/>
      <c r="W130" s="1"/>
      <c r="X130" s="1"/>
      <c r="Y130" s="1"/>
    </row>
    <row r="131" spans="1:25" x14ac:dyDescent="0.15">
      <c r="A131"/>
      <c r="B131" s="548" t="s">
        <v>230</v>
      </c>
      <c r="C131" s="549"/>
      <c r="D131" s="550"/>
      <c r="E131" s="156"/>
      <c r="F131" s="291" t="s">
        <v>31</v>
      </c>
      <c r="G131" s="157"/>
      <c r="H131" s="158"/>
      <c r="I131" s="386" t="s">
        <v>543</v>
      </c>
      <c r="J131" s="387" t="s">
        <v>29</v>
      </c>
      <c r="K131" s="388"/>
      <c r="L131" s="389"/>
      <c r="M131" s="390"/>
      <c r="N131" s="121"/>
      <c r="O131" s="121"/>
      <c r="P131" s="1"/>
      <c r="Q131" s="1"/>
      <c r="R131" s="1"/>
      <c r="S131" s="1"/>
      <c r="T131" s="1"/>
      <c r="U131" s="1"/>
      <c r="V131" s="1"/>
      <c r="W131" s="1"/>
      <c r="X131" s="1"/>
      <c r="Y131" s="1"/>
    </row>
    <row r="132" spans="1:25" ht="14" customHeight="1" x14ac:dyDescent="0.15">
      <c r="A132" s="140" t="s">
        <v>229</v>
      </c>
      <c r="B132" s="501" t="str">
        <f>VLOOKUP(A132,'imp-questions'!A:H,4,FALSE)</f>
        <v>Defect Tracking</v>
      </c>
      <c r="C132" s="294">
        <f>VLOOKUP(A132,'imp-questions'!A:H,5,FALSE)</f>
        <v>1</v>
      </c>
      <c r="D132" s="176" t="str">
        <f>VLOOKUP(A132,'imp-questions'!A:H,6,FALSE)</f>
        <v>Do you track all known security defects in accessible locations?</v>
      </c>
      <c r="E132" s="144" t="str">
        <f>CHAR(65+VLOOKUP(A132,'imp-questions'!A:H,8,FALSE))</f>
        <v>F</v>
      </c>
      <c r="F132" s="429"/>
      <c r="G132" s="17">
        <f>IFERROR(VLOOKUP(F132,AnsFTBL,2,FALSE),0)</f>
        <v>0</v>
      </c>
      <c r="H132" s="184">
        <f>IFERROR(AVERAGE(G132,G139),0)</f>
        <v>0</v>
      </c>
      <c r="I132" s="493" t="s">
        <v>582</v>
      </c>
      <c r="J132" s="540">
        <f>SUM(H132,H134,H136)</f>
        <v>0.5</v>
      </c>
      <c r="K132" s="445"/>
      <c r="L132" s="441"/>
      <c r="M132" s="438"/>
      <c r="N132" s="121"/>
      <c r="O132" s="121"/>
      <c r="P132" s="1"/>
      <c r="Q132" s="1"/>
      <c r="R132" s="1"/>
      <c r="S132" s="1"/>
      <c r="T132" s="1"/>
      <c r="U132" s="1"/>
      <c r="V132" s="1"/>
      <c r="W132" s="1"/>
      <c r="X132" s="1"/>
      <c r="Y132" s="1"/>
    </row>
    <row r="133" spans="1:25" ht="56" x14ac:dyDescent="0.15">
      <c r="A133"/>
      <c r="B133" s="496"/>
      <c r="C133" s="133"/>
      <c r="D133" s="167" t="str">
        <f>VLOOKUP(A132,'imp-questions'!A:H,7,FALSE)</f>
        <v>You can easily get an overview of all security defects impacting one application
You have at least a rudimentary classification scheme in place
The process includes a strategy for handling false positives and duplicate entries
The defect management system covers defects from various sources and activities</v>
      </c>
      <c r="E133" s="149"/>
      <c r="F133" s="25"/>
      <c r="G133" s="21"/>
      <c r="H133" s="185"/>
      <c r="I133" s="473"/>
      <c r="J133" s="541"/>
      <c r="K133" s="446"/>
      <c r="L133" s="442"/>
      <c r="M133" s="439"/>
      <c r="N133" s="121"/>
      <c r="O133" s="121"/>
      <c r="P133" s="1"/>
      <c r="Q133" s="1"/>
      <c r="R133" s="1"/>
      <c r="S133" s="1"/>
      <c r="T133" s="1"/>
      <c r="U133" s="1"/>
      <c r="V133" s="1"/>
      <c r="W133" s="1"/>
      <c r="X133" s="1"/>
      <c r="Y133" s="1"/>
    </row>
    <row r="134" spans="1:25" x14ac:dyDescent="0.15">
      <c r="A134" s="140" t="s">
        <v>231</v>
      </c>
      <c r="B134" s="496"/>
      <c r="C134" s="294">
        <f>VLOOKUP(A134,'imp-questions'!A:H,5,FALSE)</f>
        <v>2</v>
      </c>
      <c r="D134" s="176" t="str">
        <f>VLOOKUP(A134,'imp-questions'!A:H,6,FALSE)</f>
        <v>Do you keep an overview of the state of security defects across the organization?</v>
      </c>
      <c r="E134" s="144" t="str">
        <f>CHAR(65+VLOOKUP(A134,'imp-questions'!A:H,8,FALSE))</f>
        <v>F</v>
      </c>
      <c r="F134" s="429"/>
      <c r="G134" s="17">
        <f>IFERROR(VLOOKUP(F134,AnsFTBL,2,FALSE),0)</f>
        <v>0</v>
      </c>
      <c r="H134" s="184">
        <f>IFERROR(AVERAGE(G134,G141),0)</f>
        <v>0</v>
      </c>
      <c r="I134" s="493" t="s">
        <v>584</v>
      </c>
      <c r="J134" s="346"/>
      <c r="K134" s="454"/>
      <c r="L134" s="442"/>
      <c r="M134" s="439"/>
      <c r="N134" s="121"/>
      <c r="O134" s="121"/>
      <c r="P134" s="1"/>
      <c r="Q134" s="1"/>
      <c r="R134" s="1"/>
      <c r="S134" s="1"/>
      <c r="T134" s="1"/>
      <c r="U134" s="1"/>
      <c r="V134" s="1"/>
      <c r="W134" s="1"/>
      <c r="X134" s="1"/>
      <c r="Y134" s="1"/>
    </row>
    <row r="135" spans="1:25" ht="42" x14ac:dyDescent="0.15">
      <c r="A135"/>
      <c r="B135" s="496"/>
      <c r="C135" s="133"/>
      <c r="D135" s="167" t="str">
        <f>VLOOKUP(A134,'imp-questions'!A:H,7,FALSE)</f>
        <v>A single severity scheme is applied to all defects across the organization
The scheme includes SLAs for fixing particular severity classes
You regularly report compliance to SLAs</v>
      </c>
      <c r="E135" s="149"/>
      <c r="F135" s="25"/>
      <c r="G135" s="21"/>
      <c r="H135" s="188"/>
      <c r="I135" s="473"/>
      <c r="J135" s="346"/>
      <c r="K135" s="452"/>
      <c r="L135" s="442"/>
      <c r="M135" s="439"/>
      <c r="N135" s="121"/>
      <c r="O135" s="121"/>
      <c r="P135" s="1"/>
      <c r="Q135" s="1"/>
      <c r="R135" s="1"/>
      <c r="S135" s="1"/>
      <c r="T135" s="1"/>
      <c r="U135" s="1"/>
      <c r="V135" s="1"/>
      <c r="W135" s="1"/>
      <c r="X135" s="1"/>
      <c r="Y135" s="1"/>
    </row>
    <row r="136" spans="1:25" x14ac:dyDescent="0.15">
      <c r="A136" s="140" t="s">
        <v>232</v>
      </c>
      <c r="B136" s="496"/>
      <c r="C136" s="294">
        <f>VLOOKUP(A136,'imp-questions'!A:H,5,FALSE)</f>
        <v>3</v>
      </c>
      <c r="D136" s="176" t="str">
        <f>VLOOKUP(A136,'imp-questions'!A:H,6,FALSE)</f>
        <v>Do you enforce SLAs for fixing security defects?</v>
      </c>
      <c r="E136" s="144" t="str">
        <f>CHAR(65+VLOOKUP(A136,'imp-questions'!A:H,8,FALSE))</f>
        <v>F</v>
      </c>
      <c r="F136" s="429" t="s">
        <v>321</v>
      </c>
      <c r="G136" s="17">
        <f>IFERROR(VLOOKUP(F136,AnsFTBL,2,FALSE),0)</f>
        <v>1</v>
      </c>
      <c r="H136" s="184">
        <f>IFERROR(AVERAGE(G136,G143),0)</f>
        <v>0.5</v>
      </c>
      <c r="I136" s="493" t="s">
        <v>583</v>
      </c>
      <c r="J136" s="346"/>
      <c r="K136" s="451"/>
      <c r="L136" s="442"/>
      <c r="M136" s="439"/>
      <c r="N136" s="121"/>
      <c r="O136" s="121"/>
      <c r="P136" s="1"/>
      <c r="Q136" s="1"/>
      <c r="R136" s="1"/>
      <c r="S136" s="1"/>
      <c r="T136" s="1"/>
      <c r="U136" s="1"/>
      <c r="V136" s="1"/>
      <c r="W136" s="1"/>
      <c r="X136" s="1"/>
      <c r="Y136" s="1"/>
    </row>
    <row r="137" spans="1:25" ht="28" x14ac:dyDescent="0.15">
      <c r="A137"/>
      <c r="B137" s="497"/>
      <c r="C137" s="153"/>
      <c r="D137" s="159" t="str">
        <f>VLOOKUP(A136,'imp-questions'!A:H,7,FALSE)</f>
        <v>You automatically alert of SLA breaches and transfer respective defects to the risk management process
You integrate relevant tooling (e.g. monitoring, build, deployment) with the defect management system</v>
      </c>
      <c r="E137" s="149"/>
      <c r="F137" s="25"/>
      <c r="G137" s="21"/>
      <c r="H137" s="188"/>
      <c r="I137" s="473"/>
      <c r="J137" s="346"/>
      <c r="K137" s="452"/>
      <c r="L137" s="443"/>
      <c r="M137" s="440"/>
      <c r="N137" s="121"/>
      <c r="O137" s="121"/>
      <c r="P137" s="1"/>
      <c r="Q137" s="1"/>
      <c r="R137" s="1"/>
      <c r="S137" s="1"/>
      <c r="T137" s="1"/>
      <c r="U137" s="1"/>
      <c r="V137" s="1"/>
      <c r="W137" s="1"/>
      <c r="X137" s="1"/>
      <c r="Y137" s="1"/>
    </row>
    <row r="138" spans="1:25" x14ac:dyDescent="0.15">
      <c r="A138"/>
      <c r="B138" s="305"/>
      <c r="C138" s="306"/>
      <c r="D138" s="306"/>
      <c r="E138" s="306"/>
      <c r="F138" s="306"/>
      <c r="G138" s="306"/>
      <c r="H138" s="306"/>
      <c r="I138" s="349"/>
      <c r="J138" s="350"/>
      <c r="K138" s="349"/>
      <c r="L138" s="349"/>
      <c r="M138" s="351"/>
      <c r="N138" s="121"/>
      <c r="O138" s="121"/>
      <c r="P138" s="1"/>
      <c r="Q138" s="1"/>
      <c r="R138" s="1"/>
      <c r="S138" s="1"/>
      <c r="T138" s="1"/>
      <c r="U138" s="1"/>
      <c r="V138" s="1"/>
      <c r="W138" s="1"/>
      <c r="X138" s="1"/>
      <c r="Y138" s="1"/>
    </row>
    <row r="139" spans="1:25" x14ac:dyDescent="0.15">
      <c r="A139" s="140" t="s">
        <v>233</v>
      </c>
      <c r="B139" s="501" t="str">
        <f>VLOOKUP(A139,'imp-questions'!A:H,4,FALSE)</f>
        <v>Metrics and Feedback</v>
      </c>
      <c r="C139" s="294">
        <f>VLOOKUP(A139,'imp-questions'!A:H,5,FALSE)</f>
        <v>1</v>
      </c>
      <c r="D139" s="176" t="str">
        <f>VLOOKUP(A139,'imp-questions'!A:H,6,FALSE)</f>
        <v>Do you use basic metrics about recorded security defects to carry out quick win improvement activities?</v>
      </c>
      <c r="E139" s="144" t="str">
        <f>CHAR(65+VLOOKUP(A139,'imp-questions'!A:H,8,FALSE))</f>
        <v>F</v>
      </c>
      <c r="F139" s="429"/>
      <c r="G139" s="17">
        <f>IFERROR(VLOOKUP(F139,AnsFTBL,2,FALSE),0)</f>
        <v>0</v>
      </c>
      <c r="H139" s="95"/>
      <c r="I139" s="493" t="s">
        <v>585</v>
      </c>
      <c r="J139" s="347"/>
      <c r="K139" s="450"/>
      <c r="L139" s="441"/>
      <c r="M139" s="438"/>
      <c r="N139" s="121"/>
      <c r="O139" s="121"/>
      <c r="P139" s="1"/>
      <c r="Q139" s="1"/>
      <c r="R139" s="1"/>
      <c r="S139" s="1"/>
      <c r="T139" s="1"/>
      <c r="U139" s="1"/>
      <c r="V139" s="1"/>
      <c r="W139" s="1"/>
      <c r="X139" s="1"/>
      <c r="Y139" s="1"/>
    </row>
    <row r="140" spans="1:25" ht="42" x14ac:dyDescent="0.15">
      <c r="A140"/>
      <c r="B140" s="496"/>
      <c r="C140" s="133"/>
      <c r="D140" s="167" t="str">
        <f>VLOOKUP(A139,'imp-questions'!A:H,7,FALSE)</f>
        <v>You analyzed your recorded metrics at least once in the last year
At least basic information about this initiative is recorded and available
You have identified and carried out at least one quick win activity based on the data</v>
      </c>
      <c r="E140" s="149"/>
      <c r="F140" s="25"/>
      <c r="G140" s="21"/>
      <c r="H140" s="107"/>
      <c r="I140" s="473"/>
      <c r="J140" s="347"/>
      <c r="K140" s="453"/>
      <c r="L140" s="442"/>
      <c r="M140" s="439"/>
      <c r="N140" s="121"/>
      <c r="O140" s="121"/>
      <c r="P140" s="1"/>
      <c r="Q140" s="1"/>
      <c r="R140" s="1"/>
      <c r="S140" s="1"/>
      <c r="T140" s="1"/>
      <c r="U140" s="1"/>
      <c r="V140" s="1"/>
      <c r="W140" s="1"/>
      <c r="X140" s="1"/>
      <c r="Y140" s="1"/>
    </row>
    <row r="141" spans="1:25" x14ac:dyDescent="0.15">
      <c r="A141" s="140" t="s">
        <v>234</v>
      </c>
      <c r="B141" s="496"/>
      <c r="C141" s="294">
        <f>VLOOKUP(A141,'imp-questions'!A:H,5,FALSE)</f>
        <v>2</v>
      </c>
      <c r="D141" s="176" t="str">
        <f>VLOOKUP(A141,'imp-questions'!A:H,6,FALSE)</f>
        <v>Do you improve your security assurance program upon standardized metrics?</v>
      </c>
      <c r="E141" s="144" t="str">
        <f>CHAR(65+VLOOKUP(A141,'imp-questions'!A:H,8,FALSE))</f>
        <v>F</v>
      </c>
      <c r="F141" s="429"/>
      <c r="G141" s="17">
        <f>IFERROR(VLOOKUP(F141,AnsFTBL,2,FALSE),0)</f>
        <v>0</v>
      </c>
      <c r="H141" s="95"/>
      <c r="I141" s="493" t="s">
        <v>586</v>
      </c>
      <c r="J141" s="347"/>
      <c r="K141" s="450"/>
      <c r="L141" s="442"/>
      <c r="M141" s="439"/>
      <c r="N141" s="121"/>
      <c r="O141" s="121"/>
      <c r="P141" s="1"/>
      <c r="Q141" s="1"/>
      <c r="R141" s="1"/>
      <c r="S141" s="1"/>
      <c r="T141" s="1"/>
      <c r="U141" s="1"/>
      <c r="V141" s="1"/>
      <c r="W141" s="1"/>
      <c r="X141" s="1"/>
      <c r="Y141" s="1"/>
    </row>
    <row r="142" spans="1:25" ht="42" x14ac:dyDescent="0.15">
      <c r="A142"/>
      <c r="B142" s="496"/>
      <c r="C142" s="133"/>
      <c r="D142" s="167" t="str">
        <f>VLOOKUP(A141,'imp-questions'!A:H,7,FALSE)</f>
        <v>You document metrics for defect classification and categorization and keep them up to date
Executive management regularly receives information about defects and has acted upon it in the last year
You regularly share technical details about security defects among teams</v>
      </c>
      <c r="E142" s="149"/>
      <c r="F142" s="25"/>
      <c r="G142" s="21"/>
      <c r="H142" s="107"/>
      <c r="I142" s="473"/>
      <c r="J142" s="347"/>
      <c r="K142" s="453"/>
      <c r="L142" s="442"/>
      <c r="M142" s="439"/>
      <c r="N142" s="121"/>
      <c r="O142" s="121"/>
      <c r="P142" s="1"/>
      <c r="Q142" s="1"/>
      <c r="R142" s="1"/>
      <c r="S142" s="1"/>
      <c r="T142" s="1"/>
      <c r="U142" s="1"/>
      <c r="V142" s="1"/>
      <c r="W142" s="1"/>
      <c r="X142" s="1"/>
      <c r="Y142" s="1"/>
    </row>
    <row r="143" spans="1:25" x14ac:dyDescent="0.15">
      <c r="A143" s="140" t="s">
        <v>235</v>
      </c>
      <c r="B143" s="496"/>
      <c r="C143" s="294">
        <f>VLOOKUP(A143,'imp-questions'!A:H,5,FALSE)</f>
        <v>3</v>
      </c>
      <c r="D143" s="176" t="str">
        <f>VLOOKUP(A143,'imp-questions'!A:H,6,FALSE)</f>
        <v>Do you regularly evaluate the effectiveness of your security metrics so that its input helps drive your security strategy?</v>
      </c>
      <c r="E143" s="144" t="str">
        <f>CHAR(65+VLOOKUP(A143,'imp-questions'!A:H,8,FALSE))</f>
        <v>F</v>
      </c>
      <c r="F143" s="429"/>
      <c r="G143" s="17">
        <f>IFERROR(VLOOKUP(F143,AnsFTBL,2,FALSE),0)</f>
        <v>0</v>
      </c>
      <c r="H143" s="95"/>
      <c r="I143" s="493" t="s">
        <v>587</v>
      </c>
      <c r="J143" s="347"/>
      <c r="K143" s="450"/>
      <c r="L143" s="442"/>
      <c r="M143" s="439"/>
      <c r="N143" s="121"/>
      <c r="O143" s="121"/>
      <c r="P143" s="1"/>
      <c r="Q143" s="1"/>
      <c r="R143" s="1"/>
      <c r="S143" s="1"/>
      <c r="T143" s="1"/>
      <c r="U143" s="1"/>
      <c r="V143" s="1"/>
      <c r="W143" s="1"/>
      <c r="X143" s="1"/>
      <c r="Y143" s="1"/>
    </row>
    <row r="144" spans="1:25" ht="56" x14ac:dyDescent="0.15">
      <c r="A144"/>
      <c r="B144" s="497"/>
      <c r="C144" s="153"/>
      <c r="D144" s="159" t="str">
        <f>VLOOKUP(A143,'imp-questions'!A:H,7,FALSE)</f>
        <v>You have analyzed the effectivenss of the security metrics at least once in the last year
Where possible, you verify the correctness of the data automatically
The metrics is aggregated with other sources like threat intelligence or incident management
You derived at least one strategic activity from the metrics in the last year</v>
      </c>
      <c r="E144" s="149"/>
      <c r="F144" s="25"/>
      <c r="G144" s="21"/>
      <c r="H144" s="107"/>
      <c r="I144" s="473"/>
      <c r="J144" s="347"/>
      <c r="K144" s="453"/>
      <c r="L144" s="443"/>
      <c r="M144" s="440"/>
      <c r="N144" s="121"/>
      <c r="O144" s="121"/>
      <c r="P144" s="1"/>
      <c r="Q144" s="1"/>
      <c r="R144" s="1"/>
      <c r="S144" s="1"/>
      <c r="T144" s="1"/>
      <c r="U144" s="1"/>
      <c r="V144" s="1"/>
      <c r="W144" s="1"/>
      <c r="X144" s="1"/>
      <c r="Y144" s="1"/>
    </row>
    <row r="145" spans="1:25" ht="13" x14ac:dyDescent="0.15">
      <c r="A145"/>
      <c r="B145" s="531" t="s">
        <v>24</v>
      </c>
      <c r="C145" s="531"/>
      <c r="D145" s="531"/>
      <c r="E145" s="531"/>
      <c r="F145" s="531"/>
      <c r="G145" s="531"/>
      <c r="H145" s="531"/>
      <c r="I145" s="531"/>
      <c r="J145" s="532"/>
      <c r="K145" s="391"/>
      <c r="L145" s="391"/>
      <c r="M145" s="391"/>
      <c r="N145" s="121"/>
      <c r="O145" s="121"/>
      <c r="P145" s="1"/>
      <c r="Q145" s="1"/>
      <c r="R145" s="1"/>
      <c r="S145" s="1"/>
      <c r="T145" s="1"/>
      <c r="U145" s="1"/>
      <c r="V145" s="1"/>
      <c r="W145" s="1"/>
      <c r="X145" s="1"/>
      <c r="Y145" s="1"/>
    </row>
    <row r="146" spans="1:25" x14ac:dyDescent="0.15">
      <c r="A146"/>
      <c r="B146" s="563" t="s">
        <v>237</v>
      </c>
      <c r="C146" s="564"/>
      <c r="D146" s="565"/>
      <c r="E146" s="392"/>
      <c r="F146" s="393" t="s">
        <v>31</v>
      </c>
      <c r="G146" s="393"/>
      <c r="H146" s="394"/>
      <c r="I146" s="395" t="s">
        <v>543</v>
      </c>
      <c r="J146" s="396" t="s">
        <v>29</v>
      </c>
      <c r="K146" s="397"/>
      <c r="L146" s="398"/>
      <c r="M146" s="399"/>
      <c r="N146" s="121"/>
      <c r="O146" s="121"/>
      <c r="P146" s="1"/>
      <c r="Q146" s="1"/>
      <c r="R146" s="1"/>
      <c r="S146" s="1"/>
      <c r="T146" s="1"/>
      <c r="U146" s="1"/>
      <c r="V146" s="1"/>
      <c r="W146" s="1"/>
      <c r="X146" s="1"/>
      <c r="Y146" s="1"/>
    </row>
    <row r="147" spans="1:25" x14ac:dyDescent="0.15">
      <c r="A147" s="140" t="s">
        <v>236</v>
      </c>
      <c r="B147" s="524" t="str">
        <f>VLOOKUP(A147,'imp-questions'!A:H,4,FALSE)</f>
        <v>Architecture Validation</v>
      </c>
      <c r="C147" s="182">
        <f>VLOOKUP(A147,'imp-questions'!A:H,5,FALSE)</f>
        <v>1</v>
      </c>
      <c r="D147" s="176" t="str">
        <f>VLOOKUP(A147,'imp-questions'!A:H,6,FALSE)</f>
        <v>Do you review the application architecture for key security objectives on an ad-hoc basis?</v>
      </c>
      <c r="E147" s="160" t="str">
        <f>CHAR(65+VLOOKUP(A147,'imp-questions'!A:H,8,FALSE))</f>
        <v>F</v>
      </c>
      <c r="F147" s="429"/>
      <c r="G147" s="17">
        <f>IFERROR(VLOOKUP(F147,AnsFTBL,2,FALSE),0)</f>
        <v>0</v>
      </c>
      <c r="H147" s="184">
        <f>IFERROR(AVERAGE(G147,G154),0)</f>
        <v>0</v>
      </c>
      <c r="I147" s="493" t="s">
        <v>588</v>
      </c>
      <c r="J147" s="533">
        <f>SUM(H147,H149,H151)</f>
        <v>0.125</v>
      </c>
      <c r="K147" s="445"/>
      <c r="L147" s="441"/>
      <c r="M147" s="438"/>
      <c r="N147" s="121"/>
      <c r="O147" s="121"/>
      <c r="P147" s="1"/>
      <c r="Q147" s="1"/>
      <c r="R147" s="1"/>
      <c r="S147" s="1"/>
      <c r="T147" s="1"/>
      <c r="U147" s="1"/>
      <c r="V147" s="1"/>
      <c r="W147" s="1"/>
      <c r="X147" s="1"/>
      <c r="Y147" s="1"/>
    </row>
    <row r="148" spans="1:25" ht="56" x14ac:dyDescent="0.15">
      <c r="A148"/>
      <c r="B148" s="525"/>
      <c r="C148" s="133"/>
      <c r="D148" s="167" t="str">
        <f>VLOOKUP(A147,'imp-questions'!A:H,7,FALSE)</f>
        <v>You have an agreed upon model of the overall software architecture
You include components, interfaces, and integrations in the architecture model
You verify the correct provision of general security mechanisms
You log missing security controls as defects</v>
      </c>
      <c r="E148" s="163"/>
      <c r="F148" s="164"/>
      <c r="G148" s="165"/>
      <c r="H148" s="185"/>
      <c r="I148" s="473"/>
      <c r="J148" s="534"/>
      <c r="K148" s="446"/>
      <c r="L148" s="442"/>
      <c r="M148" s="439"/>
      <c r="N148" s="121"/>
      <c r="O148" s="121"/>
      <c r="P148" s="1"/>
      <c r="Q148" s="1"/>
      <c r="R148" s="1"/>
      <c r="S148" s="1"/>
      <c r="T148" s="1"/>
      <c r="U148" s="1"/>
      <c r="V148" s="1"/>
      <c r="W148" s="1"/>
      <c r="X148" s="1"/>
      <c r="Y148" s="1"/>
    </row>
    <row r="149" spans="1:25" x14ac:dyDescent="0.15">
      <c r="A149" s="140" t="s">
        <v>239</v>
      </c>
      <c r="B149" s="525"/>
      <c r="C149" s="182">
        <f>VLOOKUP(A149,'imp-questions'!A:H,5,FALSE)</f>
        <v>2</v>
      </c>
      <c r="D149" s="176" t="str">
        <f>VLOOKUP(A149,'imp-questions'!A:H,6,FALSE)</f>
        <v>Do you regularly review the security mechanisms of your architecture?</v>
      </c>
      <c r="E149" s="160" t="str">
        <f>CHAR(65+VLOOKUP(A149,'imp-questions'!A:H,8,FALSE))</f>
        <v>F</v>
      </c>
      <c r="F149" s="429" t="s">
        <v>125</v>
      </c>
      <c r="G149" s="17">
        <f>IFERROR(VLOOKUP(F149,AnsFTBL,2,FALSE),0)</f>
        <v>0.25</v>
      </c>
      <c r="H149" s="184">
        <f>IFERROR(AVERAGE(G149,G156),0)</f>
        <v>0.125</v>
      </c>
      <c r="I149" s="493" t="s">
        <v>589</v>
      </c>
      <c r="J149" s="346"/>
      <c r="K149" s="454"/>
      <c r="L149" s="442"/>
      <c r="M149" s="439"/>
      <c r="N149" s="121"/>
      <c r="O149" s="121"/>
      <c r="P149" s="1"/>
      <c r="Q149" s="1"/>
      <c r="R149" s="1"/>
      <c r="S149" s="1"/>
      <c r="T149" s="1"/>
      <c r="U149" s="1"/>
      <c r="V149" s="1"/>
      <c r="W149" s="1"/>
      <c r="X149" s="1"/>
      <c r="Y149" s="1"/>
    </row>
    <row r="150" spans="1:25" ht="56" x14ac:dyDescent="0.15">
      <c r="A150"/>
      <c r="B150" s="525"/>
      <c r="C150" s="133"/>
      <c r="D150" s="167" t="str">
        <f>VLOOKUP(A149,'imp-questions'!A:H,7,FALSE)</f>
        <v>You review compliance with internal and external requirements
You systematically review each interface in the system
You use a formalized review method and structured validation
You log missing security mechanisms as defects</v>
      </c>
      <c r="E150" s="163"/>
      <c r="F150" s="164"/>
      <c r="G150" s="165"/>
      <c r="H150" s="188"/>
      <c r="I150" s="473"/>
      <c r="J150" s="346"/>
      <c r="K150" s="452"/>
      <c r="L150" s="442"/>
      <c r="M150" s="439"/>
      <c r="N150" s="121"/>
      <c r="O150" s="121"/>
      <c r="P150" s="1"/>
      <c r="Q150" s="1"/>
      <c r="R150" s="1"/>
      <c r="S150" s="1"/>
      <c r="T150" s="1"/>
      <c r="U150" s="1"/>
      <c r="V150" s="1"/>
      <c r="W150" s="1"/>
      <c r="X150" s="1"/>
      <c r="Y150" s="1"/>
    </row>
    <row r="151" spans="1:25" x14ac:dyDescent="0.15">
      <c r="A151" s="140" t="s">
        <v>240</v>
      </c>
      <c r="B151" s="525"/>
      <c r="C151" s="182">
        <f>VLOOKUP(A151,'imp-questions'!A:H,5,FALSE)</f>
        <v>3</v>
      </c>
      <c r="D151" s="176" t="str">
        <f>VLOOKUP(A151,'imp-questions'!A:H,6,FALSE)</f>
        <v>Do you regularly review the effectiveness of the security controls?</v>
      </c>
      <c r="E151" s="160" t="str">
        <f>CHAR(65+VLOOKUP(A151,'imp-questions'!A:H,8,FALSE))</f>
        <v>F</v>
      </c>
      <c r="F151" s="429"/>
      <c r="G151" s="17">
        <f>IFERROR(VLOOKUP(F151,AnsFTBL,2,FALSE),0)</f>
        <v>0</v>
      </c>
      <c r="H151" s="184">
        <f>IFERROR(AVERAGE(G151,G158),0)</f>
        <v>0</v>
      </c>
      <c r="I151" s="493" t="s">
        <v>566</v>
      </c>
      <c r="J151" s="346"/>
      <c r="K151" s="451"/>
      <c r="L151" s="442"/>
      <c r="M151" s="439"/>
      <c r="N151" s="121"/>
      <c r="O151" s="121"/>
      <c r="P151" s="1"/>
      <c r="Q151" s="1"/>
      <c r="R151" s="1"/>
      <c r="S151" s="1"/>
      <c r="T151" s="1"/>
      <c r="U151" s="1"/>
      <c r="V151" s="1"/>
      <c r="W151" s="1"/>
      <c r="X151" s="1"/>
      <c r="Y151" s="1"/>
    </row>
    <row r="152" spans="1:25" ht="56" x14ac:dyDescent="0.15">
      <c r="A152"/>
      <c r="B152" s="527"/>
      <c r="C152" s="153"/>
      <c r="D152" s="159" t="str">
        <f>VLOOKUP(A151,'imp-questions'!A:H,7,FALSE)</f>
        <v>You evaluate the preventive, detective, and response capabilities of security controls
You evaluate the strategy alignment, appropriate support, and scalability of security controls
You evaluate the effectiveness at least yearly
You log identified shortcomings as defects</v>
      </c>
      <c r="E152" s="163"/>
      <c r="F152" s="164"/>
      <c r="G152" s="165"/>
      <c r="H152" s="188"/>
      <c r="I152" s="473"/>
      <c r="J152" s="346"/>
      <c r="K152" s="452"/>
      <c r="L152" s="443"/>
      <c r="M152" s="440"/>
      <c r="N152" s="121"/>
      <c r="O152" s="121"/>
      <c r="P152" s="1"/>
      <c r="Q152" s="1"/>
      <c r="R152" s="1"/>
      <c r="S152" s="1"/>
      <c r="T152" s="1"/>
      <c r="U152" s="1"/>
      <c r="V152" s="1"/>
      <c r="W152" s="1"/>
      <c r="X152" s="1"/>
      <c r="Y152" s="1"/>
    </row>
    <row r="153" spans="1:25" x14ac:dyDescent="0.15">
      <c r="A153"/>
      <c r="B153" s="305"/>
      <c r="C153" s="306"/>
      <c r="D153" s="306"/>
      <c r="E153" s="306"/>
      <c r="F153" s="306"/>
      <c r="G153" s="306"/>
      <c r="H153" s="306"/>
      <c r="I153" s="349"/>
      <c r="J153" s="350"/>
      <c r="K153" s="349"/>
      <c r="L153" s="349"/>
      <c r="M153" s="351"/>
      <c r="N153" s="121"/>
      <c r="O153" s="121"/>
      <c r="P153" s="1"/>
      <c r="Q153" s="1"/>
      <c r="R153" s="1"/>
      <c r="S153" s="1"/>
      <c r="T153" s="1"/>
      <c r="U153" s="1"/>
      <c r="V153" s="1"/>
      <c r="W153" s="1"/>
      <c r="X153" s="1"/>
      <c r="Y153" s="1"/>
    </row>
    <row r="154" spans="1:25" x14ac:dyDescent="0.15">
      <c r="A154" s="140" t="s">
        <v>242</v>
      </c>
      <c r="B154" s="524" t="str">
        <f>VLOOKUP(A154,'imp-questions'!A:H,4,FALSE)</f>
        <v>Architecture Mitigation</v>
      </c>
      <c r="C154" s="182">
        <f>VLOOKUP(A154,'imp-questions'!A:H,5,FALSE)</f>
        <v>1</v>
      </c>
      <c r="D154" s="176" t="str">
        <f>VLOOKUP(A154,'imp-questions'!A:H,6,FALSE)</f>
        <v>Do you review the application architecture for mitigations of typical threats on an ad-hoc basis?</v>
      </c>
      <c r="E154" s="160" t="str">
        <f>CHAR(65+VLOOKUP(A154,'imp-questions'!A:H,8,FALSE))</f>
        <v>F</v>
      </c>
      <c r="F154" s="429"/>
      <c r="G154" s="17">
        <f>IFERROR(VLOOKUP(F154,AnsFTBL,2,FALSE),0)</f>
        <v>0</v>
      </c>
      <c r="H154" s="162"/>
      <c r="I154" s="493" t="s">
        <v>590</v>
      </c>
      <c r="J154" s="347"/>
      <c r="K154" s="455"/>
      <c r="L154" s="441"/>
      <c r="M154" s="438"/>
      <c r="N154" s="121"/>
      <c r="O154" s="121"/>
      <c r="P154" s="1"/>
      <c r="Q154" s="1"/>
      <c r="R154" s="1"/>
      <c r="S154" s="1"/>
      <c r="T154" s="1"/>
      <c r="U154" s="1"/>
      <c r="V154" s="1"/>
      <c r="W154" s="1"/>
      <c r="X154" s="1"/>
      <c r="Y154" s="1"/>
    </row>
    <row r="155" spans="1:25" ht="42" x14ac:dyDescent="0.15">
      <c r="A155"/>
      <c r="B155" s="525"/>
      <c r="C155" s="133"/>
      <c r="D155" s="167" t="str">
        <f>VLOOKUP(A154,'imp-questions'!A:H,7,FALSE)</f>
        <v>You have an agreed upon model of the overall software architecture
Security savvy staff conduct the review
You consider different types of threats, including insider and data-related one</v>
      </c>
      <c r="E155" s="163"/>
      <c r="F155" s="164"/>
      <c r="G155" s="165"/>
      <c r="H155" s="166"/>
      <c r="I155" s="473"/>
      <c r="J155" s="347"/>
      <c r="K155" s="456"/>
      <c r="L155" s="442"/>
      <c r="M155" s="439"/>
      <c r="N155" s="121"/>
      <c r="O155" s="121"/>
      <c r="P155" s="1"/>
      <c r="Q155" s="1"/>
      <c r="R155" s="1"/>
      <c r="S155" s="1"/>
      <c r="T155" s="1"/>
      <c r="U155" s="1"/>
      <c r="V155" s="1"/>
      <c r="W155" s="1"/>
      <c r="X155" s="1"/>
      <c r="Y155" s="1"/>
    </row>
    <row r="156" spans="1:25" x14ac:dyDescent="0.15">
      <c r="A156" s="140" t="s">
        <v>243</v>
      </c>
      <c r="B156" s="525"/>
      <c r="C156" s="182">
        <f>VLOOKUP(A156,'imp-questions'!A:H,5,FALSE)</f>
        <v>2</v>
      </c>
      <c r="D156" s="176" t="str">
        <f>VLOOKUP(A156,'imp-questions'!A:H,6,FALSE)</f>
        <v>Do you regularly evaluate the threats to your architecture?</v>
      </c>
      <c r="E156" s="160" t="str">
        <f>CHAR(65+VLOOKUP(A156,'imp-questions'!A:H,8,FALSE))</f>
        <v>F</v>
      </c>
      <c r="F156" s="429"/>
      <c r="G156" s="17">
        <f>IFERROR(VLOOKUP(F156,AnsFTBL,2,FALSE),0)</f>
        <v>0</v>
      </c>
      <c r="H156" s="162"/>
      <c r="I156" s="493" t="s">
        <v>589</v>
      </c>
      <c r="J156" s="347"/>
      <c r="K156" s="455"/>
      <c r="L156" s="442"/>
      <c r="M156" s="439"/>
      <c r="N156" s="121"/>
      <c r="O156" s="121"/>
      <c r="P156" s="1"/>
      <c r="Q156" s="1"/>
      <c r="R156" s="1"/>
      <c r="S156" s="1"/>
      <c r="T156" s="1"/>
      <c r="U156" s="1"/>
      <c r="V156" s="1"/>
      <c r="W156" s="1"/>
      <c r="X156" s="1"/>
      <c r="Y156" s="1"/>
    </row>
    <row r="157" spans="1:25" ht="56" x14ac:dyDescent="0.15">
      <c r="A157"/>
      <c r="B157" s="525"/>
      <c r="C157" s="133"/>
      <c r="D157" s="167" t="str">
        <f>VLOOKUP(A156,'imp-questions'!A:H,7,FALSE)</f>
        <v>You systematically review each threat identified in the Threat Assessment
Trained or experienced people lead review exercise
You identify mitigating design-level features for each identified threat
You log unhandled threats as defects</v>
      </c>
      <c r="E157" s="163"/>
      <c r="F157" s="164"/>
      <c r="G157" s="165"/>
      <c r="H157" s="166"/>
      <c r="I157" s="473"/>
      <c r="J157" s="347"/>
      <c r="K157" s="456"/>
      <c r="L157" s="442"/>
      <c r="M157" s="439"/>
      <c r="N157" s="121"/>
      <c r="O157" s="121"/>
      <c r="P157" s="1"/>
      <c r="Q157" s="1"/>
      <c r="R157" s="1"/>
      <c r="S157" s="1"/>
      <c r="T157" s="1"/>
      <c r="U157" s="1"/>
      <c r="V157" s="1"/>
      <c r="W157" s="1"/>
      <c r="X157" s="1"/>
      <c r="Y157" s="1"/>
    </row>
    <row r="158" spans="1:25" x14ac:dyDescent="0.15">
      <c r="A158" s="140" t="s">
        <v>244</v>
      </c>
      <c r="B158" s="525"/>
      <c r="C158" s="182">
        <f>VLOOKUP(A158,'imp-questions'!A:H,5,FALSE)</f>
        <v>3</v>
      </c>
      <c r="D158" s="176" t="str">
        <f>VLOOKUP(A158,'imp-questions'!A:H,6,FALSE)</f>
        <v>Do you regularly update your reference architectures based on architecture assessment findings?</v>
      </c>
      <c r="E158" s="160" t="str">
        <f>CHAR(65+VLOOKUP(A158,'imp-questions'!A:H,8,FALSE))</f>
        <v>F</v>
      </c>
      <c r="F158" s="429"/>
      <c r="G158" s="17">
        <f>IFERROR(VLOOKUP(F158,AnsFTBL,2,FALSE),0)</f>
        <v>0</v>
      </c>
      <c r="H158" s="162"/>
      <c r="I158" s="493" t="s">
        <v>591</v>
      </c>
      <c r="J158" s="347"/>
      <c r="K158" s="455"/>
      <c r="L158" s="442"/>
      <c r="M158" s="439"/>
      <c r="N158" s="121"/>
      <c r="O158" s="121"/>
      <c r="P158" s="1"/>
      <c r="Q158" s="1"/>
      <c r="R158" s="1"/>
      <c r="S158" s="1"/>
      <c r="T158" s="1"/>
      <c r="U158" s="1"/>
      <c r="V158" s="1"/>
      <c r="W158" s="1"/>
      <c r="X158" s="1"/>
      <c r="Y158" s="1"/>
    </row>
    <row r="159" spans="1:25" ht="56" x14ac:dyDescent="0.15">
      <c r="A159"/>
      <c r="B159" s="526"/>
      <c r="C159" s="133"/>
      <c r="D159" s="167" t="str">
        <f>VLOOKUP(A158,'imp-questions'!A:H,7,FALSE)</f>
        <v>You assess your architectures in a standardized, documented manner
You use recurring findings to trigger a review of reference architectures
You independently review the quality of the architecture assessments on an ad-hoc basis
You use reference architecture updates to trigger reviews of relevant shared solutions, in a risk-based manner</v>
      </c>
      <c r="E159" s="330"/>
      <c r="F159" s="331"/>
      <c r="G159" s="332"/>
      <c r="H159" s="333"/>
      <c r="I159" s="473"/>
      <c r="J159" s="348"/>
      <c r="K159" s="457"/>
      <c r="L159" s="443"/>
      <c r="M159" s="440"/>
      <c r="N159" s="121"/>
      <c r="O159" s="121"/>
      <c r="P159" s="1"/>
      <c r="Q159" s="1"/>
      <c r="R159" s="1"/>
      <c r="S159" s="1"/>
      <c r="T159" s="1"/>
      <c r="U159" s="1"/>
      <c r="V159" s="1"/>
      <c r="W159" s="1"/>
      <c r="X159" s="1"/>
      <c r="Y159" s="1"/>
    </row>
    <row r="160" spans="1:25" x14ac:dyDescent="0.15">
      <c r="A160"/>
      <c r="B160" s="528" t="s">
        <v>438</v>
      </c>
      <c r="C160" s="529"/>
      <c r="D160" s="530"/>
      <c r="E160" s="335"/>
      <c r="F160" s="336" t="s">
        <v>31</v>
      </c>
      <c r="G160" s="336"/>
      <c r="H160" s="337"/>
      <c r="I160" s="400" t="s">
        <v>543</v>
      </c>
      <c r="J160" s="401" t="s">
        <v>29</v>
      </c>
      <c r="K160" s="402"/>
      <c r="L160" s="403"/>
      <c r="M160" s="404"/>
      <c r="N160" s="121"/>
      <c r="O160" s="121"/>
      <c r="P160" s="1"/>
      <c r="Q160" s="1"/>
      <c r="R160" s="1"/>
      <c r="S160" s="1"/>
      <c r="T160" s="1"/>
      <c r="U160" s="1"/>
      <c r="V160" s="1"/>
      <c r="W160" s="1"/>
      <c r="X160" s="1"/>
      <c r="Y160" s="1"/>
    </row>
    <row r="161" spans="1:25" ht="14" customHeight="1" x14ac:dyDescent="0.15">
      <c r="A161" s="140" t="s">
        <v>357</v>
      </c>
      <c r="B161" s="526" t="str">
        <f>VLOOKUP(A161,'imp-questions'!A:H,4,FALSE)</f>
        <v>Control Verification</v>
      </c>
      <c r="C161" s="334">
        <f>VLOOKUP(A161,'imp-questions'!A:H,5,FALSE)</f>
        <v>1</v>
      </c>
      <c r="D161" s="302" t="str">
        <f>VLOOKUP(A161,'imp-questions'!A:H,6,FALSE)</f>
        <v>Do you test applications for the correct functioning of standard security controls?</v>
      </c>
      <c r="E161" s="146" t="str">
        <f>CHAR(65+VLOOKUP(A161,'imp-questions'!A:H,8,FALSE))</f>
        <v>C</v>
      </c>
      <c r="F161" s="430"/>
      <c r="G161" s="303">
        <f>IFERROR(VLOOKUP(F161,AnsCTBL,2,FALSE),0)</f>
        <v>0</v>
      </c>
      <c r="H161" s="320">
        <f>IFERROR(AVERAGE(G161,G168),0)</f>
        <v>0</v>
      </c>
      <c r="I161" s="493" t="s">
        <v>592</v>
      </c>
      <c r="J161" s="534">
        <f>SUM(H161,H163,H165)</f>
        <v>0</v>
      </c>
      <c r="K161" s="449"/>
      <c r="L161" s="441"/>
      <c r="M161" s="438"/>
      <c r="N161" s="121"/>
      <c r="O161" s="121"/>
      <c r="P161" s="1"/>
      <c r="Q161" s="1"/>
      <c r="R161" s="1"/>
      <c r="S161" s="1"/>
      <c r="T161" s="1"/>
      <c r="U161" s="1"/>
      <c r="V161" s="1"/>
      <c r="W161" s="1"/>
      <c r="X161" s="1"/>
      <c r="Y161" s="1"/>
    </row>
    <row r="162" spans="1:25" ht="42" x14ac:dyDescent="0.15">
      <c r="A162"/>
      <c r="B162" s="525"/>
      <c r="C162" s="133"/>
      <c r="D162" s="167" t="str">
        <f>VLOOKUP(A161,'imp-questions'!A:H,7,FALSE)</f>
        <v>Security testing at least verifies the implementation of authentication, access control, input validation, encoding and escaping data, and encryption controls
Security testing executes whenever the application changes its use of the controls</v>
      </c>
      <c r="E162" s="149"/>
      <c r="F162" s="25"/>
      <c r="G162" s="21"/>
      <c r="H162" s="185"/>
      <c r="I162" s="473"/>
      <c r="J162" s="534"/>
      <c r="K162" s="446"/>
      <c r="L162" s="442"/>
      <c r="M162" s="439"/>
      <c r="N162" s="121"/>
      <c r="O162" s="121"/>
      <c r="P162" s="1"/>
      <c r="Q162" s="1"/>
      <c r="R162" s="1"/>
      <c r="S162" s="1"/>
      <c r="T162" s="1"/>
      <c r="U162" s="1"/>
      <c r="V162" s="1"/>
      <c r="W162" s="1"/>
      <c r="X162" s="1"/>
      <c r="Y162" s="1"/>
    </row>
    <row r="163" spans="1:25" x14ac:dyDescent="0.15">
      <c r="A163" s="140" t="s">
        <v>361</v>
      </c>
      <c r="B163" s="525"/>
      <c r="C163" s="182">
        <f>VLOOKUP(A163,'imp-questions'!A:H,5,FALSE)</f>
        <v>2</v>
      </c>
      <c r="D163" s="176" t="str">
        <f>VLOOKUP(A163,'imp-questions'!A:H,6,FALSE)</f>
        <v>Do you consistently write and execute test scripts to verify the functionality of security requirements?</v>
      </c>
      <c r="E163" s="144" t="str">
        <f>CHAR(65+VLOOKUP(A163,'imp-questions'!A:H,8,FALSE))</f>
        <v>C</v>
      </c>
      <c r="F163" s="429"/>
      <c r="G163" s="17">
        <f>IFERROR(VLOOKUP(F163,AnsCTBL,2,FALSE),0)</f>
        <v>0</v>
      </c>
      <c r="H163" s="184">
        <f>IFERROR(AVERAGE(G163,G170),0)</f>
        <v>0</v>
      </c>
      <c r="I163" s="493" t="s">
        <v>593</v>
      </c>
      <c r="J163" s="346"/>
      <c r="K163" s="454"/>
      <c r="L163" s="442"/>
      <c r="M163" s="439"/>
      <c r="N163" s="121"/>
      <c r="O163" s="121"/>
      <c r="P163" s="1"/>
      <c r="Q163" s="1"/>
      <c r="R163" s="1"/>
      <c r="S163" s="1"/>
      <c r="T163" s="1"/>
      <c r="U163" s="1"/>
      <c r="V163" s="1"/>
      <c r="W163" s="1"/>
      <c r="X163" s="1"/>
      <c r="Y163" s="1"/>
    </row>
    <row r="164" spans="1:25" ht="42" x14ac:dyDescent="0.15">
      <c r="A164"/>
      <c r="B164" s="525"/>
      <c r="C164" s="133"/>
      <c r="D164" s="167" t="str">
        <f>VLOOKUP(A163,'imp-questions'!A:H,7,FALSE)</f>
        <v>You tailor tests to each application and assert expected security functionality
You capture test results as a pass or fail condition
Tests use a standardized framework or DSL</v>
      </c>
      <c r="E164" s="149"/>
      <c r="F164" s="25"/>
      <c r="G164" s="21"/>
      <c r="H164" s="188"/>
      <c r="I164" s="473"/>
      <c r="J164" s="346"/>
      <c r="K164" s="452"/>
      <c r="L164" s="442"/>
      <c r="M164" s="439"/>
      <c r="N164" s="121"/>
      <c r="O164" s="121"/>
      <c r="P164" s="1"/>
      <c r="Q164" s="1"/>
      <c r="R164" s="1"/>
      <c r="S164" s="1"/>
      <c r="T164" s="1"/>
      <c r="U164" s="1"/>
      <c r="V164" s="1"/>
      <c r="W164" s="1"/>
      <c r="X164" s="1"/>
      <c r="Y164" s="1"/>
    </row>
    <row r="165" spans="1:25" x14ac:dyDescent="0.15">
      <c r="A165" s="140" t="s">
        <v>353</v>
      </c>
      <c r="B165" s="525"/>
      <c r="C165" s="182">
        <f>VLOOKUP(A165,'imp-questions'!A:H,5,FALSE)</f>
        <v>3</v>
      </c>
      <c r="D165" s="176" t="str">
        <f>VLOOKUP(A165,'imp-questions'!A:H,6,FALSE)</f>
        <v>Do you automatically test applications for security regressions?</v>
      </c>
      <c r="E165" s="144" t="str">
        <f>CHAR(65+VLOOKUP(A165,'imp-questions'!A:H,8,FALSE))</f>
        <v>F</v>
      </c>
      <c r="F165" s="429"/>
      <c r="G165" s="17">
        <f>IFERROR(VLOOKUP(F165,AnsFTBL,2,FALSE),0)</f>
        <v>0</v>
      </c>
      <c r="H165" s="184">
        <f>IFERROR(AVERAGE(G165,G172),0)</f>
        <v>0</v>
      </c>
      <c r="I165" s="493" t="s">
        <v>594</v>
      </c>
      <c r="J165" s="346"/>
      <c r="K165" s="451"/>
      <c r="L165" s="442"/>
      <c r="M165" s="439"/>
      <c r="N165" s="121"/>
      <c r="O165" s="121"/>
      <c r="P165" s="1"/>
      <c r="Q165" s="1"/>
      <c r="R165" s="1"/>
      <c r="S165" s="1"/>
      <c r="T165" s="1"/>
      <c r="U165" s="1"/>
      <c r="V165" s="1"/>
      <c r="W165" s="1"/>
      <c r="X165" s="1"/>
      <c r="Y165" s="1"/>
    </row>
    <row r="166" spans="1:25" ht="28" x14ac:dyDescent="0.15">
      <c r="A166"/>
      <c r="B166" s="527"/>
      <c r="C166" s="153"/>
      <c r="D166" s="159" t="str">
        <f>VLOOKUP(A165,'imp-questions'!A:H,7,FALSE)</f>
        <v>You consistently write tests for all identified bugs (possibly exceeding a pre-defined severity threshhold)
You collect security tests in a test suite that is part of the existing unit testing framework</v>
      </c>
      <c r="E166" s="149"/>
      <c r="F166" s="25"/>
      <c r="G166" s="21"/>
      <c r="H166" s="188"/>
      <c r="I166" s="473"/>
      <c r="J166" s="346"/>
      <c r="K166" s="452"/>
      <c r="L166" s="443"/>
      <c r="M166" s="440"/>
      <c r="N166" s="121"/>
      <c r="O166" s="121"/>
      <c r="P166" s="1"/>
      <c r="Q166" s="1"/>
      <c r="R166" s="1"/>
      <c r="S166" s="1"/>
      <c r="T166" s="1"/>
      <c r="U166" s="1"/>
      <c r="V166" s="1"/>
      <c r="W166" s="1"/>
      <c r="X166" s="1"/>
      <c r="Y166" s="1"/>
    </row>
    <row r="167" spans="1:25" x14ac:dyDescent="0.15">
      <c r="A167"/>
      <c r="B167" s="305"/>
      <c r="C167" s="306"/>
      <c r="D167" s="306"/>
      <c r="E167" s="306"/>
      <c r="F167" s="306"/>
      <c r="G167" s="306"/>
      <c r="H167" s="306"/>
      <c r="I167" s="349"/>
      <c r="J167" s="350"/>
      <c r="K167" s="349"/>
      <c r="L167" s="349"/>
      <c r="M167" s="351"/>
      <c r="N167" s="121"/>
      <c r="O167" s="121"/>
      <c r="P167" s="1"/>
      <c r="Q167" s="1"/>
      <c r="R167" s="1"/>
      <c r="S167" s="1"/>
      <c r="T167" s="1"/>
      <c r="U167" s="1"/>
      <c r="V167" s="1"/>
      <c r="W167" s="1"/>
      <c r="X167" s="1"/>
      <c r="Y167" s="1"/>
    </row>
    <row r="168" spans="1:25" x14ac:dyDescent="0.15">
      <c r="A168" s="140" t="s">
        <v>354</v>
      </c>
      <c r="B168" s="524" t="str">
        <f>VLOOKUP(A168,'imp-questions'!A:H,4,FALSE)</f>
        <v>Misuse/Abuse Testing</v>
      </c>
      <c r="C168" s="182">
        <f>VLOOKUP(A168,'imp-questions'!A:H,5,FALSE)</f>
        <v>1</v>
      </c>
      <c r="D168" s="176" t="str">
        <f>VLOOKUP(A168,'imp-questions'!A:H,6,FALSE)</f>
        <v>Do you test applications using randomization or fuzzing techniques?</v>
      </c>
      <c r="E168" s="144" t="str">
        <f>CHAR(65+VLOOKUP(A168,'imp-questions'!A:H,8,FALSE))</f>
        <v>F</v>
      </c>
      <c r="F168" s="429"/>
      <c r="G168" s="17">
        <f>IFERROR(VLOOKUP(F168,AnsFTBL,2,FALSE),0)</f>
        <v>0</v>
      </c>
      <c r="H168" s="95"/>
      <c r="I168" s="493" t="s">
        <v>595</v>
      </c>
      <c r="J168" s="347"/>
      <c r="K168" s="450"/>
      <c r="L168" s="441"/>
      <c r="M168" s="438"/>
      <c r="N168" s="121"/>
      <c r="O168" s="121"/>
      <c r="P168" s="1"/>
      <c r="Q168" s="1"/>
      <c r="R168" s="1"/>
      <c r="S168" s="1"/>
      <c r="T168" s="1"/>
      <c r="U168" s="1"/>
      <c r="V168" s="1"/>
      <c r="W168" s="1"/>
      <c r="X168" s="1"/>
      <c r="Y168" s="1"/>
    </row>
    <row r="169" spans="1:25" ht="28" x14ac:dyDescent="0.15">
      <c r="A169"/>
      <c r="B169" s="525"/>
      <c r="C169" s="133"/>
      <c r="D169" s="167" t="str">
        <f>VLOOKUP(A168,'imp-questions'!A:H,7,FALSE)</f>
        <v>Testing covers most or all of the application's main input parameters
You record and inspect all application crashes for security impact on a best-effort basis</v>
      </c>
      <c r="E169" s="149"/>
      <c r="F169" s="25"/>
      <c r="G169" s="21"/>
      <c r="H169" s="107"/>
      <c r="I169" s="473"/>
      <c r="J169" s="347"/>
      <c r="K169" s="453"/>
      <c r="L169" s="442"/>
      <c r="M169" s="439"/>
      <c r="N169" s="121"/>
      <c r="O169" s="121"/>
      <c r="P169" s="1"/>
      <c r="Q169" s="1"/>
      <c r="R169" s="1"/>
      <c r="S169" s="1"/>
      <c r="T169" s="1"/>
      <c r="U169" s="1"/>
      <c r="V169" s="1"/>
      <c r="W169" s="1"/>
      <c r="X169" s="1"/>
      <c r="Y169" s="1"/>
    </row>
    <row r="170" spans="1:25" x14ac:dyDescent="0.15">
      <c r="A170" s="140" t="s">
        <v>359</v>
      </c>
      <c r="B170" s="525"/>
      <c r="C170" s="182">
        <f>VLOOKUP(A170,'imp-questions'!A:H,5,FALSE)</f>
        <v>2</v>
      </c>
      <c r="D170" s="176" t="str">
        <f>VLOOKUP(A170,'imp-questions'!A:H,6,FALSE)</f>
        <v>Do you create abuse cases from functional requirements and use them to drive security tests?</v>
      </c>
      <c r="E170" s="144" t="str">
        <f>CHAR(65+VLOOKUP(A170,'imp-questions'!A:H,8,FALSE))</f>
        <v>H</v>
      </c>
      <c r="F170" s="431"/>
      <c r="G170" s="161">
        <f>IFERROR(VLOOKUP(F170,AnsHTBL,2,FALSE),0)</f>
        <v>0</v>
      </c>
      <c r="H170" s="95"/>
      <c r="I170" s="493" t="s">
        <v>586</v>
      </c>
      <c r="J170" s="347"/>
      <c r="K170" s="450"/>
      <c r="L170" s="442"/>
      <c r="M170" s="439"/>
      <c r="N170" s="121"/>
      <c r="O170" s="121"/>
      <c r="P170" s="1"/>
      <c r="Q170" s="1"/>
      <c r="R170" s="1"/>
      <c r="S170" s="1"/>
      <c r="T170" s="1"/>
      <c r="U170" s="1"/>
      <c r="V170" s="1"/>
      <c r="W170" s="1"/>
      <c r="X170" s="1"/>
      <c r="Y170" s="1"/>
    </row>
    <row r="171" spans="1:25" ht="42" x14ac:dyDescent="0.15">
      <c r="A171"/>
      <c r="B171" s="525"/>
      <c r="C171" s="133"/>
      <c r="D171" s="167" t="str">
        <f>VLOOKUP(A170,'imp-questions'!A:H,7,FALSE)</f>
        <v>Important business functionality has corresponding abuse cases
You build abuse stories around relevant personas with well-defined motivations and characteristics
You capture identified weaknesses as security requirements</v>
      </c>
      <c r="E171" s="149"/>
      <c r="F171" s="25"/>
      <c r="G171" s="21"/>
      <c r="H171" s="107"/>
      <c r="I171" s="473"/>
      <c r="J171" s="347"/>
      <c r="K171" s="453"/>
      <c r="L171" s="442"/>
      <c r="M171" s="439"/>
      <c r="N171" s="121"/>
      <c r="O171" s="121"/>
      <c r="P171" s="1"/>
      <c r="Q171" s="1"/>
      <c r="R171" s="1"/>
      <c r="S171" s="1"/>
      <c r="T171" s="1"/>
      <c r="U171" s="1"/>
      <c r="V171" s="1"/>
      <c r="W171" s="1"/>
      <c r="X171" s="1"/>
      <c r="Y171" s="1"/>
    </row>
    <row r="172" spans="1:25" x14ac:dyDescent="0.15">
      <c r="A172" s="140" t="s">
        <v>355</v>
      </c>
      <c r="B172" s="525"/>
      <c r="C172" s="182">
        <f>VLOOKUP(A172,'imp-questions'!A:H,5,FALSE)</f>
        <v>3</v>
      </c>
      <c r="D172" s="176" t="str">
        <f>VLOOKUP(A172,'imp-questions'!A:H,6,FALSE)</f>
        <v>Do you perform denial of service and security stress testing?</v>
      </c>
      <c r="E172" s="144" t="str">
        <f>CHAR(65+VLOOKUP(A172,'imp-questions'!A:H,8,FALSE))</f>
        <v>H</v>
      </c>
      <c r="F172" s="431"/>
      <c r="G172" s="161">
        <f>IFERROR(VLOOKUP(F172,AnsHTBL,2,FALSE),0)</f>
        <v>0</v>
      </c>
      <c r="H172" s="95"/>
      <c r="I172" s="493" t="s">
        <v>586</v>
      </c>
      <c r="J172" s="347"/>
      <c r="K172" s="450"/>
      <c r="L172" s="442"/>
      <c r="M172" s="439"/>
      <c r="N172" s="121"/>
      <c r="O172" s="121"/>
      <c r="P172" s="1"/>
      <c r="Q172" s="1"/>
      <c r="R172" s="1"/>
      <c r="S172" s="1"/>
      <c r="T172" s="1"/>
      <c r="U172" s="1"/>
      <c r="V172" s="1"/>
      <c r="W172" s="1"/>
      <c r="X172" s="1"/>
      <c r="Y172" s="1"/>
    </row>
    <row r="173" spans="1:25" ht="42" x14ac:dyDescent="0.15">
      <c r="A173"/>
      <c r="B173" s="526"/>
      <c r="C173" s="133"/>
      <c r="D173" s="167" t="str">
        <f>VLOOKUP(A172,'imp-questions'!A:H,7,FALSE)</f>
        <v>Stress tests target specific application resources (e.g. memory exhaustion by saving large amounts of data to a user session)
You design tests around relevant personas with well-defined capabilities (knowledge, resources)
You feed the results back to the Design practices</v>
      </c>
      <c r="E173" s="145"/>
      <c r="F173" s="317"/>
      <c r="G173" s="318"/>
      <c r="H173" s="319"/>
      <c r="I173" s="473"/>
      <c r="J173" s="348"/>
      <c r="K173" s="448"/>
      <c r="L173" s="443"/>
      <c r="M173" s="440"/>
      <c r="N173" s="121"/>
      <c r="O173" s="121"/>
      <c r="P173" s="1"/>
      <c r="Q173" s="1"/>
      <c r="R173" s="1"/>
      <c r="S173" s="1"/>
      <c r="T173" s="1"/>
      <c r="U173" s="1"/>
      <c r="V173" s="1"/>
      <c r="W173" s="1"/>
      <c r="X173" s="1"/>
      <c r="Y173" s="1"/>
    </row>
    <row r="174" spans="1:25" x14ac:dyDescent="0.15">
      <c r="A174"/>
      <c r="B174" s="528" t="s">
        <v>25</v>
      </c>
      <c r="C174" s="529"/>
      <c r="D174" s="530"/>
      <c r="E174" s="335"/>
      <c r="F174" s="336" t="s">
        <v>31</v>
      </c>
      <c r="G174" s="336"/>
      <c r="H174" s="337"/>
      <c r="I174" s="400" t="s">
        <v>543</v>
      </c>
      <c r="J174" s="401" t="s">
        <v>29</v>
      </c>
      <c r="K174" s="402"/>
      <c r="L174" s="403"/>
      <c r="M174" s="404"/>
      <c r="N174" s="121"/>
      <c r="O174" s="121"/>
      <c r="P174" s="1"/>
      <c r="Q174" s="1"/>
      <c r="R174" s="1"/>
      <c r="S174" s="1"/>
      <c r="T174" s="1"/>
      <c r="U174" s="1"/>
      <c r="V174" s="1"/>
      <c r="W174" s="1"/>
      <c r="X174" s="1"/>
      <c r="Y174" s="1"/>
    </row>
    <row r="175" spans="1:25" ht="14" customHeight="1" x14ac:dyDescent="0.15">
      <c r="A175" s="140" t="s">
        <v>251</v>
      </c>
      <c r="B175" s="526" t="str">
        <f>VLOOKUP(A175,'imp-questions'!A:H,4,FALSE)</f>
        <v>Scalable Baseline</v>
      </c>
      <c r="C175" s="334">
        <f>VLOOKUP(A175,'imp-questions'!A:H,5,FALSE)</f>
        <v>1</v>
      </c>
      <c r="D175" s="302" t="str">
        <f>VLOOKUP(A175,'imp-questions'!A:H,6,FALSE)</f>
        <v>Do you scan applications with automated security testing tools?</v>
      </c>
      <c r="E175" s="146" t="str">
        <f>CHAR(65+VLOOKUP(A175,'imp-questions'!A:H,8,FALSE))</f>
        <v>C</v>
      </c>
      <c r="F175" s="430"/>
      <c r="G175" s="303">
        <f>IFERROR(VLOOKUP(F175,AnsCTBL,2,FALSE),0)</f>
        <v>0</v>
      </c>
      <c r="H175" s="320">
        <f>IFERROR(AVERAGE(G175,G182),0)</f>
        <v>0</v>
      </c>
      <c r="I175" s="493"/>
      <c r="J175" s="534">
        <f>SUM(H175,H177,H179)</f>
        <v>0</v>
      </c>
      <c r="K175" s="449"/>
      <c r="L175" s="441"/>
      <c r="M175" s="438"/>
      <c r="N175" s="121"/>
      <c r="O175" s="121"/>
      <c r="P175" s="1"/>
      <c r="Q175" s="1"/>
      <c r="R175" s="1"/>
      <c r="S175" s="1"/>
      <c r="T175" s="1"/>
      <c r="U175" s="1"/>
      <c r="V175" s="1"/>
      <c r="W175" s="1"/>
      <c r="X175" s="1"/>
      <c r="Y175" s="1"/>
    </row>
    <row r="176" spans="1:25" ht="42" x14ac:dyDescent="0.15">
      <c r="A176"/>
      <c r="B176" s="525"/>
      <c r="C176" s="133"/>
      <c r="D176" s="167" t="str">
        <f>VLOOKUP(A175,'imp-questions'!A:H,7,FALSE)</f>
        <v>You dynamically generate inputs for security tests using automated tools
You choose the security testing tools to fit the organization's architecture and technology stack, and balance depth and accuracy of inspection with usability of findings to the organization</v>
      </c>
      <c r="E176" s="149"/>
      <c r="F176" s="25"/>
      <c r="G176" s="21"/>
      <c r="H176" s="185"/>
      <c r="I176" s="473"/>
      <c r="J176" s="534"/>
      <c r="K176" s="446"/>
      <c r="L176" s="442"/>
      <c r="M176" s="439"/>
      <c r="N176" s="121"/>
      <c r="O176" s="121"/>
      <c r="P176" s="1"/>
      <c r="Q176" s="1"/>
      <c r="R176" s="1"/>
      <c r="S176" s="1"/>
      <c r="T176" s="1"/>
      <c r="U176" s="1"/>
      <c r="V176" s="1"/>
      <c r="W176" s="1"/>
      <c r="X176" s="1"/>
      <c r="Y176" s="1"/>
    </row>
    <row r="177" spans="1:25" x14ac:dyDescent="0.15">
      <c r="A177" s="140" t="s">
        <v>254</v>
      </c>
      <c r="B177" s="525"/>
      <c r="C177" s="182">
        <f>VLOOKUP(A177,'imp-questions'!A:H,5,FALSE)</f>
        <v>2</v>
      </c>
      <c r="D177" s="176" t="str">
        <f>VLOOKUP(A177,'imp-questions'!A:H,6,FALSE)</f>
        <v>Do you customize the automated security tools to your applications and technology stacks?</v>
      </c>
      <c r="E177" s="144" t="str">
        <f>CHAR(65+VLOOKUP(A177,'imp-questions'!A:H,8,FALSE))</f>
        <v>C</v>
      </c>
      <c r="F177" s="431"/>
      <c r="G177" s="17">
        <f>IFERROR(VLOOKUP(F177,AnsCTBL,2,FALSE),0)</f>
        <v>0</v>
      </c>
      <c r="H177" s="184">
        <f>IFERROR(AVERAGE(G177,G184),0)</f>
        <v>0</v>
      </c>
      <c r="I177" s="493"/>
      <c r="J177" s="346"/>
      <c r="K177" s="454"/>
      <c r="L177" s="442"/>
      <c r="M177" s="439"/>
      <c r="N177" s="121"/>
      <c r="O177" s="121"/>
      <c r="P177" s="1"/>
      <c r="Q177" s="1"/>
      <c r="R177" s="1"/>
      <c r="S177" s="1"/>
      <c r="T177" s="1"/>
      <c r="U177" s="1"/>
      <c r="V177" s="1"/>
      <c r="W177" s="1"/>
      <c r="X177" s="1"/>
      <c r="Y177" s="1"/>
    </row>
    <row r="178" spans="1:25" ht="42" x14ac:dyDescent="0.15">
      <c r="A178"/>
      <c r="B178" s="525"/>
      <c r="C178" s="133"/>
      <c r="D178" s="167" t="str">
        <f>VLOOKUP(A177,'imp-questions'!A:H,7,FALSE)</f>
        <v>You tune and select tool features which match your application or technology stack
You minimize false positives by silencing or automatically filter irrelevant warnings or low probability findings
You minimize false negatives by leverage tool extensions or DSLs to customize tools for your application or organizational standards</v>
      </c>
      <c r="E178" s="149"/>
      <c r="F178" s="25"/>
      <c r="G178" s="21"/>
      <c r="H178" s="188"/>
      <c r="I178" s="473"/>
      <c r="J178" s="346"/>
      <c r="K178" s="452"/>
      <c r="L178" s="442"/>
      <c r="M178" s="439"/>
      <c r="N178" s="121"/>
      <c r="O178" s="121"/>
      <c r="P178" s="1"/>
      <c r="Q178" s="1"/>
      <c r="R178" s="1"/>
      <c r="S178" s="1"/>
      <c r="T178" s="1"/>
      <c r="U178" s="1"/>
      <c r="V178" s="1"/>
      <c r="W178" s="1"/>
      <c r="X178" s="1"/>
      <c r="Y178" s="1"/>
    </row>
    <row r="179" spans="1:25" x14ac:dyDescent="0.15">
      <c r="A179" s="140" t="s">
        <v>255</v>
      </c>
      <c r="B179" s="525"/>
      <c r="C179" s="182">
        <f>VLOOKUP(A179,'imp-questions'!A:H,5,FALSE)</f>
        <v>3</v>
      </c>
      <c r="D179" s="176" t="str">
        <f>VLOOKUP(A179,'imp-questions'!A:H,6,FALSE)</f>
        <v>Do you integrate automated security testing into the build and deploy process?</v>
      </c>
      <c r="E179" s="144" t="str">
        <f>CHAR(65+VLOOKUP(A179,'imp-questions'!A:H,8,FALSE))</f>
        <v>X</v>
      </c>
      <c r="F179" s="431"/>
      <c r="G179" s="17">
        <f>IFERROR(VLOOKUP(F179,AnsXTBL,2,FALSE),0)</f>
        <v>0</v>
      </c>
      <c r="H179" s="184">
        <f>IFERROR(AVERAGE(G179,G186),0)</f>
        <v>0</v>
      </c>
      <c r="I179" s="493"/>
      <c r="J179" s="346"/>
      <c r="K179" s="451"/>
      <c r="L179" s="442"/>
      <c r="M179" s="439"/>
      <c r="N179" s="121"/>
      <c r="O179" s="121"/>
      <c r="P179" s="1"/>
      <c r="Q179" s="1"/>
      <c r="R179" s="1"/>
      <c r="S179" s="1"/>
      <c r="T179" s="1"/>
      <c r="U179" s="1"/>
      <c r="V179" s="1"/>
      <c r="W179" s="1"/>
      <c r="X179" s="1"/>
      <c r="Y179" s="1"/>
    </row>
    <row r="180" spans="1:25" ht="28" x14ac:dyDescent="0.15">
      <c r="A180"/>
      <c r="B180" s="527"/>
      <c r="C180" s="153"/>
      <c r="D180" s="159" t="str">
        <f>VLOOKUP(A179,'imp-questions'!A:H,7,FALSE)</f>
        <v>Management and business stakeholders track and review test results throughout the development cycle
You merge test results into a central dashboard and feed them into defect management</v>
      </c>
      <c r="E180" s="149"/>
      <c r="F180" s="25"/>
      <c r="G180" s="21"/>
      <c r="H180" s="188"/>
      <c r="I180" s="473"/>
      <c r="J180" s="346"/>
      <c r="K180" s="452"/>
      <c r="L180" s="443"/>
      <c r="M180" s="440"/>
      <c r="N180" s="121"/>
      <c r="O180" s="121"/>
      <c r="P180" s="1"/>
      <c r="Q180" s="1"/>
      <c r="R180" s="1"/>
      <c r="S180" s="1"/>
      <c r="T180" s="1"/>
      <c r="U180" s="1"/>
      <c r="V180" s="1"/>
      <c r="W180" s="1"/>
      <c r="X180" s="1"/>
      <c r="Y180" s="1"/>
    </row>
    <row r="181" spans="1:25" x14ac:dyDescent="0.15">
      <c r="A181"/>
      <c r="B181" s="305"/>
      <c r="C181" s="306"/>
      <c r="D181" s="306"/>
      <c r="E181" s="306"/>
      <c r="F181" s="306"/>
      <c r="G181" s="306"/>
      <c r="H181" s="306"/>
      <c r="I181" s="349"/>
      <c r="J181" s="350"/>
      <c r="K181" s="349"/>
      <c r="L181" s="349"/>
      <c r="M181" s="351"/>
      <c r="N181" s="121"/>
      <c r="O181" s="121"/>
      <c r="P181" s="1"/>
      <c r="Q181" s="1"/>
      <c r="R181" s="1"/>
      <c r="S181" s="1"/>
      <c r="T181" s="1"/>
      <c r="U181" s="1"/>
      <c r="V181" s="1"/>
      <c r="W181" s="1"/>
      <c r="X181" s="1"/>
      <c r="Y181" s="1"/>
    </row>
    <row r="182" spans="1:25" x14ac:dyDescent="0.15">
      <c r="A182" s="140" t="s">
        <v>257</v>
      </c>
      <c r="B182" s="524" t="str">
        <f>VLOOKUP(A182,'imp-questions'!A:H,4,FALSE)</f>
        <v>Deep Understanding</v>
      </c>
      <c r="C182" s="182">
        <f>VLOOKUP(A182,'imp-questions'!A:H,5,FALSE)</f>
        <v>1</v>
      </c>
      <c r="D182" s="176" t="str">
        <f>VLOOKUP(A182,'imp-questions'!A:H,6,FALSE)</f>
        <v>Do you manually review the security quality of selected high-risk components?</v>
      </c>
      <c r="E182" s="144" t="str">
        <f>CHAR(65+VLOOKUP(A182,'imp-questions'!A:H,8,FALSE))</f>
        <v>M</v>
      </c>
      <c r="F182" s="429"/>
      <c r="G182" s="17">
        <f>IFERROR(VLOOKUP(F182,AnsMTBL,2,FALSE),0)</f>
        <v>0</v>
      </c>
      <c r="H182" s="95"/>
      <c r="I182" s="493"/>
      <c r="J182" s="347"/>
      <c r="K182" s="450"/>
      <c r="L182" s="441"/>
      <c r="M182" s="438"/>
      <c r="N182" s="121"/>
      <c r="O182" s="121"/>
      <c r="P182" s="1"/>
      <c r="Q182" s="1"/>
      <c r="R182" s="1"/>
      <c r="S182" s="1"/>
      <c r="T182" s="1"/>
      <c r="U182" s="1"/>
      <c r="V182" s="1"/>
      <c r="W182" s="1"/>
      <c r="X182" s="1"/>
      <c r="Y182" s="1"/>
    </row>
    <row r="183" spans="1:25" ht="42" x14ac:dyDescent="0.15">
      <c r="A183"/>
      <c r="B183" s="525"/>
      <c r="C183" s="133"/>
      <c r="D183" s="167" t="str">
        <f>VLOOKUP(A182,'imp-questions'!A:H,7,FALSE)</f>
        <v>Criteria exist to help the reviewer focus on high-risk components
Qualified personnel conduct reviews following documented guidelines
You address findings in accordance with the organization's defect management policy</v>
      </c>
      <c r="E183" s="149"/>
      <c r="F183" s="25"/>
      <c r="G183" s="21"/>
      <c r="H183" s="107"/>
      <c r="I183" s="473"/>
      <c r="J183" s="347"/>
      <c r="K183" s="453"/>
      <c r="L183" s="442"/>
      <c r="M183" s="439"/>
      <c r="N183" s="121"/>
      <c r="O183" s="121"/>
      <c r="P183" s="1"/>
      <c r="Q183" s="1"/>
      <c r="R183" s="1"/>
      <c r="S183" s="1"/>
      <c r="T183" s="1"/>
      <c r="U183" s="1"/>
      <c r="V183" s="1"/>
      <c r="W183" s="1"/>
      <c r="X183" s="1"/>
      <c r="Y183" s="1"/>
    </row>
    <row r="184" spans="1:25" x14ac:dyDescent="0.15">
      <c r="A184" s="140" t="s">
        <v>260</v>
      </c>
      <c r="B184" s="525"/>
      <c r="C184" s="182">
        <f>VLOOKUP(A184,'imp-questions'!A:H,5,FALSE)</f>
        <v>2</v>
      </c>
      <c r="D184" s="176" t="str">
        <f>VLOOKUP(A184,'imp-questions'!A:H,6,FALSE)</f>
        <v>Do you perform penetration testing for your applications at regular intervals?</v>
      </c>
      <c r="E184" s="144" t="str">
        <f>CHAR(65+VLOOKUP(A184,'imp-questions'!A:H,8,FALSE))</f>
        <v>F</v>
      </c>
      <c r="F184" s="429"/>
      <c r="G184" s="17">
        <f>IFERROR(VLOOKUP(F184,AnsFTBL,2,FALSE),0)</f>
        <v>0</v>
      </c>
      <c r="H184" s="95"/>
      <c r="I184" s="493"/>
      <c r="J184" s="347"/>
      <c r="K184" s="450"/>
      <c r="L184" s="442"/>
      <c r="M184" s="439"/>
      <c r="N184" s="121"/>
      <c r="O184" s="121"/>
      <c r="P184" s="1"/>
      <c r="Q184" s="1"/>
      <c r="R184" s="1"/>
      <c r="S184" s="1"/>
      <c r="T184" s="1"/>
      <c r="U184" s="1"/>
      <c r="V184" s="1"/>
      <c r="W184" s="1"/>
      <c r="X184" s="1"/>
      <c r="Y184" s="1"/>
    </row>
    <row r="185" spans="1:25" ht="56" x14ac:dyDescent="0.15">
      <c r="A185"/>
      <c r="B185" s="525"/>
      <c r="C185" s="133"/>
      <c r="D185" s="167" t="str">
        <f>VLOOKUP(A184,'imp-questions'!A:H,7,FALSE)</f>
        <v>Penetration testing uses application-specific security test cases to evaluate security
Penetration testing looks for both technical and logical issues in the application
Stakeholders review the test results and handle them in accordance with the organization's risk management
Qualified personnnel performs penetration testing</v>
      </c>
      <c r="E185" s="149"/>
      <c r="F185" s="25"/>
      <c r="G185" s="21"/>
      <c r="H185" s="107"/>
      <c r="I185" s="473"/>
      <c r="J185" s="347"/>
      <c r="K185" s="453"/>
      <c r="L185" s="442"/>
      <c r="M185" s="439"/>
      <c r="N185" s="121"/>
      <c r="O185" s="121"/>
      <c r="P185" s="1"/>
      <c r="Q185" s="1"/>
      <c r="R185" s="1"/>
      <c r="S185" s="1"/>
      <c r="T185" s="1"/>
      <c r="U185" s="1"/>
      <c r="V185" s="1"/>
      <c r="W185" s="1"/>
      <c r="X185" s="1"/>
      <c r="Y185" s="1"/>
    </row>
    <row r="186" spans="1:25" x14ac:dyDescent="0.15">
      <c r="A186" s="140" t="s">
        <v>262</v>
      </c>
      <c r="B186" s="525"/>
      <c r="C186" s="182">
        <f>VLOOKUP(A186,'imp-questions'!A:H,5,FALSE)</f>
        <v>3</v>
      </c>
      <c r="D186" s="176" t="str">
        <f>VLOOKUP(A186,'imp-questions'!A:H,6,FALSE)</f>
        <v>Do you use the results of security testing to improve the development lifecycle?</v>
      </c>
      <c r="E186" s="144" t="str">
        <f>CHAR(65+VLOOKUP(A186,'imp-questions'!A:H,8,FALSE))</f>
        <v>T</v>
      </c>
      <c r="F186" s="431"/>
      <c r="G186" s="161">
        <f>IFERROR(VLOOKUP(F186,AnsTTBL,2,FALSE),0)</f>
        <v>0</v>
      </c>
      <c r="H186" s="95"/>
      <c r="I186" s="493"/>
      <c r="J186" s="347"/>
      <c r="K186" s="450"/>
      <c r="L186" s="442"/>
      <c r="M186" s="439"/>
      <c r="N186" s="121"/>
      <c r="O186" s="121"/>
      <c r="P186" s="1"/>
      <c r="Q186" s="1"/>
      <c r="R186" s="1"/>
      <c r="S186" s="1"/>
      <c r="T186" s="1"/>
      <c r="U186" s="1"/>
      <c r="V186" s="1"/>
      <c r="W186" s="1"/>
      <c r="X186" s="1"/>
      <c r="Y186" s="1"/>
    </row>
    <row r="187" spans="1:25" ht="42" x14ac:dyDescent="0.15">
      <c r="A187"/>
      <c r="B187" s="526"/>
      <c r="C187" s="133"/>
      <c r="D187" s="167" t="str">
        <f>VLOOKUP(A186,'imp-questions'!A:H,7,FALSE)</f>
        <v>You use results from other security activities to improve integrated security testing during development
You review test results and incorporate them into security awareness training and security testing playbooks
Stakeholders review the test results and handle them in accordance with the organization's risk management</v>
      </c>
      <c r="E187" s="145"/>
      <c r="F187" s="317"/>
      <c r="G187" s="318"/>
      <c r="H187" s="319"/>
      <c r="I187" s="473"/>
      <c r="J187" s="348"/>
      <c r="K187" s="448"/>
      <c r="L187" s="443"/>
      <c r="M187" s="440"/>
      <c r="N187" s="121"/>
      <c r="O187" s="121"/>
      <c r="P187" s="1"/>
      <c r="Q187" s="1"/>
      <c r="R187" s="1"/>
      <c r="S187" s="1"/>
      <c r="T187" s="1"/>
      <c r="U187" s="1"/>
      <c r="V187" s="1"/>
      <c r="W187" s="1"/>
      <c r="X187" s="1"/>
      <c r="Y187" s="1"/>
    </row>
    <row r="188" spans="1:25" ht="13" x14ac:dyDescent="0.15">
      <c r="A188"/>
      <c r="B188" s="543" t="s">
        <v>33</v>
      </c>
      <c r="C188" s="544"/>
      <c r="D188" s="544"/>
      <c r="E188" s="544"/>
      <c r="F188" s="544"/>
      <c r="G188" s="544"/>
      <c r="H188" s="544"/>
      <c r="I188" s="544"/>
      <c r="J188" s="544"/>
      <c r="K188" s="405"/>
      <c r="L188" s="405"/>
      <c r="M188" s="406"/>
      <c r="N188" s="121"/>
      <c r="O188" s="121"/>
      <c r="P188" s="1"/>
      <c r="Q188" s="1"/>
      <c r="R188" s="1"/>
      <c r="S188" s="1"/>
      <c r="T188" s="1"/>
      <c r="U188" s="1"/>
      <c r="V188" s="1"/>
      <c r="W188" s="1"/>
      <c r="X188" s="1"/>
      <c r="Y188" s="1"/>
    </row>
    <row r="189" spans="1:25" x14ac:dyDescent="0.15">
      <c r="A189"/>
      <c r="B189" s="535" t="s">
        <v>265</v>
      </c>
      <c r="C189" s="536"/>
      <c r="D189" s="537"/>
      <c r="E189" s="407"/>
      <c r="F189" s="408" t="s">
        <v>31</v>
      </c>
      <c r="G189" s="408"/>
      <c r="H189" s="409"/>
      <c r="I189" s="410" t="s">
        <v>543</v>
      </c>
      <c r="J189" s="411" t="s">
        <v>29</v>
      </c>
      <c r="K189" s="412"/>
      <c r="L189" s="413"/>
      <c r="M189" s="414"/>
      <c r="N189" s="121"/>
      <c r="O189" s="121"/>
      <c r="P189" s="1"/>
      <c r="Q189" s="1"/>
      <c r="R189" s="1"/>
      <c r="S189" s="1"/>
      <c r="T189" s="1"/>
      <c r="U189" s="1"/>
      <c r="V189" s="1"/>
      <c r="W189" s="1"/>
      <c r="X189" s="1"/>
      <c r="Y189" s="1"/>
    </row>
    <row r="190" spans="1:25" x14ac:dyDescent="0.15">
      <c r="A190" s="140" t="s">
        <v>264</v>
      </c>
      <c r="B190" s="551" t="str">
        <f>VLOOKUP(A190,'imp-questions'!A:H,4,FALSE)</f>
        <v>Incident Detection</v>
      </c>
      <c r="C190" s="183">
        <f>VLOOKUP(A190,'imp-questions'!A:H,5,FALSE)</f>
        <v>1</v>
      </c>
      <c r="D190" s="176" t="str">
        <f>VLOOKUP(A190,'imp-questions'!A:H,6,FALSE)</f>
        <v>Do you analyze log data for security incidents periodically?</v>
      </c>
      <c r="E190" s="144" t="str">
        <f>CHAR(65+VLOOKUP(A190,'imp-questions'!A:H,8,FALSE))</f>
        <v>F</v>
      </c>
      <c r="F190" s="429"/>
      <c r="G190" s="17">
        <f>IFERROR(VLOOKUP(F190,AnsFTBL,2,FALSE),0)</f>
        <v>0</v>
      </c>
      <c r="H190" s="184">
        <f>IFERROR(AVERAGE(G190,G197),0)</f>
        <v>0</v>
      </c>
      <c r="I190" s="493" t="s">
        <v>586</v>
      </c>
      <c r="J190" s="538">
        <f>SUM(H190,H192,H194)</f>
        <v>0</v>
      </c>
      <c r="K190" s="445"/>
      <c r="L190" s="441"/>
      <c r="M190" s="438"/>
      <c r="N190" s="121"/>
      <c r="O190" s="121"/>
      <c r="P190" s="1"/>
      <c r="Q190" s="1"/>
      <c r="R190" s="1"/>
      <c r="S190" s="1"/>
      <c r="T190" s="1"/>
      <c r="U190" s="1"/>
      <c r="V190" s="1"/>
      <c r="W190" s="1"/>
      <c r="X190" s="1"/>
      <c r="Y190" s="1"/>
    </row>
    <row r="191" spans="1:25" ht="42" x14ac:dyDescent="0.15">
      <c r="A191"/>
      <c r="B191" s="552"/>
      <c r="C191" s="153"/>
      <c r="D191" s="159" t="str">
        <f>VLOOKUP(A190,'imp-questions'!A:H,7,FALSE)</f>
        <v>You have a contact point for the creation of security incidents
You analyze data in accordance with the log data retention periods
The frequency of this analysis is aligned with the criticality of your applications</v>
      </c>
      <c r="E191" s="149"/>
      <c r="F191" s="154"/>
      <c r="G191" s="20"/>
      <c r="H191" s="185"/>
      <c r="I191" s="473"/>
      <c r="J191" s="539"/>
      <c r="K191" s="446"/>
      <c r="L191" s="442"/>
      <c r="M191" s="439"/>
      <c r="N191" s="121"/>
      <c r="O191" s="121"/>
      <c r="P191" s="1"/>
      <c r="Q191" s="1"/>
      <c r="R191" s="1"/>
      <c r="S191" s="1"/>
      <c r="T191" s="1"/>
      <c r="U191" s="1"/>
      <c r="V191" s="1"/>
      <c r="W191" s="1"/>
      <c r="X191" s="1"/>
      <c r="Y191" s="1"/>
    </row>
    <row r="192" spans="1:25" x14ac:dyDescent="0.15">
      <c r="A192" s="140" t="s">
        <v>267</v>
      </c>
      <c r="B192" s="552"/>
      <c r="C192" s="183">
        <f>VLOOKUP(A192,'imp-questions'!A:H,5,FALSE)</f>
        <v>2</v>
      </c>
      <c r="D192" s="176" t="str">
        <f>VLOOKUP(A192,'imp-questions'!A:H,6,FALSE)</f>
        <v>Do you follow a documented process for incident detection?</v>
      </c>
      <c r="E192" s="144" t="str">
        <f>CHAR(65+VLOOKUP(A192,'imp-questions'!A:H,8,FALSE))</f>
        <v>F</v>
      </c>
      <c r="F192" s="429"/>
      <c r="G192" s="17">
        <f>IFERROR(VLOOKUP(F192,AnsFTBL,2,FALSE),0)</f>
        <v>0</v>
      </c>
      <c r="H192" s="184">
        <f>IFERROR(AVERAGE(G192,G199),0)</f>
        <v>0</v>
      </c>
      <c r="I192" s="493" t="s">
        <v>586</v>
      </c>
      <c r="J192" s="187"/>
      <c r="K192" s="445"/>
      <c r="L192" s="442"/>
      <c r="M192" s="439"/>
      <c r="N192" s="121"/>
      <c r="O192" s="121"/>
      <c r="P192" s="1"/>
      <c r="Q192" s="1"/>
      <c r="R192" s="1"/>
      <c r="S192" s="1"/>
      <c r="T192" s="1"/>
      <c r="U192" s="1"/>
      <c r="V192" s="1"/>
      <c r="W192" s="1"/>
      <c r="X192" s="1"/>
      <c r="Y192" s="1"/>
    </row>
    <row r="193" spans="1:25" ht="70" x14ac:dyDescent="0.15">
      <c r="A193"/>
      <c r="B193" s="552"/>
      <c r="C193" s="153"/>
      <c r="D193" s="159" t="str">
        <f>VLOOKUP(A192,'imp-questions'!A:H,7,FALSE)</f>
        <v>The process has a dedicated owner
You store process documentation in an accessible location
The process considers an escalation path for further analysis
You train employees responsible for incident detection in this process
You have a checklist of potential attacks to simplify incident detection</v>
      </c>
      <c r="E193" s="149"/>
      <c r="F193" s="24"/>
      <c r="G193" s="20"/>
      <c r="H193" s="188"/>
      <c r="I193" s="473"/>
      <c r="J193" s="187"/>
      <c r="K193" s="446"/>
      <c r="L193" s="442"/>
      <c r="M193" s="439"/>
      <c r="N193" s="121"/>
      <c r="O193" s="121"/>
      <c r="P193" s="1"/>
      <c r="Q193" s="1"/>
      <c r="R193" s="1"/>
      <c r="S193" s="1"/>
      <c r="T193" s="1"/>
      <c r="U193" s="1"/>
      <c r="V193" s="1"/>
      <c r="W193" s="1"/>
      <c r="X193" s="1"/>
      <c r="Y193" s="1"/>
    </row>
    <row r="194" spans="1:25" x14ac:dyDescent="0.15">
      <c r="A194" s="140" t="s">
        <v>268</v>
      </c>
      <c r="B194" s="552"/>
      <c r="C194" s="183">
        <f>VLOOKUP(A194,'imp-questions'!A:H,5,FALSE)</f>
        <v>3</v>
      </c>
      <c r="D194" s="176" t="str">
        <f>VLOOKUP(A194,'imp-questions'!A:H,6,FALSE)</f>
        <v>Do you review and update the incident detection process regularly?</v>
      </c>
      <c r="E194" s="144" t="str">
        <f>CHAR(65+VLOOKUP(A194,'imp-questions'!A:H,8,FALSE))</f>
        <v>F</v>
      </c>
      <c r="F194" s="429"/>
      <c r="G194" s="17">
        <f>IFERROR(VLOOKUP(F194,AnsFTBL,2,FALSE),0)</f>
        <v>0</v>
      </c>
      <c r="H194" s="184">
        <f>IFERROR(AVERAGE(G194,G201),0)</f>
        <v>0</v>
      </c>
      <c r="I194" s="493" t="s">
        <v>586</v>
      </c>
      <c r="J194" s="187"/>
      <c r="K194" s="445"/>
      <c r="L194" s="442"/>
      <c r="M194" s="439"/>
      <c r="N194" s="121"/>
      <c r="O194" s="121"/>
      <c r="P194" s="1"/>
      <c r="Q194" s="1"/>
      <c r="R194" s="1"/>
      <c r="S194" s="1"/>
      <c r="T194" s="1"/>
      <c r="U194" s="1"/>
      <c r="V194" s="1"/>
      <c r="W194" s="1"/>
      <c r="X194" s="1"/>
      <c r="Y194" s="1"/>
    </row>
    <row r="195" spans="1:25" ht="28" x14ac:dyDescent="0.15">
      <c r="A195"/>
      <c r="B195" s="553"/>
      <c r="C195" s="153"/>
      <c r="D195" s="159" t="str">
        <f>VLOOKUP(A194,'imp-questions'!A:H,7,FALSE)</f>
        <v>You perform reviews at least annually
You update the checklist of potential attacks with external and internal data</v>
      </c>
      <c r="E195" s="149"/>
      <c r="F195" s="154"/>
      <c r="G195" s="20"/>
      <c r="H195" s="188"/>
      <c r="I195" s="473"/>
      <c r="J195" s="187"/>
      <c r="K195" s="446"/>
      <c r="L195" s="443"/>
      <c r="M195" s="440"/>
      <c r="N195" s="121"/>
      <c r="O195" s="121"/>
      <c r="P195" s="1"/>
      <c r="Q195" s="1"/>
      <c r="R195" s="1"/>
      <c r="S195" s="1"/>
      <c r="T195" s="1"/>
      <c r="U195" s="1"/>
      <c r="V195" s="1"/>
      <c r="W195" s="1"/>
      <c r="X195" s="1"/>
      <c r="Y195" s="1"/>
    </row>
    <row r="196" spans="1:25" x14ac:dyDescent="0.15">
      <c r="A196"/>
      <c r="B196" s="305"/>
      <c r="C196" s="306"/>
      <c r="D196" s="306"/>
      <c r="E196" s="306"/>
      <c r="F196" s="306"/>
      <c r="G196" s="306"/>
      <c r="H196" s="306"/>
      <c r="I196" s="349"/>
      <c r="J196" s="350"/>
      <c r="K196" s="349"/>
      <c r="L196" s="349"/>
      <c r="M196" s="351"/>
      <c r="N196" s="121"/>
      <c r="O196" s="121"/>
      <c r="P196" s="1"/>
      <c r="Q196" s="1"/>
      <c r="R196" s="1"/>
      <c r="S196" s="1"/>
      <c r="T196" s="1"/>
      <c r="U196" s="1"/>
      <c r="V196" s="1"/>
      <c r="W196" s="1"/>
      <c r="X196" s="1"/>
      <c r="Y196" s="1"/>
    </row>
    <row r="197" spans="1:25" x14ac:dyDescent="0.15">
      <c r="A197" s="140" t="s">
        <v>270</v>
      </c>
      <c r="B197" s="551" t="str">
        <f>VLOOKUP(A197,'imp-questions'!A:H,4,FALSE)</f>
        <v>Incident Response</v>
      </c>
      <c r="C197" s="183">
        <f>VLOOKUP(A197,'imp-questions'!A:H,5,FALSE)</f>
        <v>1</v>
      </c>
      <c r="D197" s="176" t="str">
        <f>VLOOKUP(A197,'imp-questions'!A:H,6,FALSE)</f>
        <v>Do you respond to detected incidents?</v>
      </c>
      <c r="E197" s="144" t="str">
        <f>CHAR(65+VLOOKUP(A197,'imp-questions'!A:H,8,FALSE))</f>
        <v>R</v>
      </c>
      <c r="F197" s="425"/>
      <c r="G197" s="17">
        <f>IFERROR(VLOOKUP(F197,AnsRTBL,2,FALSE),0)</f>
        <v>0</v>
      </c>
      <c r="H197" s="95"/>
      <c r="I197" s="493" t="s">
        <v>586</v>
      </c>
      <c r="J197" s="11"/>
      <c r="K197" s="447"/>
      <c r="L197" s="441"/>
      <c r="M197" s="438"/>
      <c r="N197" s="121"/>
      <c r="O197" s="121"/>
      <c r="P197" s="1"/>
      <c r="Q197" s="1"/>
      <c r="R197" s="1"/>
      <c r="S197" s="1"/>
      <c r="T197" s="1"/>
      <c r="U197" s="1"/>
      <c r="V197" s="1"/>
      <c r="W197" s="1"/>
      <c r="X197" s="1"/>
      <c r="Y197" s="1"/>
    </row>
    <row r="198" spans="1:25" ht="28" x14ac:dyDescent="0.15">
      <c r="A198"/>
      <c r="B198" s="552"/>
      <c r="C198" s="153"/>
      <c r="D198" s="159" t="str">
        <f>VLOOKUP(A197,'imp-questions'!A:H,7,FALSE)</f>
        <v>You have a defined person or role for incident handling
You document security incidents</v>
      </c>
      <c r="E198" s="149"/>
      <c r="F198" s="154"/>
      <c r="G198" s="20"/>
      <c r="H198" s="108"/>
      <c r="I198" s="473"/>
      <c r="J198" s="11"/>
      <c r="K198" s="448"/>
      <c r="L198" s="442"/>
      <c r="M198" s="439"/>
      <c r="N198" s="121"/>
      <c r="O198" s="121"/>
      <c r="P198" s="1"/>
      <c r="Q198" s="1"/>
      <c r="R198" s="1"/>
      <c r="S198" s="1"/>
      <c r="T198" s="1"/>
      <c r="U198" s="1"/>
      <c r="V198" s="1"/>
      <c r="W198" s="1"/>
      <c r="X198" s="1"/>
      <c r="Y198" s="1"/>
    </row>
    <row r="199" spans="1:25" x14ac:dyDescent="0.15">
      <c r="A199" s="140" t="s">
        <v>272</v>
      </c>
      <c r="B199" s="552"/>
      <c r="C199" s="183">
        <f>VLOOKUP(A199,'imp-questions'!A:H,5,FALSE)</f>
        <v>2</v>
      </c>
      <c r="D199" s="176" t="str">
        <f>VLOOKUP(A199,'imp-questions'!A:H,6,FALSE)</f>
        <v>Do you use a repeatable process for incident handling?</v>
      </c>
      <c r="E199" s="144" t="str">
        <f>CHAR(65+VLOOKUP(A199,'imp-questions'!A:H,8,FALSE))</f>
        <v>Q</v>
      </c>
      <c r="F199" s="426"/>
      <c r="G199" s="17">
        <f>IFERROR(VLOOKUP(F199,AnsQTBL,2,FALSE),0)</f>
        <v>0</v>
      </c>
      <c r="H199" s="95"/>
      <c r="I199" s="493" t="s">
        <v>596</v>
      </c>
      <c r="J199" s="11"/>
      <c r="K199" s="447"/>
      <c r="L199" s="442"/>
      <c r="M199" s="439"/>
      <c r="N199" s="121"/>
      <c r="O199" s="121"/>
      <c r="P199" s="1"/>
      <c r="Q199" s="1"/>
      <c r="R199" s="1"/>
      <c r="S199" s="1"/>
      <c r="T199" s="1"/>
      <c r="U199" s="1"/>
      <c r="V199" s="1"/>
      <c r="W199" s="1"/>
      <c r="X199" s="1"/>
      <c r="Y199" s="1"/>
    </row>
    <row r="200" spans="1:25" ht="56" x14ac:dyDescent="0.15">
      <c r="A200"/>
      <c r="B200" s="552"/>
      <c r="C200" s="153"/>
      <c r="D200" s="159" t="str">
        <f>VLOOKUP(A199,'imp-questions'!A:H,7,FALSE)</f>
        <v>You have an agreed upon incident classification
The process considers Root Case Analysis for high severity incidents
Employees responsible for incident response are trained in this process
Forensic analysis tooling is available</v>
      </c>
      <c r="E200" s="149"/>
      <c r="F200" s="154"/>
      <c r="G200" s="20"/>
      <c r="H200" s="108"/>
      <c r="I200" s="473"/>
      <c r="J200" s="11"/>
      <c r="K200" s="448"/>
      <c r="L200" s="442"/>
      <c r="M200" s="439"/>
      <c r="N200" s="121"/>
      <c r="O200" s="121"/>
      <c r="P200" s="1"/>
      <c r="Q200" s="1"/>
      <c r="R200" s="1"/>
      <c r="S200" s="1"/>
      <c r="T200" s="1"/>
      <c r="U200" s="1"/>
      <c r="V200" s="1"/>
      <c r="W200" s="1"/>
      <c r="X200" s="1"/>
      <c r="Y200" s="1"/>
    </row>
    <row r="201" spans="1:25" x14ac:dyDescent="0.15">
      <c r="A201" s="140" t="s">
        <v>273</v>
      </c>
      <c r="B201" s="552"/>
      <c r="C201" s="183">
        <f>VLOOKUP(A201,'imp-questions'!A:H,5,FALSE)</f>
        <v>3</v>
      </c>
      <c r="D201" s="176" t="str">
        <f>VLOOKUP(A201,'imp-questions'!A:H,6,FALSE)</f>
        <v>Do you have a dedicated incident response team available?</v>
      </c>
      <c r="E201" s="144" t="str">
        <f>CHAR(65+VLOOKUP(A201,'imp-questions'!A:H,8,FALSE))</f>
        <v>H</v>
      </c>
      <c r="F201" s="426"/>
      <c r="G201" s="17">
        <f>IFERROR(VLOOKUP(F201,AnsHTBL,2,FALSE),0)</f>
        <v>0</v>
      </c>
      <c r="H201" s="95"/>
      <c r="I201" s="493" t="s">
        <v>597</v>
      </c>
      <c r="J201" s="11"/>
      <c r="K201" s="447"/>
      <c r="L201" s="442"/>
      <c r="M201" s="439"/>
      <c r="N201" s="121"/>
      <c r="O201" s="121"/>
      <c r="P201" s="1"/>
      <c r="Q201" s="1"/>
      <c r="R201" s="1"/>
      <c r="S201" s="1"/>
      <c r="T201" s="1"/>
      <c r="U201" s="1"/>
      <c r="V201" s="1"/>
      <c r="W201" s="1"/>
      <c r="X201" s="1"/>
      <c r="Y201" s="1"/>
    </row>
    <row r="202" spans="1:25" ht="28" x14ac:dyDescent="0.15">
      <c r="A202"/>
      <c r="B202" s="553"/>
      <c r="C202" s="153"/>
      <c r="D202" s="159" t="str">
        <f>VLOOKUP(A201,'imp-questions'!A:H,7,FALSE)</f>
        <v>The team performs Root Cause Analysis for all security incidents unless there is a specific reason not to do so
You review and update the response process at least annually</v>
      </c>
      <c r="E202" s="149"/>
      <c r="F202" s="154"/>
      <c r="G202" s="20"/>
      <c r="H202" s="108"/>
      <c r="I202" s="473"/>
      <c r="J202" s="11"/>
      <c r="K202" s="448"/>
      <c r="L202" s="443"/>
      <c r="M202" s="440"/>
      <c r="N202" s="121"/>
      <c r="O202" s="121"/>
      <c r="P202" s="1"/>
      <c r="Q202" s="1"/>
      <c r="R202" s="1"/>
      <c r="S202" s="1"/>
      <c r="T202" s="1"/>
      <c r="U202" s="1"/>
      <c r="V202" s="1"/>
      <c r="W202" s="1"/>
      <c r="X202" s="1"/>
      <c r="Y202" s="1"/>
    </row>
    <row r="203" spans="1:25" x14ac:dyDescent="0.15">
      <c r="A203"/>
      <c r="B203" s="558" t="s">
        <v>275</v>
      </c>
      <c r="C203" s="559"/>
      <c r="D203" s="560"/>
      <c r="E203" s="137"/>
      <c r="F203" s="76" t="s">
        <v>31</v>
      </c>
      <c r="G203" s="76"/>
      <c r="H203" s="115"/>
      <c r="I203" s="415" t="s">
        <v>543</v>
      </c>
      <c r="J203" s="416" t="s">
        <v>29</v>
      </c>
      <c r="K203" s="417"/>
      <c r="L203" s="418"/>
      <c r="M203" s="419"/>
      <c r="N203" s="121"/>
      <c r="O203" s="121"/>
      <c r="P203" s="1"/>
      <c r="Q203" s="1"/>
      <c r="R203" s="1"/>
      <c r="S203" s="1"/>
      <c r="T203" s="1"/>
      <c r="U203" s="1"/>
      <c r="V203" s="1"/>
      <c r="W203" s="1"/>
      <c r="X203" s="1"/>
      <c r="Y203" s="1"/>
    </row>
    <row r="204" spans="1:25" ht="30" customHeight="1" x14ac:dyDescent="0.15">
      <c r="A204" s="140" t="s">
        <v>274</v>
      </c>
      <c r="B204" s="551" t="str">
        <f>VLOOKUP(A204,'imp-questions'!A:H,4,FALSE)</f>
        <v>Configuration Hardening</v>
      </c>
      <c r="C204" s="183">
        <f>VLOOKUP(A204,'imp-questions'!A:H,5,FALSE)</f>
        <v>1</v>
      </c>
      <c r="D204" s="176" t="str">
        <f>VLOOKUP(A204,'imp-questions'!A:H,6,FALSE)</f>
        <v>Do you harden configurations for key components of your technology stacks?</v>
      </c>
      <c r="E204" s="144" t="str">
        <f>CHAR(65+VLOOKUP(A204,'imp-questions'!A:H,8,FALSE))</f>
        <v>M</v>
      </c>
      <c r="F204" s="429"/>
      <c r="G204" s="17">
        <f>IFERROR(VLOOKUP(F204,AnsMTBL,2,FALSE),0)</f>
        <v>0</v>
      </c>
      <c r="H204" s="184">
        <f>IFERROR(AVERAGE(G204,G211),0)</f>
        <v>0</v>
      </c>
      <c r="I204" s="493" t="s">
        <v>598</v>
      </c>
      <c r="J204" s="538">
        <f>SUM(H204,H206,H208)</f>
        <v>1</v>
      </c>
      <c r="K204" s="445"/>
      <c r="L204" s="441"/>
      <c r="M204" s="438"/>
      <c r="N204" s="121"/>
      <c r="O204" s="121"/>
      <c r="P204" s="1"/>
      <c r="Q204" s="1"/>
      <c r="R204" s="1"/>
      <c r="S204" s="1"/>
      <c r="T204" s="1"/>
      <c r="U204" s="1"/>
      <c r="V204" s="1"/>
      <c r="W204" s="1"/>
      <c r="X204" s="1"/>
      <c r="Y204" s="1"/>
    </row>
    <row r="205" spans="1:25" ht="28" x14ac:dyDescent="0.15">
      <c r="A205"/>
      <c r="B205" s="552"/>
      <c r="C205" s="153"/>
      <c r="D205" s="159" t="str">
        <f>VLOOKUP(A204,'imp-questions'!A:H,7,FALSE)</f>
        <v>You have identified the key components in each technology stack used
You have an established configuration standard for each key component</v>
      </c>
      <c r="E205" s="149"/>
      <c r="F205" s="433"/>
      <c r="G205" s="20"/>
      <c r="H205" s="185"/>
      <c r="I205" s="473"/>
      <c r="J205" s="539"/>
      <c r="K205" s="446"/>
      <c r="L205" s="442"/>
      <c r="M205" s="439"/>
      <c r="N205" s="121"/>
      <c r="O205" s="121"/>
      <c r="P205" s="1"/>
      <c r="Q205" s="1"/>
      <c r="R205" s="1"/>
      <c r="S205" s="1"/>
      <c r="T205" s="1"/>
      <c r="U205" s="1"/>
      <c r="V205" s="1"/>
      <c r="W205" s="1"/>
      <c r="X205" s="1"/>
      <c r="Y205" s="1"/>
    </row>
    <row r="206" spans="1:25" x14ac:dyDescent="0.15">
      <c r="A206" s="140" t="s">
        <v>277</v>
      </c>
      <c r="B206" s="552"/>
      <c r="C206" s="183">
        <f>VLOOKUP(A206,'imp-questions'!A:H,5,FALSE)</f>
        <v>2</v>
      </c>
      <c r="D206" s="176" t="str">
        <f>VLOOKUP(A206,'imp-questions'!A:H,6,FALSE)</f>
        <v>Do you have hardening baselines for your components?</v>
      </c>
      <c r="E206" s="144" t="str">
        <f>CHAR(65+VLOOKUP(A206,'imp-questions'!A:H,8,FALSE))</f>
        <v>M</v>
      </c>
      <c r="F206" s="426"/>
      <c r="G206" s="17">
        <f>IFERROR(VLOOKUP(F206,AnsMTBL,2,FALSE),0)</f>
        <v>0</v>
      </c>
      <c r="H206" s="184">
        <f>IFERROR(AVERAGE(G206,G213),0)</f>
        <v>0.5</v>
      </c>
      <c r="I206" s="493"/>
      <c r="J206" s="187"/>
      <c r="K206" s="445"/>
      <c r="L206" s="442"/>
      <c r="M206" s="439"/>
      <c r="N206" s="121"/>
      <c r="O206" s="121"/>
      <c r="P206" s="1"/>
      <c r="Q206" s="1"/>
      <c r="R206" s="1"/>
      <c r="S206" s="1"/>
      <c r="T206" s="1"/>
      <c r="U206" s="1"/>
      <c r="V206" s="1"/>
      <c r="W206" s="1"/>
      <c r="X206" s="1"/>
      <c r="Y206" s="1"/>
    </row>
    <row r="207" spans="1:25" ht="56" x14ac:dyDescent="0.15">
      <c r="A207"/>
      <c r="B207" s="552"/>
      <c r="C207" s="153"/>
      <c r="D207" s="159" t="str">
        <f>VLOOKUP(A206,'imp-questions'!A:H,7,FALSE)</f>
        <v>You have assigned an owner for each baseline
The owner keeps their assigned baselines up to date
You store baselines in an accessible location
You train employees responsible for configurations in these baselines</v>
      </c>
      <c r="E207" s="149"/>
      <c r="F207" s="433"/>
      <c r="G207" s="20"/>
      <c r="H207" s="188"/>
      <c r="I207" s="473"/>
      <c r="J207" s="187"/>
      <c r="K207" s="446"/>
      <c r="L207" s="442"/>
      <c r="M207" s="439"/>
      <c r="N207" s="121"/>
      <c r="O207" s="121"/>
      <c r="P207" s="1"/>
      <c r="Q207" s="1"/>
      <c r="R207" s="1"/>
      <c r="S207" s="1"/>
      <c r="T207" s="1"/>
      <c r="U207" s="1"/>
      <c r="V207" s="1"/>
      <c r="W207" s="1"/>
      <c r="X207" s="1"/>
      <c r="Y207" s="1"/>
    </row>
    <row r="208" spans="1:25" x14ac:dyDescent="0.15">
      <c r="A208" s="140" t="s">
        <v>278</v>
      </c>
      <c r="B208" s="552"/>
      <c r="C208" s="183">
        <f>VLOOKUP(A208,'imp-questions'!A:H,5,FALSE)</f>
        <v>3</v>
      </c>
      <c r="D208" s="176" t="str">
        <f>VLOOKUP(A208,'imp-questions'!A:H,6,FALSE)</f>
        <v>Do you monitor and enforce conformity with hardening baselines?</v>
      </c>
      <c r="E208" s="144" t="str">
        <f>CHAR(65+VLOOKUP(A208,'imp-questions'!A:H,8,FALSE))</f>
        <v>M</v>
      </c>
      <c r="F208" s="426"/>
      <c r="G208" s="17">
        <f>IFERROR(VLOOKUP(F208,AnsMTBL,2,FALSE),0)</f>
        <v>0</v>
      </c>
      <c r="H208" s="184">
        <f>IFERROR(AVERAGE(G208,G215),0)</f>
        <v>0.5</v>
      </c>
      <c r="I208" s="493"/>
      <c r="J208" s="187"/>
      <c r="K208" s="445"/>
      <c r="L208" s="442"/>
      <c r="M208" s="439"/>
      <c r="N208" s="121"/>
      <c r="O208" s="121"/>
      <c r="P208" s="1"/>
      <c r="Q208" s="1"/>
      <c r="R208" s="1"/>
      <c r="S208" s="1"/>
      <c r="T208" s="1"/>
      <c r="U208" s="1"/>
      <c r="V208" s="1"/>
      <c r="W208" s="1"/>
      <c r="X208" s="1"/>
      <c r="Y208" s="1"/>
    </row>
    <row r="209" spans="1:25" ht="56" x14ac:dyDescent="0.15">
      <c r="A209"/>
      <c r="B209" s="553"/>
      <c r="C209" s="153"/>
      <c r="D209" s="159" t="str">
        <f>VLOOKUP(A208,'imp-questions'!A:H,7,FALSE)</f>
        <v>You perform conformity checks regularly, preferably using automation
You store conformity check results in an accessible location
You follow an established process to address reported non-conformities
You review each baseline at least annually, and update it when required</v>
      </c>
      <c r="E209" s="149"/>
      <c r="F209" s="433"/>
      <c r="G209" s="20"/>
      <c r="H209" s="188"/>
      <c r="I209" s="473"/>
      <c r="J209" s="187"/>
      <c r="K209" s="446"/>
      <c r="L209" s="443"/>
      <c r="M209" s="440"/>
      <c r="N209" s="121"/>
      <c r="O209" s="121"/>
      <c r="P209" s="1"/>
      <c r="Q209" s="1"/>
      <c r="R209" s="1"/>
      <c r="S209" s="1"/>
      <c r="T209" s="1"/>
      <c r="U209" s="1"/>
      <c r="V209" s="1"/>
      <c r="W209" s="1"/>
      <c r="X209" s="1"/>
      <c r="Y209" s="1"/>
    </row>
    <row r="210" spans="1:25" x14ac:dyDescent="0.15">
      <c r="A210"/>
      <c r="B210" s="305"/>
      <c r="C210" s="306"/>
      <c r="D210" s="306"/>
      <c r="E210" s="306"/>
      <c r="F210" s="349"/>
      <c r="G210" s="306"/>
      <c r="H210" s="306"/>
      <c r="I210" s="349"/>
      <c r="J210" s="350"/>
      <c r="K210" s="349"/>
      <c r="L210" s="349"/>
      <c r="M210" s="351"/>
      <c r="N210" s="121"/>
      <c r="O210" s="121"/>
      <c r="P210" s="1"/>
      <c r="Q210" s="1"/>
      <c r="R210" s="1"/>
      <c r="S210" s="1"/>
      <c r="T210" s="1"/>
      <c r="U210" s="1"/>
      <c r="V210" s="1"/>
      <c r="W210" s="1"/>
      <c r="X210" s="1"/>
      <c r="Y210" s="1"/>
    </row>
    <row r="211" spans="1:25" x14ac:dyDescent="0.15">
      <c r="A211" s="140" t="s">
        <v>279</v>
      </c>
      <c r="B211" s="551" t="str">
        <f>VLOOKUP(A211,'imp-questions'!A:H,4,FALSE)</f>
        <v>Patching and Updating</v>
      </c>
      <c r="C211" s="183">
        <f>VLOOKUP(A211,'imp-questions'!A:H,5,FALSE)</f>
        <v>1</v>
      </c>
      <c r="D211" s="176" t="str">
        <f>VLOOKUP(A211,'imp-questions'!A:H,6,FALSE)</f>
        <v>Do you identify and patch vulnerable components?</v>
      </c>
      <c r="E211" s="144" t="str">
        <f>CHAR(65+VLOOKUP(A211,'imp-questions'!A:H,8,FALSE))</f>
        <v>M</v>
      </c>
      <c r="F211" s="425"/>
      <c r="G211" s="17">
        <f>IFERROR(VLOOKUP(F211,AnsMTBL,2,FALSE),0)</f>
        <v>0</v>
      </c>
      <c r="H211" s="95"/>
      <c r="I211" s="493" t="s">
        <v>599</v>
      </c>
      <c r="J211" s="11"/>
      <c r="K211" s="447"/>
      <c r="L211" s="441"/>
      <c r="M211" s="438"/>
      <c r="N211" s="121"/>
      <c r="O211" s="121"/>
      <c r="P211" s="1"/>
      <c r="Q211" s="1"/>
      <c r="R211" s="1"/>
      <c r="S211" s="1"/>
      <c r="T211" s="1"/>
      <c r="U211" s="1"/>
      <c r="V211" s="1"/>
      <c r="W211" s="1"/>
      <c r="X211" s="1"/>
      <c r="Y211" s="1"/>
    </row>
    <row r="212" spans="1:25" ht="28" x14ac:dyDescent="0.15">
      <c r="A212"/>
      <c r="B212" s="552"/>
      <c r="C212" s="153"/>
      <c r="D212" s="159" t="str">
        <f>VLOOKUP(A211,'imp-questions'!A:H,7,FALSE)</f>
        <v>You have an up-to-date list of components, including version information
You regularly review public sources for vulnerabilities related to your components</v>
      </c>
      <c r="E212" s="149"/>
      <c r="F212" s="433"/>
      <c r="G212" s="20"/>
      <c r="H212" s="108"/>
      <c r="I212" s="473"/>
      <c r="J212" s="11"/>
      <c r="K212" s="448"/>
      <c r="L212" s="442"/>
      <c r="M212" s="439"/>
      <c r="N212" s="121"/>
      <c r="O212" s="121"/>
      <c r="P212" s="1"/>
      <c r="Q212" s="1"/>
      <c r="R212" s="1"/>
      <c r="S212" s="1"/>
      <c r="T212" s="1"/>
      <c r="U212" s="1"/>
      <c r="V212" s="1"/>
      <c r="W212" s="1"/>
      <c r="X212" s="1"/>
      <c r="Y212" s="1"/>
    </row>
    <row r="213" spans="1:25" x14ac:dyDescent="0.15">
      <c r="A213" s="140" t="s">
        <v>282</v>
      </c>
      <c r="B213" s="552"/>
      <c r="C213" s="183">
        <f>VLOOKUP(A213,'imp-questions'!A:H,5,FALSE)</f>
        <v>2</v>
      </c>
      <c r="D213" s="176" t="str">
        <f>VLOOKUP(A213,'imp-questions'!A:H,6,FALSE)</f>
        <v>Do you follow an established process for updating components of your technology stacks?</v>
      </c>
      <c r="E213" s="144" t="str">
        <f>CHAR(65+VLOOKUP(A213,'imp-questions'!A:H,8,FALSE))</f>
        <v>M</v>
      </c>
      <c r="F213" s="426" t="s">
        <v>326</v>
      </c>
      <c r="G213" s="17">
        <f>IFERROR(VLOOKUP(F213,AnsMTBL,2,FALSE),0)</f>
        <v>1</v>
      </c>
      <c r="H213" s="95"/>
      <c r="I213" s="493"/>
      <c r="J213" s="11"/>
      <c r="K213" s="447"/>
      <c r="L213" s="442"/>
      <c r="M213" s="439"/>
      <c r="N213" s="121"/>
      <c r="O213" s="121"/>
      <c r="P213" s="1"/>
      <c r="Q213" s="1"/>
      <c r="R213" s="1"/>
      <c r="S213" s="1"/>
      <c r="T213" s="1"/>
      <c r="U213" s="1"/>
      <c r="V213" s="1"/>
      <c r="W213" s="1"/>
      <c r="X213" s="1"/>
      <c r="Y213" s="1"/>
    </row>
    <row r="214" spans="1:25" ht="42" x14ac:dyDescent="0.15">
      <c r="A214"/>
      <c r="B214" s="552"/>
      <c r="C214" s="153"/>
      <c r="D214" s="159" t="str">
        <f>VLOOKUP(A213,'imp-questions'!A:H,7,FALSE)</f>
        <v>The process includes vendor information for third-party patches
The process considers external sources to gather information about zero day attacks, and includes appropriate risk mitigation steps
The process includes guidance for prioritizing component updates</v>
      </c>
      <c r="E214" s="149"/>
      <c r="F214" s="433"/>
      <c r="G214" s="150"/>
      <c r="H214" s="155"/>
      <c r="I214" s="473"/>
      <c r="J214" s="11"/>
      <c r="K214" s="448"/>
      <c r="L214" s="442"/>
      <c r="M214" s="439"/>
      <c r="N214" s="121"/>
      <c r="O214" s="121"/>
      <c r="P214" s="1"/>
      <c r="Q214" s="1"/>
      <c r="R214" s="1"/>
      <c r="S214" s="1"/>
      <c r="T214" s="1"/>
      <c r="U214" s="1"/>
      <c r="V214" s="1"/>
      <c r="W214" s="1"/>
      <c r="X214" s="1"/>
      <c r="Y214" s="1"/>
    </row>
    <row r="215" spans="1:25" x14ac:dyDescent="0.15">
      <c r="A215" s="140" t="s">
        <v>283</v>
      </c>
      <c r="B215" s="552"/>
      <c r="C215" s="183">
        <f>VLOOKUP(A215,'imp-questions'!A:H,5,FALSE)</f>
        <v>3</v>
      </c>
      <c r="D215" s="176" t="str">
        <f>VLOOKUP(A215,'imp-questions'!A:H,6,FALSE)</f>
        <v>Do you regularly evaluate components and review patch level status?</v>
      </c>
      <c r="E215" s="144" t="str">
        <f>CHAR(65+VLOOKUP(A215,'imp-questions'!A:H,8,FALSE))</f>
        <v>M</v>
      </c>
      <c r="F215" s="426" t="s">
        <v>326</v>
      </c>
      <c r="G215" s="17">
        <f>IFERROR(VLOOKUP(F215,AnsMTBL,2,FALSE),0)</f>
        <v>1</v>
      </c>
      <c r="H215" s="95"/>
      <c r="I215" s="493"/>
      <c r="J215" s="11"/>
      <c r="K215" s="447"/>
      <c r="L215" s="442"/>
      <c r="M215" s="439"/>
      <c r="N215" s="121"/>
      <c r="O215" s="121"/>
      <c r="P215" s="1"/>
      <c r="Q215" s="1"/>
      <c r="R215" s="1"/>
      <c r="S215" s="1"/>
      <c r="T215" s="1"/>
      <c r="U215" s="1"/>
      <c r="V215" s="1"/>
      <c r="W215" s="1"/>
      <c r="X215" s="1"/>
      <c r="Y215" s="1"/>
    </row>
    <row r="216" spans="1:25" ht="42" x14ac:dyDescent="0.15">
      <c r="A216"/>
      <c r="B216" s="554"/>
      <c r="C216" s="133"/>
      <c r="D216" s="167" t="str">
        <f>VLOOKUP(A215,'imp-questions'!A:H,7,FALSE)</f>
        <v>You update the list with components and versions
You identify and update missing updates according to existing SLA
You review and update the process based on feedback from the people who perform patching</v>
      </c>
      <c r="E216" s="145"/>
      <c r="F216" s="434"/>
      <c r="G216" s="20"/>
      <c r="H216" s="108"/>
      <c r="I216" s="473"/>
      <c r="J216" s="300"/>
      <c r="K216" s="448"/>
      <c r="L216" s="443"/>
      <c r="M216" s="440"/>
      <c r="N216" s="121"/>
      <c r="O216" s="121"/>
      <c r="P216" s="1"/>
      <c r="Q216" s="1"/>
      <c r="R216" s="1"/>
      <c r="S216" s="1"/>
      <c r="T216" s="1"/>
      <c r="U216" s="1"/>
      <c r="V216" s="1"/>
      <c r="W216" s="1"/>
      <c r="X216" s="1"/>
      <c r="Y216" s="1"/>
    </row>
    <row r="217" spans="1:25" x14ac:dyDescent="0.15">
      <c r="A217"/>
      <c r="B217" s="555" t="s">
        <v>286</v>
      </c>
      <c r="C217" s="556"/>
      <c r="D217" s="557"/>
      <c r="E217" s="339"/>
      <c r="F217" s="435" t="s">
        <v>31</v>
      </c>
      <c r="G217" s="340"/>
      <c r="H217" s="341"/>
      <c r="I217" s="420" t="s">
        <v>543</v>
      </c>
      <c r="J217" s="421" t="s">
        <v>29</v>
      </c>
      <c r="K217" s="422"/>
      <c r="L217" s="423"/>
      <c r="M217" s="424"/>
      <c r="N217" s="121"/>
      <c r="O217" s="121"/>
      <c r="P217" s="1"/>
      <c r="Q217" s="1"/>
      <c r="R217" s="1"/>
      <c r="S217" s="1"/>
      <c r="T217" s="1"/>
      <c r="U217" s="1"/>
      <c r="V217" s="1"/>
      <c r="W217" s="1"/>
      <c r="X217" s="1"/>
      <c r="Y217" s="1"/>
    </row>
    <row r="218" spans="1:25" ht="28" x14ac:dyDescent="0.15">
      <c r="A218" s="140" t="s">
        <v>285</v>
      </c>
      <c r="B218" s="554" t="str">
        <f>VLOOKUP(A218,'imp-questions'!A:H,4,FALSE)</f>
        <v>Data Protection</v>
      </c>
      <c r="C218" s="338">
        <f>VLOOKUP(A218,'imp-questions'!A:H,5,FALSE)</f>
        <v>1</v>
      </c>
      <c r="D218" s="302" t="str">
        <f>VLOOKUP(A218,'imp-questions'!A:H,6,FALSE)</f>
        <v>Do you protect and handle information according to protection requirements for data stored and processed on each application?</v>
      </c>
      <c r="E218" s="146" t="str">
        <f>CHAR(65+VLOOKUP(A218,'imp-questions'!A:H,8,FALSE))</f>
        <v>F</v>
      </c>
      <c r="F218" s="432" t="s">
        <v>321</v>
      </c>
      <c r="G218" s="303">
        <f>IFERROR(VLOOKUP(F218,AnsFTBL,2,FALSE),0)</f>
        <v>1</v>
      </c>
      <c r="H218" s="320">
        <f>IFERROR(AVERAGE(G218,G225),0)</f>
        <v>0.5</v>
      </c>
      <c r="I218" s="493"/>
      <c r="J218" s="539">
        <f>SUM(H218,H220,H222)</f>
        <v>2.5</v>
      </c>
      <c r="K218" s="449"/>
      <c r="L218" s="441"/>
      <c r="M218" s="438"/>
      <c r="N218" s="121"/>
      <c r="O218" s="121"/>
      <c r="P218" s="1"/>
      <c r="Q218" s="1"/>
      <c r="R218" s="1"/>
      <c r="S218" s="1"/>
      <c r="T218" s="1"/>
      <c r="U218" s="1"/>
      <c r="V218" s="1"/>
      <c r="W218" s="1"/>
      <c r="X218" s="1"/>
      <c r="Y218" s="1"/>
    </row>
    <row r="219" spans="1:25" ht="42" x14ac:dyDescent="0.15">
      <c r="A219"/>
      <c r="B219" s="552"/>
      <c r="C219" s="153"/>
      <c r="D219" s="159" t="str">
        <f>VLOOKUP(A218,'imp-questions'!A:H,7,FALSE)</f>
        <v>You know the data elements processed and stored by each application
You know the type and sensitivity level of each identified data element
You have controls to prevent propagation of unsanitized sensitive data from production to lower environments</v>
      </c>
      <c r="E219" s="149"/>
      <c r="F219" s="433"/>
      <c r="G219" s="150"/>
      <c r="H219" s="185"/>
      <c r="I219" s="473"/>
      <c r="J219" s="539"/>
      <c r="K219" s="446"/>
      <c r="L219" s="442"/>
      <c r="M219" s="439"/>
      <c r="N219" s="121"/>
      <c r="O219" s="121"/>
      <c r="P219" s="1"/>
      <c r="Q219" s="1"/>
      <c r="R219" s="1"/>
      <c r="S219" s="1"/>
      <c r="T219" s="1"/>
      <c r="U219" s="1"/>
      <c r="V219" s="1"/>
      <c r="W219" s="1"/>
      <c r="X219" s="1"/>
      <c r="Y219" s="1"/>
    </row>
    <row r="220" spans="1:25" x14ac:dyDescent="0.15">
      <c r="A220" s="140" t="s">
        <v>289</v>
      </c>
      <c r="B220" s="552"/>
      <c r="C220" s="183">
        <f>VLOOKUP(A220,'imp-questions'!A:H,5,FALSE)</f>
        <v>2</v>
      </c>
      <c r="D220" s="176" t="str">
        <f>VLOOKUP(A220,'imp-questions'!A:H,6,FALSE)</f>
        <v>Do you maintain a data catalog, including types, sensitivity levels, and processing and storage locations?</v>
      </c>
      <c r="E220" s="144" t="str">
        <f>CHAR(65+VLOOKUP(A220,'imp-questions'!A:H,8,FALSE))</f>
        <v>O</v>
      </c>
      <c r="F220" s="426" t="s">
        <v>327</v>
      </c>
      <c r="G220" s="17">
        <f>IFERROR(VLOOKUP(F220,AnsOTBL,2,FALSE),0)</f>
        <v>1</v>
      </c>
      <c r="H220" s="184">
        <f>IFERROR(AVERAGE(G220,G227),0)</f>
        <v>1</v>
      </c>
      <c r="I220" s="493"/>
      <c r="J220" s="187"/>
      <c r="K220" s="445"/>
      <c r="L220" s="442"/>
      <c r="M220" s="439"/>
      <c r="N220" s="121"/>
      <c r="O220" s="121"/>
      <c r="P220" s="1"/>
      <c r="Q220" s="1"/>
      <c r="R220" s="1"/>
      <c r="S220" s="1"/>
      <c r="T220" s="1"/>
      <c r="U220" s="1"/>
      <c r="V220" s="1"/>
      <c r="W220" s="1"/>
      <c r="X220" s="1"/>
      <c r="Y220" s="1"/>
    </row>
    <row r="221" spans="1:25" ht="56" x14ac:dyDescent="0.15">
      <c r="A221"/>
      <c r="B221" s="552"/>
      <c r="C221" s="153"/>
      <c r="D221" s="159" t="str">
        <f>VLOOKUP(A220,'imp-questions'!A:H,7,FALSE)</f>
        <v>The data catalog is stored in an accessible location
You know which data elements are subject to specific regulation
You have controls for protecting and preserving data throughout its lifetime
You have retention requirements for data, and you destroy backups in a timely manner after the relevant retention period ends</v>
      </c>
      <c r="E221" s="149"/>
      <c r="F221" s="433"/>
      <c r="G221" s="150"/>
      <c r="H221" s="188"/>
      <c r="I221" s="473"/>
      <c r="J221" s="187"/>
      <c r="K221" s="446"/>
      <c r="L221" s="442"/>
      <c r="M221" s="439"/>
      <c r="N221" s="121"/>
      <c r="O221" s="121"/>
      <c r="P221" s="1"/>
      <c r="Q221" s="1"/>
      <c r="R221" s="1"/>
      <c r="S221" s="1"/>
      <c r="T221" s="1"/>
      <c r="U221" s="1"/>
      <c r="V221" s="1"/>
      <c r="W221" s="1"/>
      <c r="X221" s="1"/>
      <c r="Y221" s="1"/>
    </row>
    <row r="222" spans="1:25" x14ac:dyDescent="0.15">
      <c r="A222" s="140" t="s">
        <v>291</v>
      </c>
      <c r="B222" s="552"/>
      <c r="C222" s="183">
        <f>VLOOKUP(A222,'imp-questions'!A:H,5,FALSE)</f>
        <v>3</v>
      </c>
      <c r="D222" s="176" t="str">
        <f>VLOOKUP(A222,'imp-questions'!A:H,6,FALSE)</f>
        <v>Do you regularly review and update the data catalog and your data protection policies and procedures?</v>
      </c>
      <c r="E222" s="144" t="str">
        <f>CHAR(65+VLOOKUP(A222,'imp-questions'!A:H,8,FALSE))</f>
        <v>P</v>
      </c>
      <c r="F222" s="426" t="s">
        <v>61</v>
      </c>
      <c r="G222" s="17">
        <f>IFERROR(VLOOKUP(F222,AnsPTBL,2,FALSE),0)</f>
        <v>1</v>
      </c>
      <c r="H222" s="184">
        <f>IFERROR(AVERAGE(G222,G229),0)</f>
        <v>1</v>
      </c>
      <c r="I222" s="493"/>
      <c r="J222" s="187"/>
      <c r="K222" s="445"/>
      <c r="L222" s="442"/>
      <c r="M222" s="439"/>
      <c r="N222" s="121"/>
      <c r="O222" s="121"/>
      <c r="P222" s="1"/>
      <c r="Q222" s="1"/>
      <c r="R222" s="1"/>
      <c r="S222" s="1"/>
      <c r="T222" s="1"/>
      <c r="U222" s="1"/>
      <c r="V222" s="1"/>
      <c r="W222" s="1"/>
      <c r="X222" s="1"/>
      <c r="Y222" s="1"/>
    </row>
    <row r="223" spans="1:25" ht="42" x14ac:dyDescent="0.15">
      <c r="A223"/>
      <c r="B223" s="553"/>
      <c r="C223" s="153"/>
      <c r="D223" s="159" t="str">
        <f>VLOOKUP(A222,'imp-questions'!A:H,7,FALSE)</f>
        <v>You have automated monitoring to detect attempted or actual violations of the Data Protection Policy
You have tools for data loss prevention, access control and tracking, or anomalous behavior detection
You periodically audit the operation of automated mechanisms, including backups and record deletions</v>
      </c>
      <c r="E223" s="149"/>
      <c r="F223" s="433"/>
      <c r="G223" s="150"/>
      <c r="H223" s="188"/>
      <c r="I223" s="473"/>
      <c r="J223" s="187"/>
      <c r="K223" s="446"/>
      <c r="L223" s="443"/>
      <c r="M223" s="440"/>
      <c r="N223" s="121"/>
      <c r="O223" s="121"/>
      <c r="P223" s="1"/>
      <c r="Q223" s="1"/>
      <c r="R223" s="1"/>
      <c r="S223" s="1"/>
      <c r="T223" s="1"/>
      <c r="U223" s="1"/>
      <c r="V223" s="1"/>
      <c r="W223" s="1"/>
      <c r="X223" s="1"/>
      <c r="Y223" s="1"/>
    </row>
    <row r="224" spans="1:25" x14ac:dyDescent="0.15">
      <c r="A224"/>
      <c r="B224" s="305"/>
      <c r="C224" s="306"/>
      <c r="D224" s="306"/>
      <c r="E224" s="306"/>
      <c r="F224" s="349"/>
      <c r="G224" s="306"/>
      <c r="H224" s="306"/>
      <c r="I224" s="349"/>
      <c r="J224" s="350"/>
      <c r="K224" s="349"/>
      <c r="L224" s="349"/>
      <c r="M224" s="351"/>
      <c r="N224" s="121"/>
      <c r="O224" s="121"/>
      <c r="P224" s="1"/>
      <c r="Q224" s="1"/>
      <c r="R224" s="1"/>
      <c r="S224" s="1"/>
      <c r="T224" s="1"/>
      <c r="U224" s="1"/>
      <c r="V224" s="1"/>
      <c r="W224" s="1"/>
      <c r="X224" s="1"/>
      <c r="Y224" s="1"/>
    </row>
    <row r="225" spans="1:25" ht="28" x14ac:dyDescent="0.15">
      <c r="A225" s="140" t="s">
        <v>293</v>
      </c>
      <c r="B225" s="551" t="str">
        <f>VLOOKUP(A225,'imp-questions'!A:H,4,FALSE)</f>
        <v>System Decomissioning / Legacy Management</v>
      </c>
      <c r="C225" s="183">
        <f>VLOOKUP(A225,'imp-questions'!A:H,5,FALSE)</f>
        <v>1</v>
      </c>
      <c r="D225" s="176" t="str">
        <f>VLOOKUP(A225,'imp-questions'!A:H,6,FALSE)</f>
        <v>Do you identify and remove systems, applications, application dependencies, or services that are no longer used, have reached end of life, or are no longer actively developed or supported?</v>
      </c>
      <c r="E225" s="144" t="str">
        <f>CHAR(65+VLOOKUP(A225,'imp-questions'!A:H,8,FALSE))</f>
        <v>F</v>
      </c>
      <c r="F225" s="429" t="s">
        <v>27</v>
      </c>
      <c r="G225" s="17">
        <f>IFERROR(VLOOKUP(F225,AnsFTBL,2,FALSE),0)</f>
        <v>0</v>
      </c>
      <c r="H225" s="95"/>
      <c r="I225" s="493" t="s">
        <v>600</v>
      </c>
      <c r="J225" s="11"/>
      <c r="K225" s="447"/>
      <c r="L225" s="441"/>
      <c r="M225" s="438"/>
      <c r="N225" s="121"/>
      <c r="O225" s="121"/>
      <c r="P225" s="1"/>
      <c r="Q225" s="1"/>
      <c r="R225" s="1"/>
      <c r="S225" s="1"/>
      <c r="T225" s="1"/>
      <c r="U225" s="1"/>
      <c r="V225" s="1"/>
      <c r="W225" s="1"/>
      <c r="X225" s="1"/>
      <c r="Y225" s="1"/>
    </row>
    <row r="226" spans="1:25" ht="28" x14ac:dyDescent="0.15">
      <c r="A226"/>
      <c r="B226" s="552"/>
      <c r="C226" s="153"/>
      <c r="D226" s="159" t="str">
        <f>VLOOKUP(A225,'imp-questions'!A:H,7,FALSE)</f>
        <v>You do not use unsupported applications or dependencies
You manage customer/user migration from older versions for each product and customer/user group</v>
      </c>
      <c r="E226" s="149"/>
      <c r="F226" s="433"/>
      <c r="G226" s="150"/>
      <c r="H226" s="155"/>
      <c r="I226" s="473"/>
      <c r="J226" s="11"/>
      <c r="K226" s="448"/>
      <c r="L226" s="442"/>
      <c r="M226" s="439"/>
      <c r="N226" s="121"/>
      <c r="O226" s="121"/>
      <c r="P226" s="1"/>
      <c r="Q226" s="1"/>
      <c r="R226" s="1"/>
      <c r="S226" s="1"/>
      <c r="T226" s="1"/>
      <c r="U226" s="1"/>
      <c r="V226" s="1"/>
      <c r="W226" s="1"/>
      <c r="X226" s="1"/>
      <c r="Y226" s="1"/>
    </row>
    <row r="227" spans="1:25" ht="28" x14ac:dyDescent="0.15">
      <c r="A227" s="140" t="s">
        <v>295</v>
      </c>
      <c r="B227" s="552"/>
      <c r="C227" s="183">
        <f>VLOOKUP(A227,'imp-questions'!A:H,5,FALSE)</f>
        <v>2</v>
      </c>
      <c r="D227" s="176" t="str">
        <f>VLOOKUP(A227,'imp-questions'!A:H,6,FALSE)</f>
        <v>Do you follow an established process for removing all associated resources, as part of decommissioning of unused systems, applications, application dependencies, or services?</v>
      </c>
      <c r="E227" s="144" t="str">
        <f>CHAR(65+VLOOKUP(A227,'imp-questions'!A:H,8,FALSE))</f>
        <v>H</v>
      </c>
      <c r="F227" s="426" t="s">
        <v>323</v>
      </c>
      <c r="G227" s="17">
        <f>IFERROR(VLOOKUP(F227,AnsHTBL,2,FALSE),0)</f>
        <v>1</v>
      </c>
      <c r="H227" s="95"/>
      <c r="I227" s="493"/>
      <c r="J227" s="11"/>
      <c r="K227" s="447"/>
      <c r="L227" s="442"/>
      <c r="M227" s="439"/>
      <c r="N227" s="121"/>
      <c r="O227" s="121"/>
      <c r="P227" s="1"/>
      <c r="Q227" s="1"/>
      <c r="R227" s="1"/>
      <c r="S227" s="1"/>
      <c r="T227" s="1"/>
      <c r="U227" s="1"/>
      <c r="V227" s="1"/>
      <c r="W227" s="1"/>
      <c r="X227" s="1"/>
      <c r="Y227" s="1"/>
    </row>
    <row r="228" spans="1:25" ht="42" x14ac:dyDescent="0.15">
      <c r="A228"/>
      <c r="B228" s="552"/>
      <c r="C228" s="153"/>
      <c r="D228" s="159" t="str">
        <f>VLOOKUP(A227,'imp-questions'!A:H,7,FALSE)</f>
        <v>You document the status of support for all released versions of your products, in an accessible location
The process includes replacement or upgrade of third-party applications, or application dependencies, that have reached end of life
Operating environments do not contain orphaned accounts, firewall rules, or other configuration artifacts</v>
      </c>
      <c r="E228" s="149"/>
      <c r="F228" s="433"/>
      <c r="G228" s="150"/>
      <c r="H228" s="155"/>
      <c r="I228" s="473"/>
      <c r="J228" s="11"/>
      <c r="K228" s="448"/>
      <c r="L228" s="442"/>
      <c r="M228" s="439"/>
      <c r="N228" s="121"/>
      <c r="O228" s="121"/>
      <c r="P228" s="1"/>
      <c r="Q228" s="1"/>
      <c r="R228" s="1"/>
      <c r="S228" s="1"/>
      <c r="T228" s="1"/>
      <c r="U228" s="1"/>
      <c r="V228" s="1"/>
      <c r="W228" s="1"/>
      <c r="X228" s="1"/>
      <c r="Y228" s="1"/>
    </row>
    <row r="229" spans="1:25" ht="28" x14ac:dyDescent="0.15">
      <c r="A229" s="140" t="s">
        <v>297</v>
      </c>
      <c r="B229" s="552"/>
      <c r="C229" s="183">
        <f>VLOOKUP(A229,'imp-questions'!A:H,5,FALSE)</f>
        <v>3</v>
      </c>
      <c r="D229" s="176" t="str">
        <f>VLOOKUP(A229,'imp-questions'!A:H,6,FALSE)</f>
        <v>Do you regularly evaluate the lifecycle state and support status of every software asset and underlying infrastructure component, and estimate their end of life?</v>
      </c>
      <c r="E229" s="144" t="str">
        <f>CHAR(65+VLOOKUP(A229,'imp-questions'!A:H,8,FALSE))</f>
        <v>S</v>
      </c>
      <c r="F229" s="426" t="s">
        <v>332</v>
      </c>
      <c r="G229" s="17">
        <f>IFERROR(VLOOKUP(F229,AnsSTBL,2,FALSE),0)</f>
        <v>1</v>
      </c>
      <c r="H229" s="308"/>
      <c r="I229" s="493"/>
      <c r="J229" s="310"/>
      <c r="K229" s="444"/>
      <c r="L229" s="442"/>
      <c r="M229" s="439"/>
      <c r="N229" s="121"/>
      <c r="O229" s="121"/>
      <c r="P229" s="1"/>
      <c r="Q229" s="1"/>
      <c r="R229" s="1"/>
      <c r="S229" s="1"/>
      <c r="T229" s="1"/>
      <c r="U229" s="1"/>
      <c r="V229" s="1"/>
      <c r="W229" s="1"/>
      <c r="X229" s="1"/>
      <c r="Y229" s="1"/>
    </row>
    <row r="230" spans="1:25" ht="42" x14ac:dyDescent="0.15">
      <c r="A230"/>
      <c r="B230" s="553"/>
      <c r="C230" s="153"/>
      <c r="D230" s="159" t="str">
        <f>VLOOKUP(A229,'imp-questions'!A:H,7,FALSE)</f>
        <v>Your end of life management process is agreed upon
You inform customers and user groups of product timelines to prevent disruption of service or support
You review the process at least annually</v>
      </c>
      <c r="E230" s="149"/>
      <c r="F230" s="433"/>
      <c r="G230" s="150"/>
      <c r="H230" s="309"/>
      <c r="I230" s="473"/>
      <c r="J230" s="310"/>
      <c r="K230" s="444"/>
      <c r="L230" s="443"/>
      <c r="M230" s="440"/>
      <c r="N230" s="121"/>
      <c r="O230" s="121"/>
      <c r="P230" s="1"/>
      <c r="Q230" s="1"/>
      <c r="R230" s="1"/>
      <c r="S230" s="1"/>
      <c r="T230" s="1"/>
      <c r="U230" s="1"/>
      <c r="V230" s="1"/>
      <c r="W230" s="1"/>
      <c r="X230" s="1"/>
      <c r="Y230" s="1"/>
    </row>
    <row r="232" spans="1:25" ht="44.25" customHeight="1" x14ac:dyDescent="0.15">
      <c r="F232" s="311" t="s">
        <v>546</v>
      </c>
      <c r="G232" s="312"/>
      <c r="H232" s="313"/>
      <c r="I232" s="437">
        <v>0.49305555555555558</v>
      </c>
    </row>
    <row r="233" spans="1:25" x14ac:dyDescent="0.15">
      <c r="F233" s="26" t="s">
        <v>601</v>
      </c>
      <c r="I233" t="s">
        <v>602</v>
      </c>
    </row>
  </sheetData>
  <sheetProtection selectLockedCells="1"/>
  <customSheetViews>
    <customSheetView guid="{9846C184-355C-EA4B-8C35-9561D1AEE31C}" scale="90" hiddenRows="1" topLeftCell="A2">
      <selection activeCell="E2" sqref="E1:E1048576"/>
      <pageMargins left="0.75" right="0.75" top="1" bottom="1" header="0.5" footer="0.5"/>
      <pageSetup paperSize="9" scale="10" firstPageNumber="0" fitToWidth="0" fitToHeight="0" orientation="portrait" horizontalDpi="300" verticalDpi="300" r:id="rId1"/>
      <headerFooter alignWithMargins="0"/>
    </customSheetView>
  </customSheetViews>
  <mergeCells count="317">
    <mergeCell ref="J218:J219"/>
    <mergeCell ref="I222:I223"/>
    <mergeCell ref="J46:J47"/>
    <mergeCell ref="J61:J62"/>
    <mergeCell ref="J89:J90"/>
    <mergeCell ref="B18:B23"/>
    <mergeCell ref="B160:D160"/>
    <mergeCell ref="B146:D146"/>
    <mergeCell ref="B88:D88"/>
    <mergeCell ref="B74:D74"/>
    <mergeCell ref="B60:D60"/>
    <mergeCell ref="B45:D45"/>
    <mergeCell ref="B61:B66"/>
    <mergeCell ref="I77:I78"/>
    <mergeCell ref="I43:I44"/>
    <mergeCell ref="B102:J102"/>
    <mergeCell ref="B103:D103"/>
    <mergeCell ref="B104:B109"/>
    <mergeCell ref="I104:I105"/>
    <mergeCell ref="I108:I109"/>
    <mergeCell ref="B111:B116"/>
    <mergeCell ref="I111:I112"/>
    <mergeCell ref="B182:B187"/>
    <mergeCell ref="B190:B195"/>
    <mergeCell ref="B225:B230"/>
    <mergeCell ref="B218:B223"/>
    <mergeCell ref="B217:D217"/>
    <mergeCell ref="I229:I230"/>
    <mergeCell ref="I215:I216"/>
    <mergeCell ref="I218:I219"/>
    <mergeCell ref="I220:I221"/>
    <mergeCell ref="I225:I226"/>
    <mergeCell ref="I201:I202"/>
    <mergeCell ref="B197:B202"/>
    <mergeCell ref="I211:I212"/>
    <mergeCell ref="I204:I205"/>
    <mergeCell ref="I208:I209"/>
    <mergeCell ref="I213:I214"/>
    <mergeCell ref="I227:I228"/>
    <mergeCell ref="B204:B209"/>
    <mergeCell ref="B211:B216"/>
    <mergeCell ref="I206:I207"/>
    <mergeCell ref="I197:I198"/>
    <mergeCell ref="B203:D203"/>
    <mergeCell ref="B117:D117"/>
    <mergeCell ref="I122:I123"/>
    <mergeCell ref="B125:B130"/>
    <mergeCell ref="I125:I126"/>
    <mergeCell ref="I129:I130"/>
    <mergeCell ref="I132:I133"/>
    <mergeCell ref="I134:I135"/>
    <mergeCell ref="B131:D131"/>
    <mergeCell ref="B132:B137"/>
    <mergeCell ref="I179:I180"/>
    <mergeCell ref="I158:I159"/>
    <mergeCell ref="I161:I162"/>
    <mergeCell ref="I163:I164"/>
    <mergeCell ref="I165:I166"/>
    <mergeCell ref="I168:I169"/>
    <mergeCell ref="B188:J188"/>
    <mergeCell ref="I182:I183"/>
    <mergeCell ref="I186:I187"/>
    <mergeCell ref="I190:I191"/>
    <mergeCell ref="I194:I195"/>
    <mergeCell ref="J204:J205"/>
    <mergeCell ref="J175:J176"/>
    <mergeCell ref="I79:I80"/>
    <mergeCell ref="I82:I83"/>
    <mergeCell ref="I86:I87"/>
    <mergeCell ref="I68:I69"/>
    <mergeCell ref="I72:I73"/>
    <mergeCell ref="I75:I76"/>
    <mergeCell ref="I96:I97"/>
    <mergeCell ref="J132:J133"/>
    <mergeCell ref="I136:I137"/>
    <mergeCell ref="J161:J162"/>
    <mergeCell ref="I70:I71"/>
    <mergeCell ref="I84:I85"/>
    <mergeCell ref="I98:I99"/>
    <mergeCell ref="I106:I107"/>
    <mergeCell ref="J190:J191"/>
    <mergeCell ref="I113:I114"/>
    <mergeCell ref="I127:I128"/>
    <mergeCell ref="J75:J76"/>
    <mergeCell ref="J104:J105"/>
    <mergeCell ref="J118:J119"/>
    <mergeCell ref="I115:I116"/>
    <mergeCell ref="I120:I121"/>
    <mergeCell ref="I139:I140"/>
    <mergeCell ref="I143:I144"/>
    <mergeCell ref="B154:B159"/>
    <mergeCell ref="B161:B166"/>
    <mergeCell ref="B168:B173"/>
    <mergeCell ref="I192:I193"/>
    <mergeCell ref="I199:I200"/>
    <mergeCell ref="B174:D174"/>
    <mergeCell ref="I147:I148"/>
    <mergeCell ref="I170:I171"/>
    <mergeCell ref="I177:I178"/>
    <mergeCell ref="I184:I185"/>
    <mergeCell ref="I141:I142"/>
    <mergeCell ref="I149:I150"/>
    <mergeCell ref="I156:I157"/>
    <mergeCell ref="B147:B152"/>
    <mergeCell ref="B145:J145"/>
    <mergeCell ref="J147:J148"/>
    <mergeCell ref="B189:D189"/>
    <mergeCell ref="B175:B180"/>
    <mergeCell ref="I154:I155"/>
    <mergeCell ref="I151:I152"/>
    <mergeCell ref="B1:I1"/>
    <mergeCell ref="B3:I3"/>
    <mergeCell ref="B4:I4"/>
    <mergeCell ref="B6:I6"/>
    <mergeCell ref="B25:B30"/>
    <mergeCell ref="B11:C11"/>
    <mergeCell ref="B12:C12"/>
    <mergeCell ref="B13:C13"/>
    <mergeCell ref="B14:C14"/>
    <mergeCell ref="I18:I19"/>
    <mergeCell ref="I22:I23"/>
    <mergeCell ref="I25:I26"/>
    <mergeCell ref="I29:I30"/>
    <mergeCell ref="B8:I8"/>
    <mergeCell ref="B10:C10"/>
    <mergeCell ref="B16:J16"/>
    <mergeCell ref="B7:I7"/>
    <mergeCell ref="B5:I5"/>
    <mergeCell ref="B89:B94"/>
    <mergeCell ref="B68:B73"/>
    <mergeCell ref="I93:I94"/>
    <mergeCell ref="J18:J19"/>
    <mergeCell ref="I100:I101"/>
    <mergeCell ref="I175:I176"/>
    <mergeCell ref="B75:B80"/>
    <mergeCell ref="I91:I92"/>
    <mergeCell ref="B96:B101"/>
    <mergeCell ref="I89:I90"/>
    <mergeCell ref="B82:B87"/>
    <mergeCell ref="B118:B123"/>
    <mergeCell ref="I118:I119"/>
    <mergeCell ref="I172:I173"/>
    <mergeCell ref="I20:I21"/>
    <mergeCell ref="I27:I28"/>
    <mergeCell ref="I34:I35"/>
    <mergeCell ref="I41:I42"/>
    <mergeCell ref="B31:D31"/>
    <mergeCell ref="I61:I62"/>
    <mergeCell ref="B139:B144"/>
    <mergeCell ref="I65:I66"/>
    <mergeCell ref="I32:I33"/>
    <mergeCell ref="I36:I37"/>
    <mergeCell ref="I63:I64"/>
    <mergeCell ref="I39:I40"/>
    <mergeCell ref="B32:B37"/>
    <mergeCell ref="B39:B44"/>
    <mergeCell ref="B53:B58"/>
    <mergeCell ref="B46:B51"/>
    <mergeCell ref="I46:I47"/>
    <mergeCell ref="I50:I51"/>
    <mergeCell ref="B59:J59"/>
    <mergeCell ref="J32:J33"/>
    <mergeCell ref="I53:I54"/>
    <mergeCell ref="I57:I58"/>
    <mergeCell ref="I48:I49"/>
    <mergeCell ref="I55:I56"/>
    <mergeCell ref="K16:M16"/>
    <mergeCell ref="K18:K19"/>
    <mergeCell ref="K20:K21"/>
    <mergeCell ref="K22:K23"/>
    <mergeCell ref="K25:K26"/>
    <mergeCell ref="K27:K28"/>
    <mergeCell ref="K29:K30"/>
    <mergeCell ref="K32:K33"/>
    <mergeCell ref="K34:K35"/>
    <mergeCell ref="L25:L30"/>
    <mergeCell ref="M25:M30"/>
    <mergeCell ref="L18:L23"/>
    <mergeCell ref="M18:M23"/>
    <mergeCell ref="K36:K37"/>
    <mergeCell ref="K39:K40"/>
    <mergeCell ref="K41:K42"/>
    <mergeCell ref="K43:K44"/>
    <mergeCell ref="K46:K47"/>
    <mergeCell ref="K48:K49"/>
    <mergeCell ref="K50:K51"/>
    <mergeCell ref="K53:K54"/>
    <mergeCell ref="K55:K56"/>
    <mergeCell ref="K57:K58"/>
    <mergeCell ref="K61:K62"/>
    <mergeCell ref="K63:K64"/>
    <mergeCell ref="K65:K66"/>
    <mergeCell ref="K68:K69"/>
    <mergeCell ref="K70:K71"/>
    <mergeCell ref="K72:K73"/>
    <mergeCell ref="K75:K76"/>
    <mergeCell ref="K77:K78"/>
    <mergeCell ref="K79:K80"/>
    <mergeCell ref="K82:K83"/>
    <mergeCell ref="K84:K85"/>
    <mergeCell ref="K86:K87"/>
    <mergeCell ref="K89:K90"/>
    <mergeCell ref="K91:K92"/>
    <mergeCell ref="K93:K94"/>
    <mergeCell ref="K96:K97"/>
    <mergeCell ref="K98:K99"/>
    <mergeCell ref="K100:K101"/>
    <mergeCell ref="K104:K105"/>
    <mergeCell ref="K106:K107"/>
    <mergeCell ref="K108:K109"/>
    <mergeCell ref="K111:K112"/>
    <mergeCell ref="K113:K114"/>
    <mergeCell ref="K115:K116"/>
    <mergeCell ref="K118:K119"/>
    <mergeCell ref="K120:K121"/>
    <mergeCell ref="K122:K123"/>
    <mergeCell ref="K125:K126"/>
    <mergeCell ref="K127:K128"/>
    <mergeCell ref="K129:K130"/>
    <mergeCell ref="K132:K133"/>
    <mergeCell ref="K134:K135"/>
    <mergeCell ref="K136:K137"/>
    <mergeCell ref="K139:K140"/>
    <mergeCell ref="K141:K142"/>
    <mergeCell ref="K143:K144"/>
    <mergeCell ref="K147:K148"/>
    <mergeCell ref="K149:K150"/>
    <mergeCell ref="K151:K152"/>
    <mergeCell ref="K154:K155"/>
    <mergeCell ref="K156:K157"/>
    <mergeCell ref="K158:K159"/>
    <mergeCell ref="K161:K162"/>
    <mergeCell ref="K163:K164"/>
    <mergeCell ref="K165:K166"/>
    <mergeCell ref="K168:K169"/>
    <mergeCell ref="K170:K171"/>
    <mergeCell ref="K172:K173"/>
    <mergeCell ref="K175:K176"/>
    <mergeCell ref="K177:K178"/>
    <mergeCell ref="K179:K180"/>
    <mergeCell ref="K182:K183"/>
    <mergeCell ref="K184:K185"/>
    <mergeCell ref="K186:K187"/>
    <mergeCell ref="K190:K191"/>
    <mergeCell ref="K192:K193"/>
    <mergeCell ref="K194:K195"/>
    <mergeCell ref="K197:K198"/>
    <mergeCell ref="K199:K200"/>
    <mergeCell ref="K201:K202"/>
    <mergeCell ref="K204:K205"/>
    <mergeCell ref="K206:K207"/>
    <mergeCell ref="K208:K209"/>
    <mergeCell ref="K211:K212"/>
    <mergeCell ref="K213:K214"/>
    <mergeCell ref="K215:K216"/>
    <mergeCell ref="K218:K219"/>
    <mergeCell ref="K220:K221"/>
    <mergeCell ref="K222:K223"/>
    <mergeCell ref="K225:K226"/>
    <mergeCell ref="K227:K228"/>
    <mergeCell ref="K229:K230"/>
    <mergeCell ref="L32:L37"/>
    <mergeCell ref="L39:L44"/>
    <mergeCell ref="L46:L51"/>
    <mergeCell ref="L53:L58"/>
    <mergeCell ref="L61:L66"/>
    <mergeCell ref="L68:L73"/>
    <mergeCell ref="L75:L80"/>
    <mergeCell ref="L82:L87"/>
    <mergeCell ref="L89:L94"/>
    <mergeCell ref="L96:L101"/>
    <mergeCell ref="L104:L109"/>
    <mergeCell ref="L111:L116"/>
    <mergeCell ref="L118:L123"/>
    <mergeCell ref="L125:L130"/>
    <mergeCell ref="L132:L137"/>
    <mergeCell ref="L139:L144"/>
    <mergeCell ref="L147:L152"/>
    <mergeCell ref="L154:L159"/>
    <mergeCell ref="L161:L166"/>
    <mergeCell ref="L168:L173"/>
    <mergeCell ref="L175:L180"/>
    <mergeCell ref="L182:L187"/>
    <mergeCell ref="L190:L195"/>
    <mergeCell ref="L197:L202"/>
    <mergeCell ref="L204:L209"/>
    <mergeCell ref="L225:L230"/>
    <mergeCell ref="L218:L223"/>
    <mergeCell ref="L211:L216"/>
    <mergeCell ref="M32:M37"/>
    <mergeCell ref="M39:M44"/>
    <mergeCell ref="M46:M51"/>
    <mergeCell ref="M53:M58"/>
    <mergeCell ref="M61:M66"/>
    <mergeCell ref="M68:M73"/>
    <mergeCell ref="M75:M80"/>
    <mergeCell ref="M82:M87"/>
    <mergeCell ref="M89:M94"/>
    <mergeCell ref="M96:M101"/>
    <mergeCell ref="M104:M109"/>
    <mergeCell ref="M111:M116"/>
    <mergeCell ref="M118:M123"/>
    <mergeCell ref="M125:M130"/>
    <mergeCell ref="M132:M137"/>
    <mergeCell ref="M139:M144"/>
    <mergeCell ref="M147:M152"/>
    <mergeCell ref="M154:M159"/>
    <mergeCell ref="M161:M166"/>
    <mergeCell ref="M168:M173"/>
    <mergeCell ref="M175:M180"/>
    <mergeCell ref="M182:M187"/>
    <mergeCell ref="M190:M195"/>
    <mergeCell ref="M197:M202"/>
    <mergeCell ref="M204:M209"/>
    <mergeCell ref="M225:M230"/>
    <mergeCell ref="M218:M223"/>
    <mergeCell ref="M211:M216"/>
  </mergeCells>
  <phoneticPr fontId="0" type="noConversion"/>
  <conditionalFormatting sqref="F15">
    <cfRule type="expression" dxfId="633" priority="2">
      <formula>$H$25=1</formula>
    </cfRule>
  </conditionalFormatting>
  <dataValidations count="28">
    <dataValidation type="list" allowBlank="1" showInputMessage="1" showErrorMessage="1" sqref="N22:O22 N20:O20" xr:uid="{00000000-0002-0000-0100-000000000000}">
      <formula1>AnswerB</formula1>
    </dataValidation>
    <dataValidation type="list" allowBlank="1" showInputMessage="1" showErrorMessage="1" sqref="N18:O18" xr:uid="{00000000-0002-0000-0100-000001000000}">
      <formula1>AnswerA</formula1>
    </dataValidation>
    <dataValidation type="list" allowBlank="1" showInputMessage="1" showErrorMessage="1" sqref="F34" xr:uid="{00000000-0002-0000-0100-000002000000}">
      <formula1>AnsA</formula1>
    </dataValidation>
    <dataValidation type="list" allowBlank="1" showInputMessage="1" showErrorMessage="1" sqref="F186" xr:uid="{00000000-0002-0000-0100-000004000000}">
      <formula1>AnsT</formula1>
    </dataValidation>
    <dataValidation type="list" allowBlank="1" showInputMessage="1" showErrorMessage="1" sqref="F57 F55" xr:uid="{00000000-0002-0000-0100-000005000000}">
      <formula1>AnsL</formula1>
    </dataValidation>
    <dataValidation type="list" allowBlank="1" showInputMessage="1" showErrorMessage="1" sqref="F20" xr:uid="{00000000-0002-0000-0100-000006000000}">
      <formula1>AnsV</formula1>
    </dataValidation>
    <dataValidation type="list" allowBlank="1" showInputMessage="1" showErrorMessage="1" sqref="F163 F46 F175 F161 F61 F68 F177" xr:uid="{00000000-0002-0000-0100-000007000000}">
      <formula1>AnsC</formula1>
    </dataValidation>
    <dataValidation type="list" allowBlank="1" showInputMessage="1" showErrorMessage="1" sqref="F65" xr:uid="{00000000-0002-0000-0100-000008000000}">
      <formula1>AnsG</formula1>
    </dataValidation>
    <dataValidation type="list" allowBlank="1" showInputMessage="1" showErrorMessage="1" sqref="F98" xr:uid="{00000000-0002-0000-0100-00000B000000}">
      <formula1>AnsU</formula1>
    </dataValidation>
    <dataValidation type="list" allowBlank="1" showInputMessage="1" showErrorMessage="1" sqref="F197" xr:uid="{00000000-0002-0000-0100-00000C000000}">
      <formula1>AnsR</formula1>
    </dataValidation>
    <dataValidation type="list" allowBlank="1" showInputMessage="1" showErrorMessage="1" sqref="F25" xr:uid="{00000000-0002-0000-0100-000010000000}">
      <formula1>AnsK</formula1>
    </dataValidation>
    <dataValidation type="list" allowBlank="1" showInputMessage="1" showErrorMessage="1" sqref="F32 F93 F89 F75 F79 F91 F184 F190 F192 F218 F225 F194 F168 F165 F158 F156 F154 F151 F149 F147 F143 F141 F139 F136 F134 F132 F129 F127 F125 F122 F120 F118 F115 F113 F111 F108 F106 F104 F100 F96 F70 F63 F39" xr:uid="{00000000-0002-0000-0100-000011000000}">
      <formula1>AnsF</formula1>
    </dataValidation>
    <dataValidation type="list" allowBlank="1" showInputMessage="1" showErrorMessage="1" sqref="F41" xr:uid="{00000000-0002-0000-0100-000012000000}">
      <formula1>AnsD</formula1>
    </dataValidation>
    <dataValidation type="list" allowBlank="1" showInputMessage="1" showErrorMessage="1" sqref="F199" xr:uid="{90885DEB-C69B-D74F-A601-ED2057927F3F}">
      <formula1>AnsQ</formula1>
    </dataValidation>
    <dataValidation type="list" allowBlank="1" showInputMessage="1" showErrorMessage="1" sqref="F222" xr:uid="{9551D559-6ECF-834F-A03A-8EB0C05B2F6C}">
      <formula1>AnsP</formula1>
    </dataValidation>
    <dataValidation type="list" allowBlank="1" showInputMessage="1" showErrorMessage="1" sqref="F229" xr:uid="{8E377E98-6E25-BD4E-8C89-577503AB0218}">
      <formula1>AnsS</formula1>
    </dataValidation>
    <dataValidation type="list" allowBlank="1" showInputMessage="1" showErrorMessage="1" sqref="F50 F48" xr:uid="{597D4DF9-CCC4-C549-814D-71CFC4E19F5C}">
      <formula1>AnsI</formula1>
    </dataValidation>
    <dataValidation type="list" allowBlank="1" showInputMessage="1" showErrorMessage="1" sqref="F220" xr:uid="{DF6D180D-9880-3F42-9B27-1581F0E15B1A}">
      <formula1>AnsO</formula1>
    </dataValidation>
    <dataValidation type="list" allowBlank="1" showInputMessage="1" showErrorMessage="1" sqref="F206 F182 F215 F213 F211 F208 F204" xr:uid="{C938C27B-3436-B846-B7DC-198557B74833}">
      <formula1>AnsM</formula1>
    </dataValidation>
    <dataValidation type="list" allowBlank="1" showInputMessage="1" showErrorMessage="1" sqref="F227 F201 F172 F170 F86 F84 F82 F77" xr:uid="{08092533-E370-2D4F-BD1E-C54978EF84A8}">
      <formula1>AnsH</formula1>
    </dataValidation>
    <dataValidation type="list" allowBlank="1" showInputMessage="1" showErrorMessage="1" sqref="F179" xr:uid="{A4F1C048-309C-9447-BFE9-BB6E0866D26F}">
      <formula1>AnsX</formula1>
    </dataValidation>
    <dataValidation type="list" allowBlank="1" showInputMessage="1" showErrorMessage="1" sqref="F72 F29 F22" xr:uid="{8EC24FA5-04A0-F347-A560-AE132611EE7C}">
      <formula1>AnsN</formula1>
    </dataValidation>
    <dataValidation type="list" allowBlank="1" showInputMessage="1" showErrorMessage="1" sqref="F53" xr:uid="{A7EBD86C-3E0F-204C-A5C9-016EC01B84B0}">
      <formula1>AnsW</formula1>
    </dataValidation>
    <dataValidation type="list" allowBlank="1" showInputMessage="1" showErrorMessage="1" sqref="F43 F36" xr:uid="{80110276-7DEB-AC4B-B281-07B114F91D41}">
      <formula1>AnsE</formula1>
    </dataValidation>
    <dataValidation type="list" allowBlank="1" showInputMessage="1" showErrorMessage="1" sqref="F27" xr:uid="{D599EAF6-C1A1-4445-973F-5BF6179BC390}">
      <formula1>AnsB</formula1>
    </dataValidation>
    <dataValidation type="list" allowBlank="1" showInputMessage="1" showErrorMessage="1" sqref="F18" xr:uid="{EA28817E-A1D9-394B-9241-D0796436921B}">
      <formula1>AnsY</formula1>
    </dataValidation>
    <dataValidation type="list" allowBlank="1" showInputMessage="1" showErrorMessage="1" sqref="M18:M23 M25:M30 M32:M37 M39:M44 M46:M51 M53:M58 M61:M66 M68:M73 M75:M80 M82:M87 M89:M94 M96:M101 M104:M109 M111:M116 M118:M123 M125:M130 M132:M137 M139:M144 M147:M152 M154:M159 M161:M166 M168:M173 M175:M180 M182:M187 M190:M195 M197:M202 M204:M209 M225:M230 M218:M223 M211:M216" xr:uid="{A60208DA-3E8E-4128-A256-EB0895A73CA1}">
      <formula1>$M$4:$M$7</formula1>
    </dataValidation>
    <dataValidation type="list" allowBlank="1" showInputMessage="1" showErrorMessage="1" sqref="L18:L23 L25:L30 L32:L37 L39:L44 L46:L51 L53:L58 L61:L66 L68:L73 L75:L80 L82:L87 L89:L94 L96:L101 L104:L109 L111:L116 L118:L123 L125:L130 L132:L137 L139:L144 L147:L152 L154:L159 L161:L166 L168:L173 L175:L180 L182:L187 L190:L195 L197:L202 L204:L209 L225:L230 L218:L223 L211:L216" xr:uid="{A7F40DE3-4CAA-41FD-B3E0-12F52033CAD0}">
      <formula1>$L$4:$L$7</formula1>
    </dataValidation>
  </dataValidations>
  <pageMargins left="0.75" right="0.75" top="1" bottom="1" header="0.5" footer="0.5"/>
  <pageSetup paperSize="9" scale="10" firstPageNumber="0" fitToWidth="0" fitToHeight="0" orientation="portrait" horizontalDpi="300" verticalDpi="300"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Z144"/>
  <sheetViews>
    <sheetView showGridLines="0" topLeftCell="C1" zoomScale="140" zoomScaleNormal="140" workbookViewId="0">
      <selection activeCell="I17" sqref="I17"/>
    </sheetView>
  </sheetViews>
  <sheetFormatPr baseColWidth="10" defaultColWidth="8.83203125" defaultRowHeight="13" x14ac:dyDescent="0.15"/>
  <cols>
    <col min="1" max="1" width="14.33203125" customWidth="1"/>
    <col min="2" max="2" width="23.83203125" customWidth="1"/>
    <col min="3" max="3" width="9.1640625" customWidth="1"/>
    <col min="4" max="6" width="6.6640625" customWidth="1"/>
    <col min="7" max="7" width="15" hidden="1" customWidth="1"/>
    <col min="8" max="8" width="9.1640625" customWidth="1"/>
    <col min="9" max="10" width="15" bestFit="1" customWidth="1"/>
    <col min="11" max="11" width="7.33203125" customWidth="1"/>
    <col min="12" max="14" width="15" bestFit="1" customWidth="1"/>
    <col min="20" max="20" width="13.6640625" bestFit="1" customWidth="1"/>
    <col min="21" max="21" width="22.1640625" customWidth="1"/>
    <col min="22" max="22" width="10.1640625" bestFit="1" customWidth="1"/>
    <col min="23" max="23" width="10.5" bestFit="1" customWidth="1"/>
    <col min="24" max="24" width="10.5" customWidth="1"/>
    <col min="25" max="25" width="9.33203125" bestFit="1" customWidth="1"/>
  </cols>
  <sheetData>
    <row r="1" spans="1:26" ht="25.5" customHeight="1" x14ac:dyDescent="0.15">
      <c r="A1" s="586" t="str">
        <f>CONCATENATE("SAMM Assessment Scorecard: ",C6," For ",C5)</f>
        <v>SAMM Assessment Scorecard:  For COMPANY</v>
      </c>
      <c r="B1" s="586"/>
      <c r="C1" s="586"/>
      <c r="D1" s="587"/>
      <c r="E1" s="587"/>
      <c r="F1" s="587"/>
      <c r="G1" s="588"/>
      <c r="H1" s="588"/>
      <c r="I1" s="588"/>
      <c r="J1" s="588"/>
      <c r="K1" s="1"/>
      <c r="L1" s="1"/>
      <c r="M1" s="1"/>
      <c r="N1" s="1"/>
    </row>
    <row r="2" spans="1:26" ht="12.75" customHeight="1" thickBot="1" x14ac:dyDescent="0.2">
      <c r="A2" s="2"/>
      <c r="B2" s="2"/>
      <c r="C2" s="2"/>
      <c r="D2" s="2"/>
      <c r="E2" s="2"/>
      <c r="F2" s="2"/>
      <c r="G2" s="2"/>
      <c r="H2" s="2"/>
      <c r="I2" s="2"/>
      <c r="J2" s="2"/>
      <c r="K2" s="1"/>
      <c r="L2" s="1"/>
      <c r="M2" s="1"/>
      <c r="N2" s="1"/>
    </row>
    <row r="3" spans="1:26" ht="54" customHeight="1" thickBot="1" x14ac:dyDescent="0.2">
      <c r="A3" s="592" t="s">
        <v>95</v>
      </c>
      <c r="B3" s="593"/>
      <c r="C3" s="593"/>
      <c r="D3" s="593"/>
      <c r="E3" s="593"/>
      <c r="F3" s="593"/>
      <c r="G3" s="593"/>
      <c r="H3" s="593"/>
      <c r="I3" s="593"/>
      <c r="J3" s="593"/>
      <c r="K3" s="594"/>
      <c r="L3" s="1"/>
      <c r="M3" s="1"/>
      <c r="N3" s="1"/>
    </row>
    <row r="4" spans="1:26" ht="12.75" customHeight="1" x14ac:dyDescent="0.15">
      <c r="A4" s="4"/>
      <c r="B4" s="4"/>
      <c r="C4" s="4"/>
      <c r="D4" s="4"/>
      <c r="E4" s="4"/>
      <c r="F4" s="4"/>
      <c r="G4" s="4"/>
      <c r="H4" s="4"/>
      <c r="I4" s="4"/>
      <c r="J4" s="4"/>
      <c r="K4" s="1"/>
      <c r="L4" s="1"/>
      <c r="M4" s="1"/>
      <c r="N4" s="1"/>
    </row>
    <row r="5" spans="1:26" ht="12.75" customHeight="1" x14ac:dyDescent="0.15">
      <c r="A5" s="589" t="str">
        <f>Interview!B10</f>
        <v>Organization:</v>
      </c>
      <c r="B5" s="590"/>
      <c r="C5" s="590" t="str">
        <f>IF(ISBLANK(Interview!D10),"",Interview!D10)</f>
        <v>COMPANY</v>
      </c>
      <c r="D5" s="590"/>
      <c r="E5" s="590"/>
      <c r="F5" s="590"/>
      <c r="G5" s="1"/>
      <c r="H5" s="1"/>
      <c r="I5" s="1"/>
      <c r="J5" s="1"/>
      <c r="K5" s="1"/>
      <c r="L5" s="1"/>
      <c r="M5" s="1"/>
      <c r="N5" s="1"/>
    </row>
    <row r="6" spans="1:26" ht="12.75" customHeight="1" x14ac:dyDescent="0.15">
      <c r="A6" s="589" t="str">
        <f>Interview!B11</f>
        <v>Team/Application:</v>
      </c>
      <c r="B6" s="590"/>
      <c r="C6" s="590" t="str">
        <f>IF(ISBLANK(Interview!D11),"",Interview!D11)</f>
        <v/>
      </c>
      <c r="D6" s="590"/>
      <c r="E6" s="590"/>
      <c r="F6" s="590"/>
      <c r="G6" s="1"/>
      <c r="H6" s="1"/>
      <c r="I6" s="1"/>
      <c r="J6" s="1"/>
      <c r="K6" s="1"/>
      <c r="L6" s="1"/>
      <c r="M6" s="1"/>
      <c r="N6" s="1"/>
    </row>
    <row r="7" spans="1:26" ht="12.75" customHeight="1" x14ac:dyDescent="0.15">
      <c r="A7" s="589" t="str">
        <f>Interview!B12</f>
        <v>Interview Date:</v>
      </c>
      <c r="B7" s="590"/>
      <c r="C7" s="591" t="str">
        <f>IF(ISBLANK(Interview!D12),"",Interview!D12)</f>
        <v/>
      </c>
      <c r="D7" s="591"/>
      <c r="E7" s="591"/>
      <c r="F7" s="591"/>
      <c r="G7" s="1"/>
      <c r="H7" s="1"/>
      <c r="I7" s="1"/>
      <c r="J7" s="1"/>
      <c r="K7" s="1"/>
      <c r="L7" s="1"/>
      <c r="M7" s="1"/>
      <c r="N7" s="1"/>
    </row>
    <row r="8" spans="1:26" ht="12.75" customHeight="1" x14ac:dyDescent="0.15">
      <c r="A8" s="589" t="str">
        <f>Interview!B13</f>
        <v xml:space="preserve">Team Lead: </v>
      </c>
      <c r="B8" s="590"/>
      <c r="C8" s="590" t="str">
        <f>IF(ISBLANK(Interview!D13),"",Interview!D13)</f>
        <v/>
      </c>
      <c r="D8" s="590"/>
      <c r="E8" s="590"/>
      <c r="F8" s="590"/>
      <c r="G8" s="1"/>
      <c r="H8" s="1"/>
      <c r="I8" s="1"/>
      <c r="J8" s="1"/>
      <c r="K8" s="1"/>
      <c r="L8" s="1"/>
      <c r="M8" s="1"/>
      <c r="N8" s="1"/>
    </row>
    <row r="9" spans="1:26" ht="12.75" customHeight="1" x14ac:dyDescent="0.15">
      <c r="A9" s="589" t="str">
        <f>Interview!B14</f>
        <v>Name:</v>
      </c>
      <c r="B9" s="590"/>
      <c r="C9" s="595" t="str">
        <f>IF(ISBLANK(Interview!D14),"",Interview!D14)</f>
        <v>8941cb9ef8174579ce6aade045499fd0</v>
      </c>
      <c r="D9" s="595"/>
      <c r="E9" s="595"/>
      <c r="F9" s="595"/>
      <c r="G9" s="595"/>
      <c r="H9" s="595"/>
      <c r="I9" s="595"/>
      <c r="J9" s="1"/>
      <c r="K9" s="1"/>
      <c r="L9" s="1"/>
      <c r="M9" s="1"/>
      <c r="N9" s="1"/>
    </row>
    <row r="10" spans="1:26" ht="12.75" customHeight="1" thickBot="1" x14ac:dyDescent="0.2">
      <c r="A10" s="120"/>
      <c r="B10" s="1"/>
      <c r="C10" s="1"/>
      <c r="D10" s="1"/>
      <c r="E10" s="1"/>
      <c r="F10" s="1"/>
      <c r="G10" s="1"/>
      <c r="H10" s="1"/>
      <c r="I10" s="1"/>
      <c r="J10" s="1"/>
      <c r="K10" s="1"/>
      <c r="L10" s="1"/>
      <c r="M10" s="1"/>
      <c r="N10" s="1"/>
    </row>
    <row r="11" spans="1:26" ht="25" customHeight="1" thickBot="1" x14ac:dyDescent="0.2">
      <c r="A11" s="580" t="s">
        <v>93</v>
      </c>
      <c r="B11" s="581"/>
      <c r="C11" s="581"/>
      <c r="D11" s="581"/>
      <c r="E11" s="581"/>
      <c r="F11" s="581"/>
      <c r="G11" s="581"/>
      <c r="H11" s="581"/>
      <c r="I11" s="581"/>
      <c r="J11" s="582"/>
      <c r="K11" s="1"/>
      <c r="L11" s="580" t="s">
        <v>93</v>
      </c>
      <c r="M11" s="581"/>
      <c r="N11" s="581"/>
      <c r="O11" s="581"/>
      <c r="P11" s="581"/>
      <c r="Q11" s="581"/>
      <c r="R11" s="582"/>
      <c r="T11" s="583" t="s">
        <v>93</v>
      </c>
      <c r="U11" s="584"/>
      <c r="V11" s="584"/>
      <c r="W11" s="584"/>
      <c r="X11" s="584"/>
      <c r="Y11" s="584"/>
      <c r="Z11" s="585"/>
    </row>
    <row r="12" spans="1:26" ht="12.75" customHeight="1" x14ac:dyDescent="0.15">
      <c r="A12" s="2"/>
      <c r="B12" s="2"/>
      <c r="C12" s="2"/>
      <c r="D12" s="577" t="s">
        <v>86</v>
      </c>
      <c r="E12" s="578"/>
      <c r="F12" s="579"/>
      <c r="G12" s="1"/>
      <c r="H12" s="1"/>
      <c r="I12" s="1"/>
      <c r="J12" s="1"/>
      <c r="K12" s="1"/>
      <c r="L12" s="1"/>
      <c r="M12" s="1"/>
      <c r="N12" s="1"/>
    </row>
    <row r="13" spans="1:26" ht="15" customHeight="1" x14ac:dyDescent="0.15">
      <c r="A13" s="7" t="s">
        <v>0</v>
      </c>
      <c r="B13" s="7" t="s">
        <v>1</v>
      </c>
      <c r="C13" s="7" t="s">
        <v>55</v>
      </c>
      <c r="D13" s="119">
        <v>1</v>
      </c>
      <c r="E13" s="119">
        <v>2</v>
      </c>
      <c r="F13" s="119">
        <v>3</v>
      </c>
      <c r="G13" s="8" t="s">
        <v>5</v>
      </c>
      <c r="H13" s="1"/>
      <c r="I13" s="7" t="s">
        <v>0</v>
      </c>
      <c r="J13" s="7" t="s">
        <v>55</v>
      </c>
      <c r="L13" s="1"/>
      <c r="M13" s="1"/>
      <c r="N13" s="1"/>
      <c r="V13" t="str">
        <f>T14</f>
        <v>Governance</v>
      </c>
      <c r="W13" t="str">
        <f>T17</f>
        <v>Design</v>
      </c>
      <c r="X13" t="str">
        <f>T20</f>
        <v>Implementation</v>
      </c>
      <c r="Y13" t="str">
        <f>T23</f>
        <v>Verification</v>
      </c>
      <c r="Z13" t="str">
        <f>T26</f>
        <v>Operations</v>
      </c>
    </row>
    <row r="14" spans="1:26" ht="25" customHeight="1" x14ac:dyDescent="0.15">
      <c r="A14" s="61" t="str">
        <f>Interview!$B$16</f>
        <v>Governance</v>
      </c>
      <c r="B14" s="65" t="str">
        <f>Interview!$D$17</f>
        <v>Strategy &amp; Metrics</v>
      </c>
      <c r="C14" s="93">
        <f>Interview!$J$18</f>
        <v>0</v>
      </c>
      <c r="D14" s="93">
        <f>Interview!H18</f>
        <v>0</v>
      </c>
      <c r="E14" s="93">
        <f>Interview!H20</f>
        <v>0</v>
      </c>
      <c r="F14" s="93">
        <f>Interview!H22</f>
        <v>0</v>
      </c>
      <c r="G14" s="6">
        <f t="shared" ref="G14:G28" si="0">(((((IF((C14="0+"),0.5,0)+IF((C14=1),1,0))+IF((C14="1+"),1.5,0))+IF((C14=2),2,0))+IF((C14="2+"),2.5,0))+IF((C14=3),3,0))+IF((C14="3+"),3.5,0)</f>
        <v>0</v>
      </c>
      <c r="H14" s="3"/>
      <c r="I14" s="61" t="str">
        <f>A14</f>
        <v>Governance</v>
      </c>
      <c r="J14" s="93">
        <f>AVERAGE(C14:C16)</f>
        <v>0.5</v>
      </c>
      <c r="L14" s="1"/>
      <c r="M14" s="1"/>
      <c r="N14" s="1"/>
      <c r="T14" s="61" t="str">
        <f t="shared" ref="T14:V16" si="1">A14</f>
        <v>Governance</v>
      </c>
      <c r="U14" s="65" t="str">
        <f t="shared" si="1"/>
        <v>Strategy &amp; Metrics</v>
      </c>
      <c r="V14" s="93">
        <f t="shared" si="1"/>
        <v>0</v>
      </c>
      <c r="W14" s="93">
        <v>0</v>
      </c>
      <c r="X14" s="93">
        <v>0</v>
      </c>
      <c r="Y14" s="93">
        <v>0</v>
      </c>
      <c r="Z14" s="93">
        <v>0</v>
      </c>
    </row>
    <row r="15" spans="1:26" ht="25" customHeight="1" x14ac:dyDescent="0.15">
      <c r="A15" s="61" t="str">
        <f>Interview!$B$16</f>
        <v>Governance</v>
      </c>
      <c r="B15" s="65" t="str">
        <f>Interview!$B$31</f>
        <v>Policy &amp; Compliance</v>
      </c>
      <c r="C15" s="93">
        <f>Interview!$J$32</f>
        <v>0.5</v>
      </c>
      <c r="D15" s="93">
        <f>Interview!H32</f>
        <v>0.5</v>
      </c>
      <c r="E15" s="93">
        <f>Interview!H34</f>
        <v>0</v>
      </c>
      <c r="F15" s="93">
        <f>Interview!H36</f>
        <v>0</v>
      </c>
      <c r="G15" s="6">
        <f t="shared" si="0"/>
        <v>0</v>
      </c>
      <c r="H15" s="3"/>
      <c r="I15" s="66" t="str">
        <f>A17</f>
        <v>Design</v>
      </c>
      <c r="J15" s="93">
        <f>AVERAGE(C17:C19)</f>
        <v>0.66666666666666663</v>
      </c>
      <c r="L15" s="1"/>
      <c r="M15" s="1"/>
      <c r="N15" s="1"/>
      <c r="T15" s="61" t="str">
        <f t="shared" si="1"/>
        <v>Governance</v>
      </c>
      <c r="U15" s="65" t="str">
        <f t="shared" si="1"/>
        <v>Policy &amp; Compliance</v>
      </c>
      <c r="V15" s="93">
        <f t="shared" si="1"/>
        <v>0.5</v>
      </c>
      <c r="W15" s="93">
        <v>0</v>
      </c>
      <c r="X15" s="93">
        <v>0</v>
      </c>
      <c r="Y15" s="93">
        <v>0</v>
      </c>
      <c r="Z15" s="93">
        <v>0</v>
      </c>
    </row>
    <row r="16" spans="1:26" ht="25" customHeight="1" x14ac:dyDescent="0.15">
      <c r="A16" s="61" t="str">
        <f>Interview!$B$16</f>
        <v>Governance</v>
      </c>
      <c r="B16" s="65" t="str">
        <f>Interview!$B$45</f>
        <v>Education &amp; Guidance</v>
      </c>
      <c r="C16" s="93">
        <f>Interview!$J$46</f>
        <v>1</v>
      </c>
      <c r="D16" s="93">
        <f>Interview!H46</f>
        <v>0</v>
      </c>
      <c r="E16" s="93">
        <f>Interview!H48</f>
        <v>0.5</v>
      </c>
      <c r="F16" s="93">
        <f>Interview!H50</f>
        <v>0.5</v>
      </c>
      <c r="G16" s="6">
        <f t="shared" si="0"/>
        <v>1</v>
      </c>
      <c r="H16" s="3"/>
      <c r="I16" s="277" t="str">
        <f>A20</f>
        <v>Implementation</v>
      </c>
      <c r="J16" s="93">
        <f>AVERAGE(C20:C22)</f>
        <v>0.54166666666666663</v>
      </c>
      <c r="L16" s="1"/>
      <c r="M16" s="1"/>
      <c r="N16" s="1"/>
      <c r="T16" s="61" t="str">
        <f t="shared" si="1"/>
        <v>Governance</v>
      </c>
      <c r="U16" s="65" t="str">
        <f t="shared" si="1"/>
        <v>Education &amp; Guidance</v>
      </c>
      <c r="V16" s="93">
        <f t="shared" si="1"/>
        <v>1</v>
      </c>
      <c r="W16" s="93">
        <v>0</v>
      </c>
      <c r="X16" s="93">
        <v>0</v>
      </c>
      <c r="Y16" s="93">
        <v>0</v>
      </c>
      <c r="Z16" s="93">
        <v>0</v>
      </c>
    </row>
    <row r="17" spans="1:26" ht="25" customHeight="1" x14ac:dyDescent="0.15">
      <c r="A17" s="66" t="str">
        <f>Interview!$B$59</f>
        <v>Design</v>
      </c>
      <c r="B17" s="69" t="str">
        <f>Interview!$B$60</f>
        <v>Threat Assessment</v>
      </c>
      <c r="C17" s="93">
        <f>Interview!$J$61</f>
        <v>1.5</v>
      </c>
      <c r="D17" s="93">
        <f>Interview!H61</f>
        <v>1</v>
      </c>
      <c r="E17" s="93">
        <f>Interview!H63</f>
        <v>0.5</v>
      </c>
      <c r="F17" s="93">
        <f>Interview!H65</f>
        <v>0</v>
      </c>
      <c r="G17" s="6">
        <f t="shared" si="0"/>
        <v>0</v>
      </c>
      <c r="H17" s="3"/>
      <c r="I17" s="70" t="str">
        <f>A23</f>
        <v>Verification</v>
      </c>
      <c r="J17" s="93">
        <f>AVERAGE(C23:C25)</f>
        <v>4.1666666666666664E-2</v>
      </c>
      <c r="L17" s="1"/>
      <c r="M17" s="1"/>
      <c r="N17" s="1"/>
      <c r="T17" s="66" t="str">
        <f t="shared" ref="T17:T28" si="2">A17</f>
        <v>Design</v>
      </c>
      <c r="U17" s="69" t="str">
        <f t="shared" ref="U17:U28" si="3">B17</f>
        <v>Threat Assessment</v>
      </c>
      <c r="V17" s="93">
        <v>0</v>
      </c>
      <c r="W17" s="93">
        <f>C17</f>
        <v>1.5</v>
      </c>
      <c r="X17" s="93">
        <v>0</v>
      </c>
      <c r="Y17" s="93">
        <v>0</v>
      </c>
      <c r="Z17" s="93">
        <v>0</v>
      </c>
    </row>
    <row r="18" spans="1:26" ht="25" customHeight="1" x14ac:dyDescent="0.15">
      <c r="A18" s="66" t="str">
        <f>Interview!$B$59</f>
        <v>Design</v>
      </c>
      <c r="B18" s="69" t="str">
        <f>Interview!$B$74</f>
        <v>Security Requirements</v>
      </c>
      <c r="C18" s="93">
        <f>Interview!$J$75</f>
        <v>0</v>
      </c>
      <c r="D18" s="93">
        <f>Interview!H75</f>
        <v>0</v>
      </c>
      <c r="E18" s="93">
        <f>Interview!H77</f>
        <v>0</v>
      </c>
      <c r="F18" s="93">
        <f>Interview!H79</f>
        <v>0</v>
      </c>
      <c r="G18" s="6">
        <f t="shared" si="0"/>
        <v>0</v>
      </c>
      <c r="H18" s="3"/>
      <c r="I18" s="74" t="str">
        <f>A26</f>
        <v>Operations</v>
      </c>
      <c r="J18" s="93">
        <f>AVERAGE(C26:C28)</f>
        <v>1.1666666666666667</v>
      </c>
      <c r="K18" s="1"/>
      <c r="L18" s="1"/>
      <c r="M18" s="1"/>
      <c r="N18" s="1"/>
      <c r="T18" s="66" t="str">
        <f t="shared" si="2"/>
        <v>Design</v>
      </c>
      <c r="U18" s="69" t="str">
        <f t="shared" si="3"/>
        <v>Security Requirements</v>
      </c>
      <c r="V18" s="93">
        <v>0</v>
      </c>
      <c r="W18" s="93">
        <f>C18</f>
        <v>0</v>
      </c>
      <c r="X18" s="93">
        <v>0</v>
      </c>
      <c r="Y18" s="93">
        <v>0</v>
      </c>
      <c r="Z18" s="93">
        <v>0</v>
      </c>
    </row>
    <row r="19" spans="1:26" ht="25" customHeight="1" x14ac:dyDescent="0.15">
      <c r="A19" s="66" t="str">
        <f>Interview!$B$59</f>
        <v>Design</v>
      </c>
      <c r="B19" s="69" t="str">
        <f>Interview!$B$88</f>
        <v>Secure Architecture</v>
      </c>
      <c r="C19" s="93">
        <f>Interview!$J$89</f>
        <v>0.5</v>
      </c>
      <c r="D19" s="93">
        <f>Interview!H89</f>
        <v>0.5</v>
      </c>
      <c r="E19" s="93">
        <f>Interview!H91</f>
        <v>0</v>
      </c>
      <c r="F19" s="93">
        <f>Interview!H93</f>
        <v>0</v>
      </c>
      <c r="G19" s="6">
        <f t="shared" si="0"/>
        <v>0</v>
      </c>
      <c r="H19" s="3"/>
      <c r="I19" s="1"/>
      <c r="J19" s="1"/>
      <c r="K19" s="1"/>
      <c r="L19" s="1"/>
      <c r="M19" s="1"/>
      <c r="N19" s="1"/>
      <c r="T19" s="66" t="str">
        <f t="shared" si="2"/>
        <v>Design</v>
      </c>
      <c r="U19" s="69" t="str">
        <f t="shared" si="3"/>
        <v>Secure Architecture</v>
      </c>
      <c r="V19" s="93">
        <v>0</v>
      </c>
      <c r="W19" s="93">
        <f>C19</f>
        <v>0.5</v>
      </c>
      <c r="X19" s="93">
        <v>0</v>
      </c>
      <c r="Y19" s="93">
        <v>0</v>
      </c>
      <c r="Z19" s="93">
        <v>0</v>
      </c>
    </row>
    <row r="20" spans="1:26" ht="25" customHeight="1" x14ac:dyDescent="0.15">
      <c r="A20" s="277" t="str">
        <f>Interview!$B$102</f>
        <v>Implementation</v>
      </c>
      <c r="B20" s="278" t="str">
        <f>Interview!$B$103</f>
        <v>Secure Build</v>
      </c>
      <c r="C20" s="93">
        <f>Interview!$J$104</f>
        <v>0.5</v>
      </c>
      <c r="D20" s="93">
        <f>Interview!H104</f>
        <v>0.5</v>
      </c>
      <c r="E20" s="93">
        <f>Interview!H106</f>
        <v>0</v>
      </c>
      <c r="F20" s="93">
        <f>Interview!H108</f>
        <v>0</v>
      </c>
      <c r="G20" s="6"/>
      <c r="H20" s="3"/>
      <c r="I20" s="1"/>
      <c r="J20" s="1"/>
      <c r="K20" s="1"/>
      <c r="L20" s="1"/>
      <c r="M20" s="1"/>
      <c r="N20" s="1"/>
      <c r="T20" s="277" t="str">
        <f t="shared" si="2"/>
        <v>Implementation</v>
      </c>
      <c r="U20" s="279" t="str">
        <f t="shared" si="3"/>
        <v>Secure Build</v>
      </c>
      <c r="V20" s="93">
        <v>0</v>
      </c>
      <c r="W20" s="93">
        <v>0</v>
      </c>
      <c r="X20" s="93">
        <f>C20</f>
        <v>0.5</v>
      </c>
      <c r="Y20" s="93">
        <v>0</v>
      </c>
      <c r="Z20" s="93">
        <v>0</v>
      </c>
    </row>
    <row r="21" spans="1:26" ht="25" customHeight="1" x14ac:dyDescent="0.15">
      <c r="A21" s="277" t="str">
        <f>Interview!$B$102</f>
        <v>Implementation</v>
      </c>
      <c r="B21" s="278" t="str">
        <f>Interview!$B$117</f>
        <v>Secure Deployment</v>
      </c>
      <c r="C21" s="93">
        <f>Interview!$J$118</f>
        <v>0.625</v>
      </c>
      <c r="D21" s="93">
        <f>Interview!H118</f>
        <v>0</v>
      </c>
      <c r="E21" s="93">
        <f>Interview!H120</f>
        <v>0.5</v>
      </c>
      <c r="F21" s="93">
        <f>Interview!H122</f>
        <v>0.125</v>
      </c>
      <c r="G21" s="6"/>
      <c r="H21" s="3"/>
      <c r="I21" s="1"/>
      <c r="J21" s="1"/>
      <c r="K21" s="1"/>
      <c r="L21" s="1"/>
      <c r="M21" s="1"/>
      <c r="N21" s="1"/>
      <c r="T21" s="277" t="str">
        <f t="shared" si="2"/>
        <v>Implementation</v>
      </c>
      <c r="U21" s="279" t="str">
        <f t="shared" si="3"/>
        <v>Secure Deployment</v>
      </c>
      <c r="V21" s="93">
        <v>0</v>
      </c>
      <c r="W21" s="93">
        <v>0</v>
      </c>
      <c r="X21" s="93">
        <f>C21</f>
        <v>0.625</v>
      </c>
      <c r="Y21" s="93">
        <v>0</v>
      </c>
      <c r="Z21" s="93">
        <v>0</v>
      </c>
    </row>
    <row r="22" spans="1:26" ht="25" customHeight="1" x14ac:dyDescent="0.15">
      <c r="A22" s="277" t="str">
        <f>Interview!$B$102</f>
        <v>Implementation</v>
      </c>
      <c r="B22" s="278" t="str">
        <f>Interview!$B$131</f>
        <v>Defect Management</v>
      </c>
      <c r="C22" s="93">
        <f>Interview!$J$132</f>
        <v>0.5</v>
      </c>
      <c r="D22" s="93">
        <f>Interview!H132</f>
        <v>0</v>
      </c>
      <c r="E22" s="93">
        <f>Interview!H134</f>
        <v>0</v>
      </c>
      <c r="F22" s="93">
        <f>Interview!H136</f>
        <v>0.5</v>
      </c>
      <c r="G22" s="6"/>
      <c r="H22" s="3"/>
      <c r="I22" s="1"/>
      <c r="J22" s="1"/>
      <c r="K22" s="1"/>
      <c r="L22" s="1"/>
      <c r="M22" s="1"/>
      <c r="N22" s="1"/>
      <c r="T22" s="277" t="str">
        <f t="shared" si="2"/>
        <v>Implementation</v>
      </c>
      <c r="U22" s="279" t="str">
        <f t="shared" si="3"/>
        <v>Defect Management</v>
      </c>
      <c r="V22" s="93">
        <v>0</v>
      </c>
      <c r="W22" s="93">
        <v>0</v>
      </c>
      <c r="X22" s="93">
        <f>C22</f>
        <v>0.5</v>
      </c>
      <c r="Y22" s="93">
        <v>0</v>
      </c>
      <c r="Z22" s="93">
        <v>0</v>
      </c>
    </row>
    <row r="23" spans="1:26" ht="25" customHeight="1" x14ac:dyDescent="0.15">
      <c r="A23" s="70" t="str">
        <f>Interview!$B$145</f>
        <v>Verification</v>
      </c>
      <c r="B23" s="73" t="str">
        <f>Interview!$B$146</f>
        <v>Architecture Assessment</v>
      </c>
      <c r="C23" s="93">
        <f>Interview!$J$147</f>
        <v>0.125</v>
      </c>
      <c r="D23" s="93">
        <f>Interview!H147</f>
        <v>0</v>
      </c>
      <c r="E23" s="93">
        <f>Interview!H149</f>
        <v>0.125</v>
      </c>
      <c r="F23" s="93">
        <f>Interview!H151</f>
        <v>0</v>
      </c>
      <c r="G23" s="6">
        <f t="shared" si="0"/>
        <v>0</v>
      </c>
      <c r="H23" s="3"/>
      <c r="I23" s="1"/>
      <c r="J23" s="1"/>
      <c r="K23" s="1"/>
      <c r="L23" s="1"/>
      <c r="M23" s="1"/>
      <c r="N23" s="1"/>
      <c r="T23" s="70" t="str">
        <f t="shared" si="2"/>
        <v>Verification</v>
      </c>
      <c r="U23" s="73" t="str">
        <f t="shared" si="3"/>
        <v>Architecture Assessment</v>
      </c>
      <c r="V23" s="93">
        <v>0</v>
      </c>
      <c r="W23" s="93">
        <v>0</v>
      </c>
      <c r="X23" s="93">
        <v>0</v>
      </c>
      <c r="Y23" s="93">
        <f>C23</f>
        <v>0.125</v>
      </c>
      <c r="Z23" s="93">
        <v>0</v>
      </c>
    </row>
    <row r="24" spans="1:26" ht="25" customHeight="1" x14ac:dyDescent="0.15">
      <c r="A24" s="70" t="str">
        <f>Interview!$B$145</f>
        <v>Verification</v>
      </c>
      <c r="B24" s="73" t="str">
        <f>Interview!$B$160</f>
        <v>Requirements Testing</v>
      </c>
      <c r="C24" s="93">
        <f>Interview!$J$161</f>
        <v>0</v>
      </c>
      <c r="D24" s="93">
        <f>Interview!H161</f>
        <v>0</v>
      </c>
      <c r="E24" s="93">
        <f>Interview!H163</f>
        <v>0</v>
      </c>
      <c r="F24" s="93">
        <f>Interview!H165</f>
        <v>0</v>
      </c>
      <c r="G24" s="6">
        <f t="shared" si="0"/>
        <v>0</v>
      </c>
      <c r="H24" s="3"/>
      <c r="I24" s="1"/>
      <c r="J24" s="1"/>
      <c r="K24" s="1"/>
      <c r="L24" s="1"/>
      <c r="M24" s="1"/>
      <c r="N24" s="1"/>
      <c r="T24" s="70" t="str">
        <f t="shared" si="2"/>
        <v>Verification</v>
      </c>
      <c r="U24" s="73" t="str">
        <f t="shared" si="3"/>
        <v>Requirements Testing</v>
      </c>
      <c r="V24" s="93">
        <v>0</v>
      </c>
      <c r="W24" s="93">
        <v>0</v>
      </c>
      <c r="X24" s="93">
        <v>0</v>
      </c>
      <c r="Y24" s="93">
        <f>C24</f>
        <v>0</v>
      </c>
      <c r="Z24" s="93">
        <v>0</v>
      </c>
    </row>
    <row r="25" spans="1:26" ht="25" customHeight="1" x14ac:dyDescent="0.15">
      <c r="A25" s="70" t="str">
        <f>Interview!$B$145</f>
        <v>Verification</v>
      </c>
      <c r="B25" s="73" t="str">
        <f>Interview!$B$174</f>
        <v>Security Testing</v>
      </c>
      <c r="C25" s="93">
        <f>Interview!$J$175</f>
        <v>0</v>
      </c>
      <c r="D25" s="93">
        <f>Interview!H175</f>
        <v>0</v>
      </c>
      <c r="E25" s="93">
        <f>Interview!H177</f>
        <v>0</v>
      </c>
      <c r="F25" s="93">
        <f>Interview!H179</f>
        <v>0</v>
      </c>
      <c r="G25" s="6">
        <f t="shared" si="0"/>
        <v>0</v>
      </c>
      <c r="H25" s="3"/>
      <c r="I25" s="1"/>
      <c r="J25" s="1"/>
      <c r="K25" s="1"/>
      <c r="L25" s="1"/>
      <c r="M25" s="1"/>
      <c r="N25" s="1"/>
      <c r="T25" s="70" t="str">
        <f t="shared" si="2"/>
        <v>Verification</v>
      </c>
      <c r="U25" s="73" t="str">
        <f t="shared" si="3"/>
        <v>Security Testing</v>
      </c>
      <c r="V25" s="93">
        <v>0</v>
      </c>
      <c r="W25" s="93">
        <v>0</v>
      </c>
      <c r="X25" s="93">
        <v>0</v>
      </c>
      <c r="Y25" s="93">
        <f>C25</f>
        <v>0</v>
      </c>
      <c r="Z25" s="93">
        <v>0</v>
      </c>
    </row>
    <row r="26" spans="1:26" ht="25" customHeight="1" x14ac:dyDescent="0.15">
      <c r="A26" s="74" t="str">
        <f>Interview!$B$188</f>
        <v>Operations</v>
      </c>
      <c r="B26" s="77" t="str">
        <f>Interview!$B$189</f>
        <v>Incident Management</v>
      </c>
      <c r="C26" s="93">
        <f>Interview!$J$190</f>
        <v>0</v>
      </c>
      <c r="D26" s="93">
        <f>Interview!H190</f>
        <v>0</v>
      </c>
      <c r="E26" s="93">
        <f>Interview!H192</f>
        <v>0</v>
      </c>
      <c r="F26" s="93">
        <f>Interview!H194</f>
        <v>0</v>
      </c>
      <c r="G26" s="6">
        <f t="shared" si="0"/>
        <v>0</v>
      </c>
      <c r="H26" s="3"/>
      <c r="I26" s="1"/>
      <c r="J26" s="1"/>
      <c r="K26" s="1"/>
      <c r="L26" s="1"/>
      <c r="M26" s="1"/>
      <c r="N26" s="1"/>
      <c r="T26" s="74" t="str">
        <f t="shared" si="2"/>
        <v>Operations</v>
      </c>
      <c r="U26" s="77" t="str">
        <f t="shared" si="3"/>
        <v>Incident Management</v>
      </c>
      <c r="V26" s="93">
        <v>0</v>
      </c>
      <c r="W26" s="93">
        <v>0</v>
      </c>
      <c r="X26" s="93">
        <v>0</v>
      </c>
      <c r="Y26" s="93">
        <v>0</v>
      </c>
      <c r="Z26" s="93">
        <f>C26</f>
        <v>0</v>
      </c>
    </row>
    <row r="27" spans="1:26" ht="25" customHeight="1" x14ac:dyDescent="0.15">
      <c r="A27" s="74" t="str">
        <f>Interview!$B$188</f>
        <v>Operations</v>
      </c>
      <c r="B27" s="77" t="str">
        <f>Interview!$B$203</f>
        <v>Environment Management</v>
      </c>
      <c r="C27" s="93">
        <f>Interview!$J$204</f>
        <v>1</v>
      </c>
      <c r="D27" s="93">
        <f>Interview!H204</f>
        <v>0</v>
      </c>
      <c r="E27" s="93">
        <f>Interview!H206</f>
        <v>0.5</v>
      </c>
      <c r="F27" s="93">
        <f>Interview!H208</f>
        <v>0.5</v>
      </c>
      <c r="G27" s="6">
        <f t="shared" si="0"/>
        <v>1</v>
      </c>
      <c r="H27" s="3"/>
      <c r="I27" s="1"/>
      <c r="J27" s="1"/>
      <c r="K27" s="1"/>
      <c r="L27" s="1"/>
      <c r="M27" s="1"/>
      <c r="N27" s="1"/>
      <c r="T27" s="74" t="str">
        <f t="shared" si="2"/>
        <v>Operations</v>
      </c>
      <c r="U27" s="77" t="str">
        <f t="shared" si="3"/>
        <v>Environment Management</v>
      </c>
      <c r="V27" s="93">
        <v>0</v>
      </c>
      <c r="W27" s="93">
        <v>0</v>
      </c>
      <c r="X27" s="93">
        <v>0</v>
      </c>
      <c r="Y27" s="93">
        <v>0</v>
      </c>
      <c r="Z27" s="93">
        <f>C27</f>
        <v>1</v>
      </c>
    </row>
    <row r="28" spans="1:26" ht="25" customHeight="1" x14ac:dyDescent="0.15">
      <c r="A28" s="74" t="str">
        <f>Interview!$B$188</f>
        <v>Operations</v>
      </c>
      <c r="B28" s="77" t="str">
        <f>Interview!$B$217</f>
        <v>Operational Management</v>
      </c>
      <c r="C28" s="93">
        <f>Interview!$J$218</f>
        <v>2.5</v>
      </c>
      <c r="D28" s="93">
        <f>Interview!H218</f>
        <v>0.5</v>
      </c>
      <c r="E28" s="93">
        <f>Interview!H220</f>
        <v>1</v>
      </c>
      <c r="F28" s="93">
        <f>Interview!H222</f>
        <v>1</v>
      </c>
      <c r="G28" s="6">
        <f t="shared" si="0"/>
        <v>0</v>
      </c>
      <c r="H28" s="3"/>
      <c r="I28" s="1"/>
      <c r="J28" s="1"/>
      <c r="K28" s="1"/>
      <c r="L28" s="1"/>
      <c r="M28" s="1"/>
      <c r="N28" s="1"/>
      <c r="T28" s="74" t="str">
        <f t="shared" si="2"/>
        <v>Operations</v>
      </c>
      <c r="U28" s="77" t="str">
        <f t="shared" si="3"/>
        <v>Operational Management</v>
      </c>
      <c r="V28" s="93">
        <v>0</v>
      </c>
      <c r="W28" s="93">
        <v>0</v>
      </c>
      <c r="X28" s="93">
        <v>0</v>
      </c>
      <c r="Y28" s="93">
        <v>0</v>
      </c>
      <c r="Z28" s="93">
        <f>C28</f>
        <v>2.5</v>
      </c>
    </row>
    <row r="29" spans="1:26" ht="12.75" customHeight="1" x14ac:dyDescent="0.15">
      <c r="A29" s="4"/>
      <c r="B29" s="4"/>
      <c r="C29" s="4"/>
      <c r="D29" s="4"/>
      <c r="E29" s="4"/>
      <c r="F29" s="4"/>
      <c r="G29" s="1"/>
      <c r="H29" s="1"/>
      <c r="I29" s="1"/>
      <c r="J29" s="1"/>
      <c r="K29" s="1"/>
      <c r="L29" s="1"/>
      <c r="M29" s="1"/>
      <c r="N29" s="1"/>
    </row>
    <row r="30" spans="1:26" ht="12.75" customHeight="1" thickBot="1" x14ac:dyDescent="0.2">
      <c r="K30" s="1"/>
    </row>
    <row r="31" spans="1:26" ht="25" customHeight="1" thickBot="1" x14ac:dyDescent="0.2">
      <c r="A31" s="580" t="s">
        <v>118</v>
      </c>
      <c r="B31" s="581"/>
      <c r="C31" s="581"/>
      <c r="D31" s="581"/>
      <c r="E31" s="581"/>
      <c r="F31" s="581"/>
      <c r="G31" s="581"/>
      <c r="H31" s="581"/>
      <c r="I31" s="581"/>
      <c r="J31" s="582"/>
      <c r="K31" s="1"/>
      <c r="L31" s="580" t="s">
        <v>118</v>
      </c>
      <c r="M31" s="581"/>
      <c r="N31" s="581"/>
      <c r="O31" s="581"/>
      <c r="P31" s="581"/>
      <c r="Q31" s="581"/>
      <c r="R31" s="582"/>
      <c r="T31" s="583" t="s">
        <v>118</v>
      </c>
      <c r="U31" s="584"/>
      <c r="V31" s="584"/>
      <c r="W31" s="584"/>
      <c r="X31" s="584"/>
      <c r="Y31" s="584"/>
      <c r="Z31" s="585"/>
    </row>
    <row r="32" spans="1:26" ht="12" customHeight="1" x14ac:dyDescent="0.15">
      <c r="A32" s="2"/>
      <c r="B32" s="2"/>
      <c r="C32" s="2"/>
      <c r="D32" s="577" t="s">
        <v>86</v>
      </c>
      <c r="E32" s="578"/>
      <c r="F32" s="579"/>
      <c r="G32" s="1"/>
      <c r="H32" s="1"/>
      <c r="I32" s="1"/>
      <c r="J32" s="1"/>
      <c r="K32" s="1"/>
      <c r="L32" s="1"/>
      <c r="M32" s="1"/>
      <c r="N32" s="1"/>
    </row>
    <row r="33" spans="1:26" ht="25" customHeight="1" x14ac:dyDescent="0.15">
      <c r="A33" s="7" t="s">
        <v>0</v>
      </c>
      <c r="B33" s="7" t="s">
        <v>1</v>
      </c>
      <c r="C33" s="7" t="s">
        <v>55</v>
      </c>
      <c r="D33" s="119">
        <v>1</v>
      </c>
      <c r="E33" s="119">
        <v>2</v>
      </c>
      <c r="F33" s="119">
        <v>3</v>
      </c>
      <c r="G33" s="8" t="s">
        <v>5</v>
      </c>
      <c r="H33" s="1"/>
      <c r="I33" s="7" t="s">
        <v>0</v>
      </c>
      <c r="J33" s="7" t="s">
        <v>55</v>
      </c>
      <c r="K33" s="1"/>
      <c r="L33" s="1"/>
      <c r="M33" s="1"/>
      <c r="N33" s="1"/>
      <c r="V33" t="str">
        <f>T34</f>
        <v>Governance</v>
      </c>
      <c r="W33" t="str">
        <f>T37</f>
        <v>Design</v>
      </c>
      <c r="X33" t="str">
        <f>T40</f>
        <v>Implementation</v>
      </c>
      <c r="Y33" t="str">
        <f>T43</f>
        <v>Verification</v>
      </c>
      <c r="Z33" t="str">
        <f>T46</f>
        <v>Operations</v>
      </c>
    </row>
    <row r="34" spans="1:26" ht="25" customHeight="1" x14ac:dyDescent="0.15">
      <c r="A34" s="61" t="str">
        <f>Interview!$B$16</f>
        <v>Governance</v>
      </c>
      <c r="B34" s="65" t="str">
        <f>Interview!$D$17</f>
        <v>Strategy &amp; Metrics</v>
      </c>
      <c r="C34" s="93">
        <f>Roadmap!M18</f>
        <v>0.125</v>
      </c>
      <c r="D34" s="93">
        <f>Roadmap!L18</f>
        <v>0</v>
      </c>
      <c r="E34" s="93">
        <f>Roadmap!L19</f>
        <v>0</v>
      </c>
      <c r="F34" s="93">
        <f>Roadmap!L20</f>
        <v>0.125</v>
      </c>
      <c r="G34" s="6">
        <f t="shared" ref="G34:G48" si="4">(((((IF((C34="0+"),0.5,0)+IF((C34=1),1,0))+IF((C34="1+"),1.5,0))+IF((C34=2),2,0))+IF((C34="2+"),2.5,0))+IF((C34=3),3,0))+IF((C34="3+"),3.5,0)</f>
        <v>0</v>
      </c>
      <c r="H34" s="3"/>
      <c r="I34" s="61" t="str">
        <f>A34</f>
        <v>Governance</v>
      </c>
      <c r="J34" s="93">
        <f>AVERAGE(C34:C36)</f>
        <v>0.54166666666666663</v>
      </c>
      <c r="K34" s="1"/>
      <c r="L34" s="1"/>
      <c r="M34" s="1"/>
      <c r="N34" s="1"/>
      <c r="T34" s="61" t="str">
        <f>Interview!$B$16</f>
        <v>Governance</v>
      </c>
      <c r="U34" s="65" t="str">
        <f>Interview!$D$17</f>
        <v>Strategy &amp; Metrics</v>
      </c>
      <c r="V34" s="93">
        <f>C34</f>
        <v>0.125</v>
      </c>
      <c r="W34" s="93">
        <v>0</v>
      </c>
      <c r="X34" s="93">
        <v>0</v>
      </c>
      <c r="Y34" s="93">
        <v>0</v>
      </c>
      <c r="Z34" s="93">
        <v>0</v>
      </c>
    </row>
    <row r="35" spans="1:26" ht="25" customHeight="1" x14ac:dyDescent="0.15">
      <c r="A35" s="61" t="str">
        <f>Interview!$B$16</f>
        <v>Governance</v>
      </c>
      <c r="B35" s="65" t="str">
        <f>Interview!$B$31</f>
        <v>Policy &amp; Compliance</v>
      </c>
      <c r="C35" s="93">
        <f>Roadmap!M27</f>
        <v>0.5</v>
      </c>
      <c r="D35" s="93">
        <f>Roadmap!L27</f>
        <v>0.5</v>
      </c>
      <c r="E35" s="93">
        <f>Roadmap!L28</f>
        <v>0</v>
      </c>
      <c r="F35" s="93">
        <f>Roadmap!L29</f>
        <v>0</v>
      </c>
      <c r="G35" s="6">
        <f t="shared" si="4"/>
        <v>0</v>
      </c>
      <c r="H35" s="3"/>
      <c r="I35" s="66" t="str">
        <f>A37</f>
        <v>Design</v>
      </c>
      <c r="J35" s="93">
        <f>AVERAGE(C37:C39)</f>
        <v>0.66666666666666663</v>
      </c>
      <c r="K35" s="1"/>
      <c r="L35" s="1"/>
      <c r="M35" s="1"/>
      <c r="N35" s="1"/>
      <c r="T35" s="61" t="str">
        <f>Interview!$B$16</f>
        <v>Governance</v>
      </c>
      <c r="U35" s="65" t="str">
        <f>Interview!$B$31</f>
        <v>Policy &amp; Compliance</v>
      </c>
      <c r="V35" s="93">
        <f>C35</f>
        <v>0.5</v>
      </c>
      <c r="W35" s="93">
        <v>0</v>
      </c>
      <c r="X35" s="93">
        <v>0</v>
      </c>
      <c r="Y35" s="93">
        <v>0</v>
      </c>
      <c r="Z35" s="93">
        <v>0</v>
      </c>
    </row>
    <row r="36" spans="1:26" ht="25" customHeight="1" x14ac:dyDescent="0.15">
      <c r="A36" s="61" t="str">
        <f>Interview!$B$16</f>
        <v>Governance</v>
      </c>
      <c r="B36" s="65" t="str">
        <f>Interview!$B$45</f>
        <v>Education &amp; Guidance</v>
      </c>
      <c r="C36" s="93">
        <f>Roadmap!M36</f>
        <v>1</v>
      </c>
      <c r="D36" s="93">
        <f>Roadmap!L36</f>
        <v>0</v>
      </c>
      <c r="E36" s="93">
        <f>Roadmap!L37</f>
        <v>0.5</v>
      </c>
      <c r="F36" s="93">
        <f>Roadmap!L38</f>
        <v>0.5</v>
      </c>
      <c r="G36" s="6">
        <f t="shared" si="4"/>
        <v>1</v>
      </c>
      <c r="H36" s="3"/>
      <c r="I36" s="277" t="str">
        <f>A40</f>
        <v>Implementation</v>
      </c>
      <c r="J36" s="93">
        <f>AVERAGE(C40:C42)</f>
        <v>0</v>
      </c>
      <c r="K36" s="1"/>
      <c r="L36" s="1"/>
      <c r="M36" s="1"/>
      <c r="N36" s="1"/>
      <c r="T36" s="61" t="str">
        <f>Interview!$B$16</f>
        <v>Governance</v>
      </c>
      <c r="U36" s="65" t="str">
        <f>Interview!$B$45</f>
        <v>Education &amp; Guidance</v>
      </c>
      <c r="V36" s="93">
        <f>C36</f>
        <v>1</v>
      </c>
      <c r="W36" s="93">
        <v>0</v>
      </c>
      <c r="X36" s="93">
        <v>0</v>
      </c>
      <c r="Y36" s="93">
        <v>0</v>
      </c>
      <c r="Z36" s="93">
        <v>0</v>
      </c>
    </row>
    <row r="37" spans="1:26" ht="25" customHeight="1" x14ac:dyDescent="0.15">
      <c r="A37" s="66" t="str">
        <f>Interview!$B$59</f>
        <v>Design</v>
      </c>
      <c r="B37" s="69" t="str">
        <f>Interview!$B$60</f>
        <v>Threat Assessment</v>
      </c>
      <c r="C37" s="93">
        <f>Roadmap!M46</f>
        <v>1.5</v>
      </c>
      <c r="D37" s="93">
        <f>Roadmap!L46</f>
        <v>1</v>
      </c>
      <c r="E37" s="93">
        <f>Roadmap!L47</f>
        <v>0.5</v>
      </c>
      <c r="F37" s="93">
        <f>Roadmap!L48</f>
        <v>0</v>
      </c>
      <c r="G37" s="6">
        <f t="shared" si="4"/>
        <v>0</v>
      </c>
      <c r="H37" s="3"/>
      <c r="I37" s="70" t="str">
        <f>A43</f>
        <v>Verification</v>
      </c>
      <c r="J37" s="93">
        <f>AVERAGE(C43:C45)</f>
        <v>4.1666666666666664E-2</v>
      </c>
      <c r="K37" s="1"/>
      <c r="L37" s="1"/>
      <c r="M37" s="1"/>
      <c r="N37" s="1"/>
      <c r="T37" s="66" t="str">
        <f>Interview!$B$59</f>
        <v>Design</v>
      </c>
      <c r="U37" s="69" t="str">
        <f>Interview!$B$60</f>
        <v>Threat Assessment</v>
      </c>
      <c r="V37" s="93">
        <v>0</v>
      </c>
      <c r="W37" s="93">
        <f>C37</f>
        <v>1.5</v>
      </c>
      <c r="X37" s="93">
        <v>0</v>
      </c>
      <c r="Y37" s="93">
        <v>0</v>
      </c>
      <c r="Z37" s="93">
        <v>0</v>
      </c>
    </row>
    <row r="38" spans="1:26" ht="25" customHeight="1" x14ac:dyDescent="0.15">
      <c r="A38" s="66" t="str">
        <f>Interview!$B$59</f>
        <v>Design</v>
      </c>
      <c r="B38" s="69" t="str">
        <f>Interview!$B$74</f>
        <v>Security Requirements</v>
      </c>
      <c r="C38" s="93">
        <f>Roadmap!M55</f>
        <v>0</v>
      </c>
      <c r="D38" s="93">
        <f>Roadmap!L55</f>
        <v>0</v>
      </c>
      <c r="E38" s="93">
        <f>Roadmap!L56</f>
        <v>0</v>
      </c>
      <c r="F38" s="93">
        <f>Roadmap!L57</f>
        <v>0</v>
      </c>
      <c r="G38" s="6">
        <f t="shared" si="4"/>
        <v>0</v>
      </c>
      <c r="H38" s="3"/>
      <c r="I38" s="74" t="str">
        <f>A46</f>
        <v>Operations</v>
      </c>
      <c r="J38" s="93">
        <f>AVERAGE(C46:C48)</f>
        <v>1.1666666666666667</v>
      </c>
      <c r="K38" s="1"/>
      <c r="L38" s="1"/>
      <c r="M38" s="1"/>
      <c r="N38" s="1"/>
      <c r="T38" s="66" t="str">
        <f>Interview!$B$59</f>
        <v>Design</v>
      </c>
      <c r="U38" s="69" t="str">
        <f>Interview!$B$74</f>
        <v>Security Requirements</v>
      </c>
      <c r="V38" s="93">
        <v>0</v>
      </c>
      <c r="W38" s="93">
        <f>C38</f>
        <v>0</v>
      </c>
      <c r="X38" s="93">
        <v>0</v>
      </c>
      <c r="Y38" s="93">
        <v>0</v>
      </c>
      <c r="Z38" s="93">
        <v>0</v>
      </c>
    </row>
    <row r="39" spans="1:26" ht="25" customHeight="1" x14ac:dyDescent="0.15">
      <c r="A39" s="66" t="str">
        <f>Interview!$B$59</f>
        <v>Design</v>
      </c>
      <c r="B39" s="69" t="str">
        <f>Interview!$B$88</f>
        <v>Secure Architecture</v>
      </c>
      <c r="C39" s="93">
        <f>Roadmap!M64</f>
        <v>0.5</v>
      </c>
      <c r="D39" s="93">
        <f>Roadmap!L64</f>
        <v>0.5</v>
      </c>
      <c r="E39" s="93">
        <f>Roadmap!L65</f>
        <v>0</v>
      </c>
      <c r="F39" s="93">
        <f>Roadmap!L66</f>
        <v>0</v>
      </c>
      <c r="G39" s="6">
        <f t="shared" si="4"/>
        <v>0</v>
      </c>
      <c r="H39" s="3"/>
      <c r="I39" s="1"/>
      <c r="J39" s="1"/>
      <c r="K39" s="1"/>
      <c r="L39" s="1"/>
      <c r="M39" s="1"/>
      <c r="N39" s="1"/>
      <c r="T39" s="66" t="str">
        <f>Interview!$B$59</f>
        <v>Design</v>
      </c>
      <c r="U39" s="69" t="str">
        <f>Interview!$B$88</f>
        <v>Secure Architecture</v>
      </c>
      <c r="V39" s="93">
        <v>0</v>
      </c>
      <c r="W39" s="93">
        <f>C39</f>
        <v>0.5</v>
      </c>
      <c r="X39" s="93">
        <v>0</v>
      </c>
      <c r="Y39" s="93">
        <v>0</v>
      </c>
      <c r="Z39" s="93">
        <v>0</v>
      </c>
    </row>
    <row r="40" spans="1:26" ht="25" customHeight="1" x14ac:dyDescent="0.15">
      <c r="A40" s="277" t="str">
        <f>Interview!$B$102</f>
        <v>Implementation</v>
      </c>
      <c r="B40" s="278" t="str">
        <f>Interview!$B$103</f>
        <v>Secure Build</v>
      </c>
      <c r="C40" s="93">
        <f>Roadmap!M74</f>
        <v>0</v>
      </c>
      <c r="D40" s="93">
        <f>Roadmap!L74</f>
        <v>0</v>
      </c>
      <c r="E40" s="93">
        <f>Roadmap!L75</f>
        <v>0</v>
      </c>
      <c r="F40" s="93">
        <f>Roadmap!L76</f>
        <v>0</v>
      </c>
      <c r="G40" s="6"/>
      <c r="H40" s="3"/>
      <c r="I40" s="1"/>
      <c r="J40" s="1"/>
      <c r="K40" s="1"/>
      <c r="L40" s="1"/>
      <c r="M40" s="1"/>
      <c r="N40" s="1"/>
      <c r="T40" s="277" t="str">
        <f>Interview!$B$102</f>
        <v>Implementation</v>
      </c>
      <c r="U40" s="278" t="str">
        <f>Interview!$B$103</f>
        <v>Secure Build</v>
      </c>
      <c r="V40" s="93">
        <v>0</v>
      </c>
      <c r="W40" s="93">
        <v>0</v>
      </c>
      <c r="X40" s="93">
        <f>C40</f>
        <v>0</v>
      </c>
      <c r="Y40" s="93">
        <v>0</v>
      </c>
      <c r="Z40" s="93">
        <v>0</v>
      </c>
    </row>
    <row r="41" spans="1:26" ht="25" customHeight="1" x14ac:dyDescent="0.15">
      <c r="A41" s="277" t="str">
        <f>Interview!$B$102</f>
        <v>Implementation</v>
      </c>
      <c r="B41" s="278" t="str">
        <f>Interview!$B$117</f>
        <v>Secure Deployment</v>
      </c>
      <c r="C41" s="93">
        <f>Roadmap!M83</f>
        <v>0</v>
      </c>
      <c r="D41" s="93">
        <f>Roadmap!L83</f>
        <v>0</v>
      </c>
      <c r="E41" s="93">
        <f>Roadmap!L84</f>
        <v>0</v>
      </c>
      <c r="F41" s="93">
        <f>Roadmap!L85</f>
        <v>0</v>
      </c>
      <c r="G41" s="6"/>
      <c r="H41" s="3"/>
      <c r="I41" s="1"/>
      <c r="J41" s="1"/>
      <c r="K41" s="1"/>
      <c r="L41" s="1"/>
      <c r="M41" s="1"/>
      <c r="N41" s="1"/>
      <c r="T41" s="277" t="str">
        <f>Interview!$B$102</f>
        <v>Implementation</v>
      </c>
      <c r="U41" s="278" t="str">
        <f>Interview!$B$117</f>
        <v>Secure Deployment</v>
      </c>
      <c r="V41" s="93">
        <v>0</v>
      </c>
      <c r="W41" s="93">
        <v>0</v>
      </c>
      <c r="X41" s="93">
        <f>C41</f>
        <v>0</v>
      </c>
      <c r="Y41" s="93">
        <v>0</v>
      </c>
      <c r="Z41" s="93">
        <v>0</v>
      </c>
    </row>
    <row r="42" spans="1:26" ht="25" customHeight="1" x14ac:dyDescent="0.15">
      <c r="A42" s="277" t="str">
        <f>Interview!$B$102</f>
        <v>Implementation</v>
      </c>
      <c r="B42" s="278" t="str">
        <f>Interview!$B$131</f>
        <v>Defect Management</v>
      </c>
      <c r="C42" s="93">
        <f>Roadmap!M92</f>
        <v>0</v>
      </c>
      <c r="D42" s="93">
        <f>Roadmap!L92</f>
        <v>0</v>
      </c>
      <c r="E42" s="93">
        <f>Roadmap!L93</f>
        <v>0</v>
      </c>
      <c r="F42" s="93">
        <f>Roadmap!L94</f>
        <v>0</v>
      </c>
      <c r="G42" s="6"/>
      <c r="H42" s="3"/>
      <c r="I42" s="1"/>
      <c r="J42" s="1"/>
      <c r="K42" s="1"/>
      <c r="L42" s="1"/>
      <c r="M42" s="1"/>
      <c r="N42" s="1"/>
      <c r="T42" s="277" t="str">
        <f>Interview!$B$102</f>
        <v>Implementation</v>
      </c>
      <c r="U42" s="278" t="str">
        <f>Interview!$B$131</f>
        <v>Defect Management</v>
      </c>
      <c r="V42" s="93">
        <v>0</v>
      </c>
      <c r="W42" s="93">
        <v>0</v>
      </c>
      <c r="X42" s="93">
        <f>C42</f>
        <v>0</v>
      </c>
      <c r="Y42" s="93">
        <v>0</v>
      </c>
      <c r="Z42" s="93">
        <v>0</v>
      </c>
    </row>
    <row r="43" spans="1:26" ht="25" customHeight="1" x14ac:dyDescent="0.15">
      <c r="A43" s="70" t="str">
        <f>Interview!$B$145</f>
        <v>Verification</v>
      </c>
      <c r="B43" s="73" t="str">
        <f>Interview!$B$146</f>
        <v>Architecture Assessment</v>
      </c>
      <c r="C43" s="93">
        <f>Roadmap!M102</f>
        <v>0.125</v>
      </c>
      <c r="D43" s="93">
        <f>Roadmap!L102</f>
        <v>0</v>
      </c>
      <c r="E43" s="93">
        <f>Roadmap!L103</f>
        <v>0.125</v>
      </c>
      <c r="F43" s="93">
        <f>Roadmap!L104</f>
        <v>0</v>
      </c>
      <c r="G43" s="6">
        <f t="shared" si="4"/>
        <v>0</v>
      </c>
      <c r="H43" s="3"/>
      <c r="I43" s="1"/>
      <c r="J43" s="1"/>
      <c r="K43" s="1"/>
      <c r="L43" s="1"/>
      <c r="M43" s="1"/>
      <c r="N43" s="1"/>
      <c r="T43" s="70" t="str">
        <f>Interview!$B$145</f>
        <v>Verification</v>
      </c>
      <c r="U43" s="73" t="str">
        <f>Interview!$B$146</f>
        <v>Architecture Assessment</v>
      </c>
      <c r="V43" s="93">
        <v>0</v>
      </c>
      <c r="W43" s="93">
        <v>0</v>
      </c>
      <c r="X43" s="93">
        <v>0</v>
      </c>
      <c r="Y43" s="93">
        <f>C43</f>
        <v>0.125</v>
      </c>
      <c r="Z43" s="93">
        <v>0</v>
      </c>
    </row>
    <row r="44" spans="1:26" ht="25" customHeight="1" x14ac:dyDescent="0.15">
      <c r="A44" s="70" t="str">
        <f>Interview!$B$145</f>
        <v>Verification</v>
      </c>
      <c r="B44" s="73" t="str">
        <f>Interview!$B$160</f>
        <v>Requirements Testing</v>
      </c>
      <c r="C44" s="93">
        <f>Roadmap!M111</f>
        <v>0</v>
      </c>
      <c r="D44" s="93">
        <f>Roadmap!L111</f>
        <v>0</v>
      </c>
      <c r="E44" s="93">
        <f>Roadmap!L112</f>
        <v>0</v>
      </c>
      <c r="F44" s="93">
        <f>Roadmap!L113</f>
        <v>0</v>
      </c>
      <c r="G44" s="6">
        <f t="shared" si="4"/>
        <v>0</v>
      </c>
      <c r="H44" s="3"/>
      <c r="I44" s="1"/>
      <c r="J44" s="1"/>
      <c r="K44" s="1"/>
      <c r="L44" s="1"/>
      <c r="M44" s="1"/>
      <c r="N44" s="1"/>
      <c r="T44" s="70" t="str">
        <f>Interview!$B$145</f>
        <v>Verification</v>
      </c>
      <c r="U44" s="73" t="str">
        <f>Interview!$B$160</f>
        <v>Requirements Testing</v>
      </c>
      <c r="V44" s="93">
        <v>0</v>
      </c>
      <c r="W44" s="93">
        <v>0</v>
      </c>
      <c r="X44" s="93">
        <v>0</v>
      </c>
      <c r="Y44" s="93">
        <f>C44</f>
        <v>0</v>
      </c>
      <c r="Z44" s="93">
        <v>0</v>
      </c>
    </row>
    <row r="45" spans="1:26" ht="25" customHeight="1" x14ac:dyDescent="0.15">
      <c r="A45" s="70" t="str">
        <f>Interview!$B$145</f>
        <v>Verification</v>
      </c>
      <c r="B45" s="73" t="str">
        <f>Interview!$B$174</f>
        <v>Security Testing</v>
      </c>
      <c r="C45" s="93">
        <f>Roadmap!M120</f>
        <v>0</v>
      </c>
      <c r="D45" s="93">
        <f>Roadmap!L120</f>
        <v>0</v>
      </c>
      <c r="E45" s="93">
        <f>Roadmap!L121</f>
        <v>0</v>
      </c>
      <c r="F45" s="93">
        <f>Roadmap!L122</f>
        <v>0</v>
      </c>
      <c r="G45" s="6">
        <f t="shared" si="4"/>
        <v>0</v>
      </c>
      <c r="H45" s="3"/>
      <c r="I45" s="1"/>
      <c r="J45" s="1"/>
      <c r="K45" s="1"/>
      <c r="L45" s="1"/>
      <c r="M45" s="1"/>
      <c r="N45" s="1"/>
      <c r="T45" s="70" t="str">
        <f>Interview!$B$145</f>
        <v>Verification</v>
      </c>
      <c r="U45" s="73" t="str">
        <f>Interview!$B$174</f>
        <v>Security Testing</v>
      </c>
      <c r="V45" s="93">
        <v>0</v>
      </c>
      <c r="W45" s="93">
        <v>0</v>
      </c>
      <c r="X45" s="93">
        <v>0</v>
      </c>
      <c r="Y45" s="93">
        <f>C45</f>
        <v>0</v>
      </c>
      <c r="Z45" s="93">
        <v>0</v>
      </c>
    </row>
    <row r="46" spans="1:26" ht="25" customHeight="1" x14ac:dyDescent="0.15">
      <c r="A46" s="74" t="str">
        <f>Interview!$B$188</f>
        <v>Operations</v>
      </c>
      <c r="B46" s="77" t="str">
        <f>Interview!$B$189</f>
        <v>Incident Management</v>
      </c>
      <c r="C46" s="93">
        <f>Roadmap!M130</f>
        <v>0</v>
      </c>
      <c r="D46" s="93">
        <f>Roadmap!L130</f>
        <v>0</v>
      </c>
      <c r="E46" s="93">
        <f>Roadmap!L131</f>
        <v>0</v>
      </c>
      <c r="F46" s="93">
        <f>Roadmap!L132</f>
        <v>0</v>
      </c>
      <c r="G46" s="6">
        <f t="shared" si="4"/>
        <v>0</v>
      </c>
      <c r="H46" s="3"/>
      <c r="I46" s="1"/>
      <c r="J46" s="1"/>
      <c r="K46" s="1"/>
      <c r="L46" s="1"/>
      <c r="M46" s="1"/>
      <c r="N46" s="1"/>
      <c r="T46" s="74" t="str">
        <f>Interview!$B$188</f>
        <v>Operations</v>
      </c>
      <c r="U46" s="77" t="str">
        <f>Interview!$B$189</f>
        <v>Incident Management</v>
      </c>
      <c r="V46" s="93">
        <v>0</v>
      </c>
      <c r="W46" s="93">
        <v>0</v>
      </c>
      <c r="X46" s="93">
        <v>0</v>
      </c>
      <c r="Y46" s="93">
        <v>0</v>
      </c>
      <c r="Z46" s="93">
        <f>C46</f>
        <v>0</v>
      </c>
    </row>
    <row r="47" spans="1:26" ht="25" customHeight="1" x14ac:dyDescent="0.15">
      <c r="A47" s="74" t="str">
        <f>Interview!$B$188</f>
        <v>Operations</v>
      </c>
      <c r="B47" s="77" t="str">
        <f>Interview!$B$203</f>
        <v>Environment Management</v>
      </c>
      <c r="C47" s="93">
        <f>Roadmap!M139</f>
        <v>1</v>
      </c>
      <c r="D47" s="93">
        <f>Roadmap!L139</f>
        <v>0</v>
      </c>
      <c r="E47" s="93">
        <f>Roadmap!L140</f>
        <v>0.5</v>
      </c>
      <c r="F47" s="93">
        <f>Roadmap!L141</f>
        <v>0.5</v>
      </c>
      <c r="G47" s="6">
        <f t="shared" si="4"/>
        <v>1</v>
      </c>
      <c r="H47" s="3"/>
      <c r="I47" s="1"/>
      <c r="J47" s="1"/>
      <c r="K47" s="1"/>
      <c r="L47" s="1"/>
      <c r="M47" s="1"/>
      <c r="N47" s="1"/>
      <c r="T47" s="74" t="str">
        <f>Interview!$B$188</f>
        <v>Operations</v>
      </c>
      <c r="U47" s="77" t="str">
        <f>Interview!$B$203</f>
        <v>Environment Management</v>
      </c>
      <c r="V47" s="93">
        <v>0</v>
      </c>
      <c r="W47" s="93">
        <v>0</v>
      </c>
      <c r="X47" s="93">
        <v>0</v>
      </c>
      <c r="Y47" s="93">
        <v>0</v>
      </c>
      <c r="Z47" s="93">
        <f>C47</f>
        <v>1</v>
      </c>
    </row>
    <row r="48" spans="1:26" ht="25" customHeight="1" x14ac:dyDescent="0.15">
      <c r="A48" s="74" t="str">
        <f>Interview!$B$188</f>
        <v>Operations</v>
      </c>
      <c r="B48" s="77" t="str">
        <f>Interview!$B$217</f>
        <v>Operational Management</v>
      </c>
      <c r="C48" s="93">
        <f>Roadmap!M148</f>
        <v>2.5</v>
      </c>
      <c r="D48" s="93">
        <f>Roadmap!L148</f>
        <v>0.5</v>
      </c>
      <c r="E48" s="93">
        <f>Roadmap!L149</f>
        <v>1</v>
      </c>
      <c r="F48" s="93">
        <f>Roadmap!L150</f>
        <v>1</v>
      </c>
      <c r="G48" s="6">
        <f t="shared" si="4"/>
        <v>0</v>
      </c>
      <c r="H48" s="3"/>
      <c r="I48" s="1"/>
      <c r="J48" s="1"/>
      <c r="K48" s="1"/>
      <c r="L48" s="1"/>
      <c r="M48" s="1"/>
      <c r="N48" s="1"/>
      <c r="T48" s="74" t="str">
        <f>Interview!$B$188</f>
        <v>Operations</v>
      </c>
      <c r="U48" s="77" t="str">
        <f>Interview!$B$217</f>
        <v>Operational Management</v>
      </c>
      <c r="V48" s="93">
        <v>0</v>
      </c>
      <c r="W48" s="93">
        <v>0</v>
      </c>
      <c r="X48" s="93">
        <v>0</v>
      </c>
      <c r="Y48" s="93">
        <v>0</v>
      </c>
      <c r="Z48" s="93">
        <f>C48</f>
        <v>2.5</v>
      </c>
    </row>
    <row r="49" spans="1:26" ht="12.75" customHeight="1" x14ac:dyDescent="0.15">
      <c r="A49" s="1"/>
      <c r="B49" s="1"/>
      <c r="C49" s="1"/>
      <c r="D49" s="1"/>
      <c r="E49" s="1"/>
      <c r="F49" s="1"/>
      <c r="G49" s="1"/>
      <c r="H49" s="1"/>
      <c r="I49" s="1"/>
      <c r="J49" s="1"/>
      <c r="K49" s="1"/>
      <c r="L49" s="1"/>
      <c r="M49" s="1"/>
      <c r="N49" s="1"/>
    </row>
    <row r="50" spans="1:26" ht="12.75" customHeight="1" thickBot="1" x14ac:dyDescent="0.2">
      <c r="K50" s="1"/>
    </row>
    <row r="51" spans="1:26" ht="25" customHeight="1" thickBot="1" x14ac:dyDescent="0.2">
      <c r="A51" s="580" t="s">
        <v>117</v>
      </c>
      <c r="B51" s="581"/>
      <c r="C51" s="581"/>
      <c r="D51" s="581"/>
      <c r="E51" s="581"/>
      <c r="F51" s="581"/>
      <c r="G51" s="581"/>
      <c r="H51" s="581"/>
      <c r="I51" s="581"/>
      <c r="J51" s="582"/>
      <c r="K51" s="1"/>
      <c r="L51" s="580" t="s">
        <v>117</v>
      </c>
      <c r="M51" s="581"/>
      <c r="N51" s="581"/>
      <c r="O51" s="581"/>
      <c r="P51" s="581"/>
      <c r="Q51" s="581"/>
      <c r="R51" s="582"/>
      <c r="T51" s="583" t="s">
        <v>117</v>
      </c>
      <c r="U51" s="584"/>
      <c r="V51" s="584"/>
      <c r="W51" s="584"/>
      <c r="X51" s="584"/>
      <c r="Y51" s="584"/>
      <c r="Z51" s="585"/>
    </row>
    <row r="52" spans="1:26" ht="12" customHeight="1" x14ac:dyDescent="0.15">
      <c r="A52" s="2"/>
      <c r="B52" s="2"/>
      <c r="C52" s="2"/>
      <c r="D52" s="577" t="s">
        <v>86</v>
      </c>
      <c r="E52" s="578"/>
      <c r="F52" s="579"/>
      <c r="G52" s="1"/>
      <c r="H52" s="1"/>
      <c r="I52" s="1"/>
      <c r="J52" s="1"/>
      <c r="K52" s="1"/>
      <c r="L52" s="1"/>
      <c r="M52" s="1"/>
      <c r="N52" s="1"/>
    </row>
    <row r="53" spans="1:26" ht="25" customHeight="1" x14ac:dyDescent="0.15">
      <c r="A53" s="7" t="s">
        <v>0</v>
      </c>
      <c r="B53" s="7" t="s">
        <v>1</v>
      </c>
      <c r="C53" s="7" t="s">
        <v>55</v>
      </c>
      <c r="D53" s="119">
        <v>1</v>
      </c>
      <c r="E53" s="119">
        <v>2</v>
      </c>
      <c r="F53" s="119">
        <v>3</v>
      </c>
      <c r="G53" s="8" t="s">
        <v>5</v>
      </c>
      <c r="H53" s="1"/>
      <c r="I53" s="7" t="s">
        <v>0</v>
      </c>
      <c r="J53" s="7" t="s">
        <v>55</v>
      </c>
      <c r="K53" s="1"/>
      <c r="L53" s="1"/>
      <c r="M53" s="1"/>
      <c r="N53" s="1"/>
      <c r="V53" t="str">
        <f>T54</f>
        <v>Governance</v>
      </c>
      <c r="W53" t="str">
        <f>T57</f>
        <v>Design</v>
      </c>
      <c r="X53" t="str">
        <f>T60</f>
        <v>Implementation</v>
      </c>
      <c r="Y53" t="str">
        <f>T63</f>
        <v>Verification</v>
      </c>
      <c r="Z53" t="str">
        <f>T66</f>
        <v>Operations</v>
      </c>
    </row>
    <row r="54" spans="1:26" ht="25" customHeight="1" x14ac:dyDescent="0.15">
      <c r="A54" s="61" t="str">
        <f>Interview!$B$16</f>
        <v>Governance</v>
      </c>
      <c r="B54" s="65" t="str">
        <f>Interview!$D$17</f>
        <v>Strategy &amp; Metrics</v>
      </c>
      <c r="C54" s="93">
        <f>Roadmap!Q18</f>
        <v>0.125</v>
      </c>
      <c r="D54" s="93">
        <f>Roadmap!P18</f>
        <v>0</v>
      </c>
      <c r="E54" s="93">
        <f>Roadmap!P19</f>
        <v>0</v>
      </c>
      <c r="F54" s="93">
        <f>Roadmap!P20</f>
        <v>0.125</v>
      </c>
      <c r="G54" s="6">
        <f t="shared" ref="G54:G68" si="5">(((((IF((C54="0+"),0.5,0)+IF((C54=1),1,0))+IF((C54="1+"),1.5,0))+IF((C54=2),2,0))+IF((C54="2+"),2.5,0))+IF((C54=3),3,0))+IF((C54="3+"),3.5,0)</f>
        <v>0</v>
      </c>
      <c r="H54" s="3"/>
      <c r="I54" s="61" t="str">
        <f>A54</f>
        <v>Governance</v>
      </c>
      <c r="J54" s="93">
        <f>AVERAGE(C54:C56)</f>
        <v>0.54166666666666663</v>
      </c>
      <c r="K54" s="1"/>
      <c r="L54" s="1"/>
      <c r="M54" s="1"/>
      <c r="N54" s="1"/>
      <c r="T54" s="61" t="str">
        <f>Interview!$B$16</f>
        <v>Governance</v>
      </c>
      <c r="U54" s="65" t="str">
        <f>Interview!$D$17</f>
        <v>Strategy &amp; Metrics</v>
      </c>
      <c r="V54" s="93">
        <f>C54</f>
        <v>0.125</v>
      </c>
      <c r="W54" s="93">
        <v>0</v>
      </c>
      <c r="X54" s="93">
        <v>0</v>
      </c>
      <c r="Y54" s="93">
        <v>0</v>
      </c>
      <c r="Z54" s="93">
        <v>0</v>
      </c>
    </row>
    <row r="55" spans="1:26" ht="25" customHeight="1" x14ac:dyDescent="0.15">
      <c r="A55" s="61" t="str">
        <f>Interview!$B$16</f>
        <v>Governance</v>
      </c>
      <c r="B55" s="65" t="str">
        <f>Interview!$B$31</f>
        <v>Policy &amp; Compliance</v>
      </c>
      <c r="C55" s="93">
        <f>Roadmap!Q27</f>
        <v>0.5</v>
      </c>
      <c r="D55" s="93">
        <f>Roadmap!P27</f>
        <v>0.5</v>
      </c>
      <c r="E55" s="93">
        <f>Roadmap!P28</f>
        <v>0</v>
      </c>
      <c r="F55" s="93">
        <f>Roadmap!P29</f>
        <v>0</v>
      </c>
      <c r="G55" s="6">
        <f t="shared" si="5"/>
        <v>0</v>
      </c>
      <c r="H55" s="3"/>
      <c r="I55" s="66" t="str">
        <f>A57</f>
        <v>Design</v>
      </c>
      <c r="J55" s="93">
        <f>AVERAGE(C57:C59)</f>
        <v>0.66666666666666663</v>
      </c>
      <c r="K55" s="1"/>
      <c r="L55" s="1"/>
      <c r="M55" s="1"/>
      <c r="N55" s="1"/>
      <c r="T55" s="61" t="str">
        <f>Interview!$B$16</f>
        <v>Governance</v>
      </c>
      <c r="U55" s="65" t="str">
        <f>Interview!$B$31</f>
        <v>Policy &amp; Compliance</v>
      </c>
      <c r="V55" s="93">
        <f>C55</f>
        <v>0.5</v>
      </c>
      <c r="W55" s="93">
        <v>0</v>
      </c>
      <c r="X55" s="93">
        <v>0</v>
      </c>
      <c r="Y55" s="93">
        <v>0</v>
      </c>
      <c r="Z55" s="93">
        <v>0</v>
      </c>
    </row>
    <row r="56" spans="1:26" ht="25" customHeight="1" x14ac:dyDescent="0.15">
      <c r="A56" s="61" t="str">
        <f>Interview!$B$16</f>
        <v>Governance</v>
      </c>
      <c r="B56" s="65" t="str">
        <f>Interview!$B$45</f>
        <v>Education &amp; Guidance</v>
      </c>
      <c r="C56" s="93">
        <f>Roadmap!Q36</f>
        <v>1</v>
      </c>
      <c r="D56" s="93">
        <f>Roadmap!P36</f>
        <v>0</v>
      </c>
      <c r="E56" s="93">
        <f>Roadmap!P37</f>
        <v>0.5</v>
      </c>
      <c r="F56" s="93">
        <f>Roadmap!P38</f>
        <v>0.5</v>
      </c>
      <c r="G56" s="6">
        <f t="shared" si="5"/>
        <v>1</v>
      </c>
      <c r="H56" s="3"/>
      <c r="I56" s="277" t="str">
        <f>A60</f>
        <v>Implementation</v>
      </c>
      <c r="J56" s="93">
        <f>AVERAGE(C60:C62)</f>
        <v>0</v>
      </c>
      <c r="K56" s="1"/>
      <c r="L56" s="1"/>
      <c r="M56" s="1"/>
      <c r="N56" s="1"/>
      <c r="T56" s="61" t="str">
        <f>Interview!$B$16</f>
        <v>Governance</v>
      </c>
      <c r="U56" s="65" t="str">
        <f>Interview!$B$45</f>
        <v>Education &amp; Guidance</v>
      </c>
      <c r="V56" s="93">
        <f>C56</f>
        <v>1</v>
      </c>
      <c r="W56" s="93">
        <v>0</v>
      </c>
      <c r="X56" s="93">
        <v>0</v>
      </c>
      <c r="Y56" s="93">
        <v>0</v>
      </c>
      <c r="Z56" s="93">
        <v>0</v>
      </c>
    </row>
    <row r="57" spans="1:26" ht="25" customHeight="1" x14ac:dyDescent="0.15">
      <c r="A57" s="66" t="str">
        <f>Interview!$B$59</f>
        <v>Design</v>
      </c>
      <c r="B57" s="69" t="str">
        <f>Interview!$B$60</f>
        <v>Threat Assessment</v>
      </c>
      <c r="C57" s="93">
        <f>Roadmap!Q46</f>
        <v>1.5</v>
      </c>
      <c r="D57" s="93">
        <f>Roadmap!P46</f>
        <v>1</v>
      </c>
      <c r="E57" s="93">
        <f>Roadmap!P47</f>
        <v>0.5</v>
      </c>
      <c r="F57" s="93">
        <f>Roadmap!P48</f>
        <v>0</v>
      </c>
      <c r="G57" s="6">
        <f t="shared" si="5"/>
        <v>0</v>
      </c>
      <c r="H57" s="3"/>
      <c r="I57" s="70" t="str">
        <f>A63</f>
        <v>Verification</v>
      </c>
      <c r="J57" s="93">
        <f>AVERAGE(C63:C65)</f>
        <v>4.1666666666666664E-2</v>
      </c>
      <c r="K57" s="1"/>
      <c r="L57" s="1"/>
      <c r="M57" s="1"/>
      <c r="N57" s="1"/>
      <c r="T57" s="66" t="str">
        <f>Interview!$B$59</f>
        <v>Design</v>
      </c>
      <c r="U57" s="69" t="str">
        <f>Interview!$B$60</f>
        <v>Threat Assessment</v>
      </c>
      <c r="V57" s="93">
        <v>0</v>
      </c>
      <c r="W57" s="93">
        <f>C57</f>
        <v>1.5</v>
      </c>
      <c r="X57" s="93">
        <v>0</v>
      </c>
      <c r="Y57" s="93">
        <v>0</v>
      </c>
      <c r="Z57" s="93">
        <v>0</v>
      </c>
    </row>
    <row r="58" spans="1:26" ht="25" customHeight="1" x14ac:dyDescent="0.15">
      <c r="A58" s="66" t="str">
        <f>Interview!$B$59</f>
        <v>Design</v>
      </c>
      <c r="B58" s="69" t="str">
        <f>Interview!$B$74</f>
        <v>Security Requirements</v>
      </c>
      <c r="C58" s="93">
        <f>Roadmap!Q55</f>
        <v>0</v>
      </c>
      <c r="D58" s="93">
        <f>Roadmap!P55</f>
        <v>0</v>
      </c>
      <c r="E58" s="93">
        <f>Roadmap!P56</f>
        <v>0</v>
      </c>
      <c r="F58" s="93">
        <f>Roadmap!P57</f>
        <v>0</v>
      </c>
      <c r="G58" s="6">
        <f t="shared" si="5"/>
        <v>0</v>
      </c>
      <c r="H58" s="3"/>
      <c r="I58" s="74" t="str">
        <f>A66</f>
        <v>Operations</v>
      </c>
      <c r="J58" s="93">
        <f>AVERAGE(C66:C68)</f>
        <v>1.1666666666666667</v>
      </c>
      <c r="K58" s="1"/>
      <c r="L58" s="1"/>
      <c r="M58" s="1"/>
      <c r="N58" s="1"/>
      <c r="T58" s="66" t="str">
        <f>Interview!$B$59</f>
        <v>Design</v>
      </c>
      <c r="U58" s="69" t="str">
        <f>Interview!$B$74</f>
        <v>Security Requirements</v>
      </c>
      <c r="V58" s="93">
        <v>0</v>
      </c>
      <c r="W58" s="93">
        <f>C58</f>
        <v>0</v>
      </c>
      <c r="X58" s="93">
        <v>0</v>
      </c>
      <c r="Y58" s="93">
        <v>0</v>
      </c>
      <c r="Z58" s="93">
        <v>0</v>
      </c>
    </row>
    <row r="59" spans="1:26" ht="25" customHeight="1" x14ac:dyDescent="0.15">
      <c r="A59" s="66" t="str">
        <f>Interview!$B$59</f>
        <v>Design</v>
      </c>
      <c r="B59" s="69" t="str">
        <f>Interview!$B$88</f>
        <v>Secure Architecture</v>
      </c>
      <c r="C59" s="93">
        <f>Roadmap!Q64</f>
        <v>0.5</v>
      </c>
      <c r="D59" s="93">
        <f>Roadmap!P64</f>
        <v>0.5</v>
      </c>
      <c r="E59" s="93">
        <f>Roadmap!P65</f>
        <v>0</v>
      </c>
      <c r="F59" s="93">
        <f>Roadmap!P66</f>
        <v>0</v>
      </c>
      <c r="G59" s="6">
        <f t="shared" si="5"/>
        <v>0</v>
      </c>
      <c r="H59" s="3"/>
      <c r="I59" s="1"/>
      <c r="J59" s="1"/>
      <c r="K59" s="1"/>
      <c r="L59" s="1"/>
      <c r="M59" s="1"/>
      <c r="N59" s="1"/>
      <c r="T59" s="66" t="str">
        <f>Interview!$B$59</f>
        <v>Design</v>
      </c>
      <c r="U59" s="69" t="str">
        <f>Interview!$B$88</f>
        <v>Secure Architecture</v>
      </c>
      <c r="V59" s="93">
        <v>0</v>
      </c>
      <c r="W59" s="93">
        <f>C59</f>
        <v>0.5</v>
      </c>
      <c r="X59" s="93">
        <v>0</v>
      </c>
      <c r="Y59" s="93">
        <v>0</v>
      </c>
      <c r="Z59" s="93">
        <v>0</v>
      </c>
    </row>
    <row r="60" spans="1:26" ht="25" customHeight="1" x14ac:dyDescent="0.15">
      <c r="A60" s="277" t="str">
        <f>Interview!$B$102</f>
        <v>Implementation</v>
      </c>
      <c r="B60" s="278" t="str">
        <f>Interview!$B$103</f>
        <v>Secure Build</v>
      </c>
      <c r="C60" s="93">
        <f>Roadmap!Q74</f>
        <v>0</v>
      </c>
      <c r="D60" s="93">
        <f>Roadmap!P74</f>
        <v>0</v>
      </c>
      <c r="E60" s="93">
        <f>Roadmap!P75</f>
        <v>0</v>
      </c>
      <c r="F60" s="93">
        <f>Roadmap!P76</f>
        <v>0</v>
      </c>
      <c r="G60" s="6"/>
      <c r="H60" s="3"/>
      <c r="I60" s="1"/>
      <c r="J60" s="1"/>
      <c r="K60" s="1"/>
      <c r="L60" s="1"/>
      <c r="M60" s="1"/>
      <c r="N60" s="1"/>
      <c r="T60" s="277" t="str">
        <f>Interview!$B$102</f>
        <v>Implementation</v>
      </c>
      <c r="U60" s="278" t="str">
        <f>Interview!$B$103</f>
        <v>Secure Build</v>
      </c>
      <c r="V60" s="93">
        <v>0</v>
      </c>
      <c r="W60" s="93">
        <v>0</v>
      </c>
      <c r="X60" s="93">
        <f>C60</f>
        <v>0</v>
      </c>
      <c r="Y60" s="93">
        <v>0</v>
      </c>
      <c r="Z60" s="93">
        <v>0</v>
      </c>
    </row>
    <row r="61" spans="1:26" ht="25" customHeight="1" x14ac:dyDescent="0.15">
      <c r="A61" s="277" t="str">
        <f>Interview!$B$102</f>
        <v>Implementation</v>
      </c>
      <c r="B61" s="278" t="str">
        <f>Interview!$B$117</f>
        <v>Secure Deployment</v>
      </c>
      <c r="C61" s="93">
        <f>Roadmap!Q83</f>
        <v>0</v>
      </c>
      <c r="D61" s="93">
        <f>Roadmap!P83</f>
        <v>0</v>
      </c>
      <c r="E61" s="93">
        <f>Roadmap!P84</f>
        <v>0</v>
      </c>
      <c r="F61" s="93">
        <f>Roadmap!P85</f>
        <v>0</v>
      </c>
      <c r="G61" s="6"/>
      <c r="H61" s="3"/>
      <c r="I61" s="1"/>
      <c r="J61" s="1"/>
      <c r="K61" s="1"/>
      <c r="L61" s="1"/>
      <c r="M61" s="1"/>
      <c r="N61" s="1"/>
      <c r="T61" s="277" t="str">
        <f>Interview!$B$102</f>
        <v>Implementation</v>
      </c>
      <c r="U61" s="278" t="str">
        <f>Interview!$B$117</f>
        <v>Secure Deployment</v>
      </c>
      <c r="V61" s="93">
        <v>0</v>
      </c>
      <c r="W61" s="93">
        <v>0</v>
      </c>
      <c r="X61" s="93">
        <f>C61</f>
        <v>0</v>
      </c>
      <c r="Y61" s="93">
        <v>0</v>
      </c>
      <c r="Z61" s="93">
        <v>0</v>
      </c>
    </row>
    <row r="62" spans="1:26" ht="25" customHeight="1" x14ac:dyDescent="0.15">
      <c r="A62" s="277" t="str">
        <f>Interview!$B$102</f>
        <v>Implementation</v>
      </c>
      <c r="B62" s="278" t="str">
        <f>Interview!$B$131</f>
        <v>Defect Management</v>
      </c>
      <c r="C62" s="93">
        <f>Roadmap!Q92</f>
        <v>0</v>
      </c>
      <c r="D62" s="93">
        <f>Roadmap!P92</f>
        <v>0</v>
      </c>
      <c r="E62" s="93">
        <f>Roadmap!P93</f>
        <v>0</v>
      </c>
      <c r="F62" s="93">
        <f>Roadmap!P94</f>
        <v>0</v>
      </c>
      <c r="G62" s="6"/>
      <c r="H62" s="3"/>
      <c r="I62" s="1"/>
      <c r="J62" s="1"/>
      <c r="K62" s="1"/>
      <c r="L62" s="1"/>
      <c r="M62" s="1"/>
      <c r="N62" s="1"/>
      <c r="T62" s="277" t="str">
        <f>Interview!$B$102</f>
        <v>Implementation</v>
      </c>
      <c r="U62" s="278" t="str">
        <f>Interview!$B$131</f>
        <v>Defect Management</v>
      </c>
      <c r="V62" s="93">
        <v>0</v>
      </c>
      <c r="W62" s="93">
        <v>0</v>
      </c>
      <c r="X62" s="93">
        <f>C62</f>
        <v>0</v>
      </c>
      <c r="Y62" s="93">
        <v>0</v>
      </c>
      <c r="Z62" s="93">
        <v>0</v>
      </c>
    </row>
    <row r="63" spans="1:26" ht="25" customHeight="1" x14ac:dyDescent="0.15">
      <c r="A63" s="70" t="str">
        <f>Interview!$B$145</f>
        <v>Verification</v>
      </c>
      <c r="B63" s="73" t="str">
        <f>Interview!$B$146</f>
        <v>Architecture Assessment</v>
      </c>
      <c r="C63" s="93">
        <f>Roadmap!Q102</f>
        <v>0.125</v>
      </c>
      <c r="D63" s="93">
        <f>Roadmap!P102</f>
        <v>0</v>
      </c>
      <c r="E63" s="93">
        <f>Roadmap!P103</f>
        <v>0.125</v>
      </c>
      <c r="F63" s="93">
        <f>Roadmap!P104</f>
        <v>0</v>
      </c>
      <c r="G63" s="6">
        <f t="shared" si="5"/>
        <v>0</v>
      </c>
      <c r="H63" s="3"/>
      <c r="I63" s="1"/>
      <c r="J63" s="1"/>
      <c r="K63" s="1"/>
      <c r="L63" s="1"/>
      <c r="M63" s="1"/>
      <c r="N63" s="1"/>
      <c r="T63" s="70" t="str">
        <f>Interview!$B$145</f>
        <v>Verification</v>
      </c>
      <c r="U63" s="73" t="str">
        <f>Interview!$B$146</f>
        <v>Architecture Assessment</v>
      </c>
      <c r="V63" s="93">
        <v>0</v>
      </c>
      <c r="W63" s="93">
        <v>0</v>
      </c>
      <c r="X63" s="93">
        <v>0</v>
      </c>
      <c r="Y63" s="93">
        <f>C63</f>
        <v>0.125</v>
      </c>
      <c r="Z63" s="93">
        <v>0</v>
      </c>
    </row>
    <row r="64" spans="1:26" ht="25" customHeight="1" x14ac:dyDescent="0.15">
      <c r="A64" s="70" t="str">
        <f>Interview!$B$145</f>
        <v>Verification</v>
      </c>
      <c r="B64" s="73" t="str">
        <f>Interview!$B$160</f>
        <v>Requirements Testing</v>
      </c>
      <c r="C64" s="93">
        <f>Roadmap!Q111</f>
        <v>0</v>
      </c>
      <c r="D64" s="93">
        <f>Roadmap!P111</f>
        <v>0</v>
      </c>
      <c r="E64" s="93">
        <f>Roadmap!P112</f>
        <v>0</v>
      </c>
      <c r="F64" s="93">
        <f>Roadmap!P113</f>
        <v>0</v>
      </c>
      <c r="G64" s="6">
        <f t="shared" si="5"/>
        <v>0</v>
      </c>
      <c r="H64" s="3"/>
      <c r="I64" s="1"/>
      <c r="J64" s="1"/>
      <c r="K64" s="1"/>
      <c r="L64" s="1"/>
      <c r="M64" s="1"/>
      <c r="N64" s="1"/>
      <c r="T64" s="70" t="str">
        <f>Interview!$B$145</f>
        <v>Verification</v>
      </c>
      <c r="U64" s="73" t="str">
        <f>Interview!$B$160</f>
        <v>Requirements Testing</v>
      </c>
      <c r="V64" s="93">
        <v>0</v>
      </c>
      <c r="W64" s="93">
        <v>0</v>
      </c>
      <c r="X64" s="93">
        <v>0</v>
      </c>
      <c r="Y64" s="93">
        <f>C64</f>
        <v>0</v>
      </c>
      <c r="Z64" s="93">
        <v>0</v>
      </c>
    </row>
    <row r="65" spans="1:26" ht="25" customHeight="1" x14ac:dyDescent="0.15">
      <c r="A65" s="70" t="str">
        <f>Interview!$B$145</f>
        <v>Verification</v>
      </c>
      <c r="B65" s="73" t="str">
        <f>Interview!$B$174</f>
        <v>Security Testing</v>
      </c>
      <c r="C65" s="93">
        <f>Roadmap!Q120</f>
        <v>0</v>
      </c>
      <c r="D65" s="93">
        <f>Roadmap!P120</f>
        <v>0</v>
      </c>
      <c r="E65" s="93">
        <f>Roadmap!P121</f>
        <v>0</v>
      </c>
      <c r="F65" s="93">
        <f>Roadmap!P122</f>
        <v>0</v>
      </c>
      <c r="G65" s="6">
        <f t="shared" si="5"/>
        <v>0</v>
      </c>
      <c r="H65" s="3"/>
      <c r="I65" s="1"/>
      <c r="J65" s="1"/>
      <c r="K65" s="1"/>
      <c r="L65" s="1"/>
      <c r="M65" s="1"/>
      <c r="N65" s="1"/>
      <c r="T65" s="70" t="str">
        <f>Interview!$B$145</f>
        <v>Verification</v>
      </c>
      <c r="U65" s="73" t="str">
        <f>Interview!$B$174</f>
        <v>Security Testing</v>
      </c>
      <c r="V65" s="93">
        <v>0</v>
      </c>
      <c r="W65" s="93">
        <v>0</v>
      </c>
      <c r="X65" s="93">
        <v>0</v>
      </c>
      <c r="Y65" s="93">
        <f>C65</f>
        <v>0</v>
      </c>
      <c r="Z65" s="93">
        <v>0</v>
      </c>
    </row>
    <row r="66" spans="1:26" ht="25" customHeight="1" x14ac:dyDescent="0.15">
      <c r="A66" s="74" t="str">
        <f>Interview!$B$188</f>
        <v>Operations</v>
      </c>
      <c r="B66" s="77" t="str">
        <f>Interview!$B$189</f>
        <v>Incident Management</v>
      </c>
      <c r="C66" s="93">
        <f>Roadmap!Q130</f>
        <v>0</v>
      </c>
      <c r="D66" s="93">
        <f>Roadmap!P130</f>
        <v>0</v>
      </c>
      <c r="E66" s="93">
        <f>Roadmap!P131</f>
        <v>0</v>
      </c>
      <c r="F66" s="93">
        <f>Roadmap!P132</f>
        <v>0</v>
      </c>
      <c r="G66" s="6">
        <f t="shared" si="5"/>
        <v>0</v>
      </c>
      <c r="H66" s="3"/>
      <c r="I66" s="1"/>
      <c r="J66" s="1"/>
      <c r="K66" s="1"/>
      <c r="L66" s="1"/>
      <c r="M66" s="1"/>
      <c r="N66" s="1"/>
      <c r="T66" s="74" t="str">
        <f>Interview!$B$188</f>
        <v>Operations</v>
      </c>
      <c r="U66" s="77" t="str">
        <f>Interview!$B$189</f>
        <v>Incident Management</v>
      </c>
      <c r="V66" s="93">
        <v>0</v>
      </c>
      <c r="W66" s="93">
        <v>0</v>
      </c>
      <c r="X66" s="93">
        <v>0</v>
      </c>
      <c r="Y66" s="93">
        <v>0</v>
      </c>
      <c r="Z66" s="93">
        <f>C66</f>
        <v>0</v>
      </c>
    </row>
    <row r="67" spans="1:26" ht="25" customHeight="1" x14ac:dyDescent="0.15">
      <c r="A67" s="74" t="str">
        <f>Interview!$B$188</f>
        <v>Operations</v>
      </c>
      <c r="B67" s="77" t="str">
        <f>Interview!$B$203</f>
        <v>Environment Management</v>
      </c>
      <c r="C67" s="93">
        <f>Roadmap!Q139</f>
        <v>1</v>
      </c>
      <c r="D67" s="93">
        <f>Roadmap!P139</f>
        <v>0</v>
      </c>
      <c r="E67" s="93">
        <f>Roadmap!P140</f>
        <v>0.5</v>
      </c>
      <c r="F67" s="93">
        <f>Roadmap!P141</f>
        <v>0.5</v>
      </c>
      <c r="G67" s="6">
        <f t="shared" si="5"/>
        <v>1</v>
      </c>
      <c r="H67" s="3"/>
      <c r="I67" s="1"/>
      <c r="J67" s="1"/>
      <c r="K67" s="1"/>
      <c r="L67" s="1"/>
      <c r="M67" s="1"/>
      <c r="N67" s="1"/>
      <c r="T67" s="74" t="str">
        <f>Interview!$B$188</f>
        <v>Operations</v>
      </c>
      <c r="U67" s="77" t="str">
        <f>Interview!$B$203</f>
        <v>Environment Management</v>
      </c>
      <c r="V67" s="93">
        <v>0</v>
      </c>
      <c r="W67" s="93">
        <v>0</v>
      </c>
      <c r="X67" s="93">
        <v>0</v>
      </c>
      <c r="Y67" s="93">
        <v>0</v>
      </c>
      <c r="Z67" s="93">
        <f>C67</f>
        <v>1</v>
      </c>
    </row>
    <row r="68" spans="1:26" ht="25" customHeight="1" x14ac:dyDescent="0.15">
      <c r="A68" s="74" t="str">
        <f>Interview!$B$188</f>
        <v>Operations</v>
      </c>
      <c r="B68" s="77" t="str">
        <f>Interview!$B$217</f>
        <v>Operational Management</v>
      </c>
      <c r="C68" s="93">
        <f>Roadmap!Q148</f>
        <v>2.5</v>
      </c>
      <c r="D68" s="93">
        <f>Roadmap!P148</f>
        <v>0.5</v>
      </c>
      <c r="E68" s="93">
        <f>Roadmap!P149</f>
        <v>1</v>
      </c>
      <c r="F68" s="93">
        <f>Roadmap!P150</f>
        <v>1</v>
      </c>
      <c r="G68" s="6">
        <f t="shared" si="5"/>
        <v>0</v>
      </c>
      <c r="H68" s="3"/>
      <c r="I68" s="1"/>
      <c r="J68" s="1"/>
      <c r="K68" s="1"/>
      <c r="L68" s="1"/>
      <c r="M68" s="1"/>
      <c r="N68" s="1"/>
      <c r="T68" s="74" t="str">
        <f>Interview!$B$188</f>
        <v>Operations</v>
      </c>
      <c r="U68" s="77" t="str">
        <f>Interview!$B$217</f>
        <v>Operational Management</v>
      </c>
      <c r="V68" s="93">
        <v>0</v>
      </c>
      <c r="W68" s="93">
        <v>0</v>
      </c>
      <c r="X68" s="93">
        <v>0</v>
      </c>
      <c r="Y68" s="93">
        <v>0</v>
      </c>
      <c r="Z68" s="93">
        <f>C68</f>
        <v>2.5</v>
      </c>
    </row>
    <row r="69" spans="1:26" ht="12.75" customHeight="1" thickBot="1" x14ac:dyDescent="0.2">
      <c r="K69" s="1"/>
    </row>
    <row r="70" spans="1:26" ht="25" customHeight="1" thickBot="1" x14ac:dyDescent="0.2">
      <c r="A70" s="580" t="s">
        <v>116</v>
      </c>
      <c r="B70" s="581"/>
      <c r="C70" s="581"/>
      <c r="D70" s="581"/>
      <c r="E70" s="581"/>
      <c r="F70" s="581"/>
      <c r="G70" s="581"/>
      <c r="H70" s="581"/>
      <c r="I70" s="581"/>
      <c r="J70" s="582"/>
      <c r="K70" s="1"/>
      <c r="L70" s="580" t="s">
        <v>116</v>
      </c>
      <c r="M70" s="581"/>
      <c r="N70" s="581"/>
      <c r="O70" s="581"/>
      <c r="P70" s="581"/>
      <c r="Q70" s="581"/>
      <c r="R70" s="582"/>
      <c r="T70" s="583" t="s">
        <v>116</v>
      </c>
      <c r="U70" s="584"/>
      <c r="V70" s="584"/>
      <c r="W70" s="584"/>
      <c r="X70" s="584"/>
      <c r="Y70" s="584"/>
      <c r="Z70" s="585"/>
    </row>
    <row r="71" spans="1:26" ht="12" customHeight="1" x14ac:dyDescent="0.15">
      <c r="A71" s="2"/>
      <c r="B71" s="2"/>
      <c r="C71" s="2"/>
      <c r="D71" s="577" t="s">
        <v>86</v>
      </c>
      <c r="E71" s="578"/>
      <c r="F71" s="579"/>
      <c r="G71" s="1"/>
      <c r="H71" s="1"/>
      <c r="I71" s="1"/>
      <c r="J71" s="1"/>
      <c r="K71" s="1"/>
      <c r="L71" s="1"/>
      <c r="M71" s="1"/>
      <c r="N71" s="1"/>
    </row>
    <row r="72" spans="1:26" ht="25" customHeight="1" x14ac:dyDescent="0.15">
      <c r="A72" s="7" t="s">
        <v>0</v>
      </c>
      <c r="B72" s="7" t="s">
        <v>1</v>
      </c>
      <c r="C72" s="7" t="s">
        <v>55</v>
      </c>
      <c r="D72" s="119">
        <v>1</v>
      </c>
      <c r="E72" s="119">
        <v>2</v>
      </c>
      <c r="F72" s="119">
        <v>3</v>
      </c>
      <c r="G72" s="8" t="s">
        <v>5</v>
      </c>
      <c r="H72" s="1"/>
      <c r="I72" s="7" t="s">
        <v>0</v>
      </c>
      <c r="J72" s="7" t="s">
        <v>55</v>
      </c>
      <c r="K72" s="1"/>
      <c r="L72" s="1"/>
      <c r="M72" s="1"/>
      <c r="N72" s="1"/>
      <c r="V72" t="str">
        <f>T73</f>
        <v>Governance</v>
      </c>
      <c r="W72" t="str">
        <f>T76</f>
        <v>Design</v>
      </c>
      <c r="X72" t="str">
        <f>T79</f>
        <v>Implementation</v>
      </c>
      <c r="Y72" t="str">
        <f>T82</f>
        <v>Verification</v>
      </c>
      <c r="Z72" t="str">
        <f>T85</f>
        <v>Operations</v>
      </c>
    </row>
    <row r="73" spans="1:26" ht="25" customHeight="1" x14ac:dyDescent="0.15">
      <c r="A73" s="61" t="str">
        <f>Interview!$B$16</f>
        <v>Governance</v>
      </c>
      <c r="B73" s="65" t="str">
        <f>Interview!$D$17</f>
        <v>Strategy &amp; Metrics</v>
      </c>
      <c r="C73" s="93">
        <f>Roadmap!U18</f>
        <v>0.125</v>
      </c>
      <c r="D73" s="93">
        <f>Roadmap!T18</f>
        <v>0</v>
      </c>
      <c r="E73" s="93">
        <f>Roadmap!T19</f>
        <v>0</v>
      </c>
      <c r="F73" s="93">
        <f>Roadmap!T20</f>
        <v>0.125</v>
      </c>
      <c r="G73" s="6">
        <f t="shared" ref="G73:G87" si="6">(((((IF((C73="0+"),0.5,0)+IF((C73=1),1,0))+IF((C73="1+"),1.5,0))+IF((C73=2),2,0))+IF((C73="2+"),2.5,0))+IF((C73=3),3,0))+IF((C73="3+"),3.5,0)</f>
        <v>0</v>
      </c>
      <c r="H73" s="3"/>
      <c r="I73" s="61" t="str">
        <f>A73</f>
        <v>Governance</v>
      </c>
      <c r="J73" s="93">
        <f>AVERAGE(C73:C75)</f>
        <v>0.54166666666666663</v>
      </c>
      <c r="K73" s="1"/>
      <c r="L73" s="1"/>
      <c r="M73" s="1"/>
      <c r="N73" s="1"/>
      <c r="T73" s="61" t="str">
        <f>Interview!$B$16</f>
        <v>Governance</v>
      </c>
      <c r="U73" s="65" t="str">
        <f>Interview!$D$17</f>
        <v>Strategy &amp; Metrics</v>
      </c>
      <c r="V73" s="93">
        <f>C73</f>
        <v>0.125</v>
      </c>
      <c r="W73" s="93">
        <v>0</v>
      </c>
      <c r="X73" s="93">
        <v>0</v>
      </c>
      <c r="Y73" s="93">
        <v>0</v>
      </c>
      <c r="Z73" s="93">
        <v>0</v>
      </c>
    </row>
    <row r="74" spans="1:26" ht="25" customHeight="1" x14ac:dyDescent="0.15">
      <c r="A74" s="61" t="str">
        <f>Interview!$B$16</f>
        <v>Governance</v>
      </c>
      <c r="B74" s="65" t="str">
        <f>Interview!$B$31</f>
        <v>Policy &amp; Compliance</v>
      </c>
      <c r="C74" s="93">
        <f>Roadmap!U27</f>
        <v>0.5</v>
      </c>
      <c r="D74" s="93">
        <f>Roadmap!T27</f>
        <v>0.5</v>
      </c>
      <c r="E74" s="93">
        <f>Roadmap!T28</f>
        <v>0</v>
      </c>
      <c r="F74" s="93">
        <f>Roadmap!T29</f>
        <v>0</v>
      </c>
      <c r="G74" s="6">
        <f t="shared" si="6"/>
        <v>0</v>
      </c>
      <c r="H74" s="3"/>
      <c r="I74" s="66" t="str">
        <f>A76</f>
        <v>Design</v>
      </c>
      <c r="J74" s="93">
        <f>AVERAGE(C76:C78)</f>
        <v>0.66666666666666663</v>
      </c>
      <c r="K74" s="1"/>
      <c r="L74" s="1"/>
      <c r="M74" s="1"/>
      <c r="N74" s="1"/>
      <c r="T74" s="61" t="str">
        <f>Interview!$B$16</f>
        <v>Governance</v>
      </c>
      <c r="U74" s="65" t="str">
        <f>Interview!$B$31</f>
        <v>Policy &amp; Compliance</v>
      </c>
      <c r="V74" s="93">
        <f>C74</f>
        <v>0.5</v>
      </c>
      <c r="W74" s="93">
        <v>0</v>
      </c>
      <c r="X74" s="93">
        <v>0</v>
      </c>
      <c r="Y74" s="93">
        <v>0</v>
      </c>
      <c r="Z74" s="93">
        <v>0</v>
      </c>
    </row>
    <row r="75" spans="1:26" ht="25" customHeight="1" x14ac:dyDescent="0.15">
      <c r="A75" s="61" t="str">
        <f>Interview!$B$16</f>
        <v>Governance</v>
      </c>
      <c r="B75" s="65" t="str">
        <f>Interview!$B$45</f>
        <v>Education &amp; Guidance</v>
      </c>
      <c r="C75" s="93">
        <f>Roadmap!U36</f>
        <v>1</v>
      </c>
      <c r="D75" s="93">
        <f>Roadmap!T36</f>
        <v>0</v>
      </c>
      <c r="E75" s="93">
        <f>Roadmap!T37</f>
        <v>0.5</v>
      </c>
      <c r="F75" s="93">
        <f>Roadmap!T38</f>
        <v>0.5</v>
      </c>
      <c r="G75" s="6">
        <f t="shared" si="6"/>
        <v>1</v>
      </c>
      <c r="H75" s="3"/>
      <c r="I75" s="277" t="str">
        <f>A79</f>
        <v>Implementation</v>
      </c>
      <c r="J75" s="93">
        <f>AVERAGE(C79:C81)</f>
        <v>0</v>
      </c>
      <c r="K75" s="1"/>
      <c r="L75" s="1"/>
      <c r="M75" s="1"/>
      <c r="N75" s="1"/>
      <c r="T75" s="61" t="str">
        <f>Interview!$B$16</f>
        <v>Governance</v>
      </c>
      <c r="U75" s="65" t="str">
        <f>Interview!$B$45</f>
        <v>Education &amp; Guidance</v>
      </c>
      <c r="V75" s="93">
        <f>C75</f>
        <v>1</v>
      </c>
      <c r="W75" s="93">
        <v>0</v>
      </c>
      <c r="X75" s="93">
        <v>0</v>
      </c>
      <c r="Y75" s="93">
        <v>0</v>
      </c>
      <c r="Z75" s="93">
        <v>0</v>
      </c>
    </row>
    <row r="76" spans="1:26" ht="25" customHeight="1" x14ac:dyDescent="0.15">
      <c r="A76" s="66" t="str">
        <f>Interview!$B$59</f>
        <v>Design</v>
      </c>
      <c r="B76" s="69" t="str">
        <f>Interview!$B$60</f>
        <v>Threat Assessment</v>
      </c>
      <c r="C76" s="93">
        <f>Roadmap!U46</f>
        <v>1.5</v>
      </c>
      <c r="D76" s="93">
        <f>Roadmap!T46</f>
        <v>1</v>
      </c>
      <c r="E76" s="93">
        <f>Roadmap!T47</f>
        <v>0.5</v>
      </c>
      <c r="F76" s="93">
        <f>Roadmap!T48</f>
        <v>0</v>
      </c>
      <c r="G76" s="6">
        <f t="shared" si="6"/>
        <v>0</v>
      </c>
      <c r="H76" s="3"/>
      <c r="I76" s="70" t="str">
        <f>A82</f>
        <v>Verification</v>
      </c>
      <c r="J76" s="93">
        <f>AVERAGE(C82:C84)</f>
        <v>4.1666666666666664E-2</v>
      </c>
      <c r="K76" s="1"/>
      <c r="L76" s="1"/>
      <c r="M76" s="1"/>
      <c r="N76" s="1"/>
      <c r="T76" s="66" t="str">
        <f>Interview!$B$59</f>
        <v>Design</v>
      </c>
      <c r="U76" s="69" t="str">
        <f>Interview!$B$60</f>
        <v>Threat Assessment</v>
      </c>
      <c r="V76" s="93">
        <v>0</v>
      </c>
      <c r="W76" s="93">
        <f>C76</f>
        <v>1.5</v>
      </c>
      <c r="X76" s="93">
        <v>0</v>
      </c>
      <c r="Y76" s="93">
        <v>0</v>
      </c>
      <c r="Z76" s="93">
        <v>0</v>
      </c>
    </row>
    <row r="77" spans="1:26" ht="25" customHeight="1" x14ac:dyDescent="0.15">
      <c r="A77" s="66" t="str">
        <f>Interview!$B$59</f>
        <v>Design</v>
      </c>
      <c r="B77" s="69" t="str">
        <f>Interview!$B$74</f>
        <v>Security Requirements</v>
      </c>
      <c r="C77" s="93">
        <f>Roadmap!U55</f>
        <v>0</v>
      </c>
      <c r="D77" s="93">
        <f>Roadmap!T55</f>
        <v>0</v>
      </c>
      <c r="E77" s="93">
        <f>Roadmap!T56</f>
        <v>0</v>
      </c>
      <c r="F77" s="93">
        <f>Roadmap!T57</f>
        <v>0</v>
      </c>
      <c r="G77" s="6">
        <f t="shared" si="6"/>
        <v>0</v>
      </c>
      <c r="H77" s="3"/>
      <c r="I77" s="74" t="str">
        <f>A85</f>
        <v>Operations</v>
      </c>
      <c r="J77" s="93">
        <f>AVERAGE(C85:C87)</f>
        <v>1.1666666666666667</v>
      </c>
      <c r="K77" s="1"/>
      <c r="L77" s="1"/>
      <c r="M77" s="1"/>
      <c r="N77" s="1"/>
      <c r="T77" s="66" t="str">
        <f>Interview!$B$59</f>
        <v>Design</v>
      </c>
      <c r="U77" s="69" t="str">
        <f>Interview!$B$74</f>
        <v>Security Requirements</v>
      </c>
      <c r="V77" s="93">
        <v>0</v>
      </c>
      <c r="W77" s="93">
        <f>C77</f>
        <v>0</v>
      </c>
      <c r="X77" s="93">
        <v>0</v>
      </c>
      <c r="Y77" s="93">
        <v>0</v>
      </c>
      <c r="Z77" s="93">
        <v>0</v>
      </c>
    </row>
    <row r="78" spans="1:26" ht="25" customHeight="1" x14ac:dyDescent="0.15">
      <c r="A78" s="66" t="str">
        <f>Interview!$B$59</f>
        <v>Design</v>
      </c>
      <c r="B78" s="69" t="str">
        <f>Interview!$B$88</f>
        <v>Secure Architecture</v>
      </c>
      <c r="C78" s="93">
        <f>Roadmap!U64</f>
        <v>0.5</v>
      </c>
      <c r="D78" s="93">
        <f>Roadmap!T64</f>
        <v>0.5</v>
      </c>
      <c r="E78" s="93">
        <f>Roadmap!T65</f>
        <v>0</v>
      </c>
      <c r="F78" s="93">
        <f>Roadmap!T66</f>
        <v>0</v>
      </c>
      <c r="G78" s="6">
        <f t="shared" si="6"/>
        <v>0</v>
      </c>
      <c r="H78" s="3"/>
      <c r="I78" s="1"/>
      <c r="J78" s="1"/>
      <c r="K78" s="1"/>
      <c r="L78" s="1"/>
      <c r="M78" s="1"/>
      <c r="N78" s="1"/>
      <c r="T78" s="66" t="str">
        <f>Interview!$B$59</f>
        <v>Design</v>
      </c>
      <c r="U78" s="69" t="str">
        <f>Interview!$B$88</f>
        <v>Secure Architecture</v>
      </c>
      <c r="V78" s="93">
        <v>0</v>
      </c>
      <c r="W78" s="93">
        <f>C78</f>
        <v>0.5</v>
      </c>
      <c r="X78" s="93">
        <v>0</v>
      </c>
      <c r="Y78" s="93">
        <v>0</v>
      </c>
      <c r="Z78" s="93">
        <v>0</v>
      </c>
    </row>
    <row r="79" spans="1:26" ht="25" customHeight="1" x14ac:dyDescent="0.15">
      <c r="A79" s="277" t="str">
        <f>Interview!$B$102</f>
        <v>Implementation</v>
      </c>
      <c r="B79" s="278" t="str">
        <f>Interview!$B$103</f>
        <v>Secure Build</v>
      </c>
      <c r="C79" s="93">
        <f>Roadmap!U74</f>
        <v>0</v>
      </c>
      <c r="D79" s="93">
        <f>Roadmap!T74</f>
        <v>0</v>
      </c>
      <c r="E79" s="93">
        <f>Roadmap!T75</f>
        <v>0</v>
      </c>
      <c r="F79" s="93">
        <f>Roadmap!T76</f>
        <v>0</v>
      </c>
      <c r="G79" s="6"/>
      <c r="H79" s="3"/>
      <c r="I79" s="1"/>
      <c r="J79" s="1"/>
      <c r="K79" s="1"/>
      <c r="L79" s="1"/>
      <c r="M79" s="1"/>
      <c r="N79" s="1"/>
      <c r="T79" s="277" t="str">
        <f>Interview!$B$102</f>
        <v>Implementation</v>
      </c>
      <c r="U79" s="278" t="str">
        <f>Interview!$B$103</f>
        <v>Secure Build</v>
      </c>
      <c r="V79" s="93">
        <v>0</v>
      </c>
      <c r="W79" s="93">
        <v>0</v>
      </c>
      <c r="X79" s="93">
        <f>C79</f>
        <v>0</v>
      </c>
      <c r="Y79" s="93">
        <v>0</v>
      </c>
      <c r="Z79" s="93">
        <v>0</v>
      </c>
    </row>
    <row r="80" spans="1:26" ht="25" customHeight="1" x14ac:dyDescent="0.15">
      <c r="A80" s="277" t="str">
        <f>Interview!$B$102</f>
        <v>Implementation</v>
      </c>
      <c r="B80" s="278" t="str">
        <f>Interview!$B$117</f>
        <v>Secure Deployment</v>
      </c>
      <c r="C80" s="93">
        <f>Roadmap!U83</f>
        <v>0</v>
      </c>
      <c r="D80" s="93">
        <f>Roadmap!T83</f>
        <v>0</v>
      </c>
      <c r="E80" s="93">
        <f>Roadmap!T84</f>
        <v>0</v>
      </c>
      <c r="F80" s="93">
        <f>Roadmap!T85</f>
        <v>0</v>
      </c>
      <c r="G80" s="6"/>
      <c r="H80" s="3"/>
      <c r="I80" s="1"/>
      <c r="J80" s="1"/>
      <c r="K80" s="1"/>
      <c r="L80" s="1"/>
      <c r="M80" s="1"/>
      <c r="N80" s="1"/>
      <c r="T80" s="277" t="str">
        <f>Interview!$B$102</f>
        <v>Implementation</v>
      </c>
      <c r="U80" s="278" t="str">
        <f>Interview!$B$117</f>
        <v>Secure Deployment</v>
      </c>
      <c r="V80" s="93">
        <v>0</v>
      </c>
      <c r="W80" s="93">
        <v>0</v>
      </c>
      <c r="X80" s="93">
        <f>C80</f>
        <v>0</v>
      </c>
      <c r="Y80" s="93">
        <v>0</v>
      </c>
      <c r="Z80" s="93">
        <v>0</v>
      </c>
    </row>
    <row r="81" spans="1:26" ht="25" customHeight="1" x14ac:dyDescent="0.15">
      <c r="A81" s="277" t="str">
        <f>Interview!$B$102</f>
        <v>Implementation</v>
      </c>
      <c r="B81" s="278" t="str">
        <f>Interview!$B$131</f>
        <v>Defect Management</v>
      </c>
      <c r="C81" s="93">
        <f>Roadmap!U92</f>
        <v>0</v>
      </c>
      <c r="D81" s="93">
        <f>Roadmap!T92</f>
        <v>0</v>
      </c>
      <c r="E81" s="93">
        <f>Roadmap!T93</f>
        <v>0</v>
      </c>
      <c r="F81" s="93">
        <f>Roadmap!T94</f>
        <v>0</v>
      </c>
      <c r="G81" s="6"/>
      <c r="H81" s="3"/>
      <c r="I81" s="1"/>
      <c r="J81" s="1"/>
      <c r="K81" s="1"/>
      <c r="L81" s="1"/>
      <c r="M81" s="1"/>
      <c r="N81" s="1"/>
      <c r="T81" s="277" t="str">
        <f>Interview!$B$102</f>
        <v>Implementation</v>
      </c>
      <c r="U81" s="278" t="str">
        <f>Interview!$B$131</f>
        <v>Defect Management</v>
      </c>
      <c r="V81" s="93">
        <v>0</v>
      </c>
      <c r="W81" s="93">
        <v>0</v>
      </c>
      <c r="X81" s="93">
        <f>C81</f>
        <v>0</v>
      </c>
      <c r="Y81" s="93">
        <v>0</v>
      </c>
      <c r="Z81" s="93">
        <v>0</v>
      </c>
    </row>
    <row r="82" spans="1:26" ht="25" customHeight="1" x14ac:dyDescent="0.15">
      <c r="A82" s="70" t="str">
        <f>Interview!$B$145</f>
        <v>Verification</v>
      </c>
      <c r="B82" s="73" t="str">
        <f>Interview!$B$146</f>
        <v>Architecture Assessment</v>
      </c>
      <c r="C82" s="93">
        <f>Roadmap!U102</f>
        <v>0.125</v>
      </c>
      <c r="D82" s="93">
        <f>Roadmap!T102</f>
        <v>0</v>
      </c>
      <c r="E82" s="93">
        <f>Roadmap!T103</f>
        <v>0.125</v>
      </c>
      <c r="F82" s="93">
        <f>Roadmap!T104</f>
        <v>0</v>
      </c>
      <c r="G82" s="6">
        <f t="shared" si="6"/>
        <v>0</v>
      </c>
      <c r="H82" s="3"/>
      <c r="I82" s="1"/>
      <c r="J82" s="1"/>
      <c r="K82" s="1"/>
      <c r="L82" s="1"/>
      <c r="M82" s="1"/>
      <c r="N82" s="1"/>
      <c r="T82" s="70" t="str">
        <f>Interview!$B$145</f>
        <v>Verification</v>
      </c>
      <c r="U82" s="73" t="str">
        <f>Interview!$B$146</f>
        <v>Architecture Assessment</v>
      </c>
      <c r="V82" s="93">
        <v>0</v>
      </c>
      <c r="W82" s="93">
        <v>0</v>
      </c>
      <c r="X82" s="93">
        <v>0</v>
      </c>
      <c r="Y82" s="93">
        <f>C82</f>
        <v>0.125</v>
      </c>
      <c r="Z82" s="93">
        <v>0</v>
      </c>
    </row>
    <row r="83" spans="1:26" ht="25" customHeight="1" x14ac:dyDescent="0.15">
      <c r="A83" s="70" t="str">
        <f>Interview!$B$145</f>
        <v>Verification</v>
      </c>
      <c r="B83" s="73" t="str">
        <f>Interview!$B$160</f>
        <v>Requirements Testing</v>
      </c>
      <c r="C83" s="93">
        <f>Roadmap!U111</f>
        <v>0</v>
      </c>
      <c r="D83" s="93">
        <f>Roadmap!T111</f>
        <v>0</v>
      </c>
      <c r="E83" s="93">
        <f>Roadmap!T112</f>
        <v>0</v>
      </c>
      <c r="F83" s="93">
        <f>Roadmap!T113</f>
        <v>0</v>
      </c>
      <c r="G83" s="6">
        <f t="shared" si="6"/>
        <v>0</v>
      </c>
      <c r="H83" s="3"/>
      <c r="I83" s="1"/>
      <c r="J83" s="1"/>
      <c r="K83" s="1"/>
      <c r="L83" s="1"/>
      <c r="M83" s="1"/>
      <c r="N83" s="1"/>
      <c r="T83" s="70" t="str">
        <f>Interview!$B$145</f>
        <v>Verification</v>
      </c>
      <c r="U83" s="73" t="str">
        <f>Interview!$B$160</f>
        <v>Requirements Testing</v>
      </c>
      <c r="V83" s="93">
        <v>0</v>
      </c>
      <c r="W83" s="93">
        <v>0</v>
      </c>
      <c r="X83" s="93">
        <v>0</v>
      </c>
      <c r="Y83" s="93">
        <f>C83</f>
        <v>0</v>
      </c>
      <c r="Z83" s="93">
        <v>0</v>
      </c>
    </row>
    <row r="84" spans="1:26" ht="25" customHeight="1" x14ac:dyDescent="0.15">
      <c r="A84" s="70" t="str">
        <f>Interview!$B$145</f>
        <v>Verification</v>
      </c>
      <c r="B84" s="73" t="str">
        <f>Interview!$B$174</f>
        <v>Security Testing</v>
      </c>
      <c r="C84" s="93">
        <f>Roadmap!U120</f>
        <v>0</v>
      </c>
      <c r="D84" s="93">
        <f>Roadmap!T120</f>
        <v>0</v>
      </c>
      <c r="E84" s="93">
        <f>Roadmap!T121</f>
        <v>0</v>
      </c>
      <c r="F84" s="93">
        <f>Roadmap!T122</f>
        <v>0</v>
      </c>
      <c r="G84" s="6">
        <f t="shared" si="6"/>
        <v>0</v>
      </c>
      <c r="H84" s="3"/>
      <c r="I84" s="1"/>
      <c r="J84" s="1"/>
      <c r="K84" s="1"/>
      <c r="L84" s="1"/>
      <c r="M84" s="1"/>
      <c r="N84" s="1"/>
      <c r="T84" s="70" t="str">
        <f>Interview!$B$145</f>
        <v>Verification</v>
      </c>
      <c r="U84" s="73" t="str">
        <f>Interview!$B$174</f>
        <v>Security Testing</v>
      </c>
      <c r="V84" s="93">
        <v>0</v>
      </c>
      <c r="W84" s="93">
        <v>0</v>
      </c>
      <c r="X84" s="93">
        <v>0</v>
      </c>
      <c r="Y84" s="93">
        <f>C84</f>
        <v>0</v>
      </c>
      <c r="Z84" s="93">
        <v>0</v>
      </c>
    </row>
    <row r="85" spans="1:26" ht="25" customHeight="1" x14ac:dyDescent="0.15">
      <c r="A85" s="74" t="str">
        <f>Interview!$B$188</f>
        <v>Operations</v>
      </c>
      <c r="B85" s="77" t="str">
        <f>Interview!$B$189</f>
        <v>Incident Management</v>
      </c>
      <c r="C85" s="93">
        <f>Roadmap!U130</f>
        <v>0</v>
      </c>
      <c r="D85" s="93">
        <f>Roadmap!T130</f>
        <v>0</v>
      </c>
      <c r="E85" s="93">
        <f>Roadmap!T131</f>
        <v>0</v>
      </c>
      <c r="F85" s="93">
        <f>Roadmap!T132</f>
        <v>0</v>
      </c>
      <c r="G85" s="6">
        <f t="shared" si="6"/>
        <v>0</v>
      </c>
      <c r="H85" s="3"/>
      <c r="I85" s="1"/>
      <c r="J85" s="1"/>
      <c r="K85" s="1"/>
      <c r="L85" s="1"/>
      <c r="M85" s="1"/>
      <c r="N85" s="1"/>
      <c r="T85" s="74" t="str">
        <f>Interview!$B$188</f>
        <v>Operations</v>
      </c>
      <c r="U85" s="77" t="str">
        <f>Interview!$B$189</f>
        <v>Incident Management</v>
      </c>
      <c r="V85" s="93">
        <v>0</v>
      </c>
      <c r="W85" s="93">
        <v>0</v>
      </c>
      <c r="X85" s="93">
        <v>0</v>
      </c>
      <c r="Y85" s="93">
        <v>0</v>
      </c>
      <c r="Z85" s="93">
        <f>C85</f>
        <v>0</v>
      </c>
    </row>
    <row r="86" spans="1:26" ht="25" customHeight="1" x14ac:dyDescent="0.15">
      <c r="A86" s="74" t="str">
        <f>Interview!$B$188</f>
        <v>Operations</v>
      </c>
      <c r="B86" s="77" t="str">
        <f>Interview!$B$203</f>
        <v>Environment Management</v>
      </c>
      <c r="C86" s="93">
        <f>Roadmap!U139</f>
        <v>1</v>
      </c>
      <c r="D86" s="93">
        <f>Roadmap!T139</f>
        <v>0</v>
      </c>
      <c r="E86" s="93">
        <f>Roadmap!T140</f>
        <v>0.5</v>
      </c>
      <c r="F86" s="93">
        <f>Roadmap!T141</f>
        <v>0.5</v>
      </c>
      <c r="G86" s="6">
        <f t="shared" si="6"/>
        <v>1</v>
      </c>
      <c r="H86" s="3"/>
      <c r="I86" s="1"/>
      <c r="J86" s="1"/>
      <c r="K86" s="1"/>
      <c r="L86" s="1"/>
      <c r="M86" s="1"/>
      <c r="N86" s="1"/>
      <c r="T86" s="74" t="str">
        <f>Interview!$B$188</f>
        <v>Operations</v>
      </c>
      <c r="U86" s="77" t="str">
        <f>Interview!$B$203</f>
        <v>Environment Management</v>
      </c>
      <c r="V86" s="93">
        <v>0</v>
      </c>
      <c r="W86" s="93">
        <v>0</v>
      </c>
      <c r="X86" s="93">
        <v>0</v>
      </c>
      <c r="Y86" s="93">
        <v>0</v>
      </c>
      <c r="Z86" s="93">
        <f>C86</f>
        <v>1</v>
      </c>
    </row>
    <row r="87" spans="1:26" ht="25" customHeight="1" x14ac:dyDescent="0.15">
      <c r="A87" s="74" t="str">
        <f>Interview!$B$188</f>
        <v>Operations</v>
      </c>
      <c r="B87" s="77" t="str">
        <f>Interview!$B$217</f>
        <v>Operational Management</v>
      </c>
      <c r="C87" s="93">
        <f>Roadmap!U148</f>
        <v>2.5</v>
      </c>
      <c r="D87" s="93">
        <f>Roadmap!T148</f>
        <v>0.5</v>
      </c>
      <c r="E87" s="93">
        <f>Roadmap!T149</f>
        <v>1</v>
      </c>
      <c r="F87" s="93">
        <f>Roadmap!T150</f>
        <v>1</v>
      </c>
      <c r="G87" s="6">
        <f t="shared" si="6"/>
        <v>0</v>
      </c>
      <c r="H87" s="3"/>
      <c r="I87" s="1"/>
      <c r="J87" s="1"/>
      <c r="K87" s="1"/>
      <c r="L87" s="1"/>
      <c r="M87" s="1"/>
      <c r="N87" s="1"/>
      <c r="T87" s="74" t="str">
        <f>Interview!$B$188</f>
        <v>Operations</v>
      </c>
      <c r="U87" s="77" t="str">
        <f>Interview!$B$217</f>
        <v>Operational Management</v>
      </c>
      <c r="V87" s="93">
        <v>0</v>
      </c>
      <c r="W87" s="93">
        <v>0</v>
      </c>
      <c r="X87" s="93">
        <v>0</v>
      </c>
      <c r="Y87" s="93">
        <v>0</v>
      </c>
      <c r="Z87" s="93">
        <f>C87</f>
        <v>2.5</v>
      </c>
    </row>
    <row r="88" spans="1:26" ht="12.75" customHeight="1" x14ac:dyDescent="0.15">
      <c r="A88" s="1"/>
      <c r="B88" s="1"/>
      <c r="C88" s="1"/>
      <c r="D88" s="1"/>
      <c r="E88" s="1"/>
      <c r="F88" s="1"/>
      <c r="G88" s="1"/>
      <c r="H88" s="1"/>
      <c r="I88" s="1"/>
      <c r="J88" s="1"/>
      <c r="K88" s="1"/>
      <c r="L88" s="1"/>
      <c r="M88" s="1"/>
      <c r="N88" s="1"/>
    </row>
    <row r="89" spans="1:26" ht="12.75" customHeight="1" x14ac:dyDescent="0.15">
      <c r="A89" s="1"/>
      <c r="B89" s="1"/>
      <c r="C89" s="1"/>
      <c r="D89" s="1"/>
      <c r="E89" s="1"/>
      <c r="F89" s="1"/>
      <c r="G89" s="1"/>
      <c r="H89" s="1"/>
      <c r="I89" s="1"/>
      <c r="J89" s="1"/>
      <c r="K89" s="1"/>
      <c r="L89" s="1"/>
      <c r="M89" s="1"/>
      <c r="N89" s="1"/>
    </row>
    <row r="90" spans="1:26" ht="12.75" customHeight="1" thickBot="1" x14ac:dyDescent="0.2">
      <c r="K90" s="1"/>
    </row>
    <row r="91" spans="1:26" ht="25" customHeight="1" thickBot="1" x14ac:dyDescent="0.2">
      <c r="A91" s="580" t="s">
        <v>94</v>
      </c>
      <c r="B91" s="581"/>
      <c r="C91" s="581"/>
      <c r="D91" s="581"/>
      <c r="E91" s="581"/>
      <c r="F91" s="581"/>
      <c r="G91" s="581"/>
      <c r="H91" s="581"/>
      <c r="I91" s="581"/>
      <c r="J91" s="582"/>
      <c r="K91" s="1"/>
      <c r="L91" s="580" t="s">
        <v>94</v>
      </c>
      <c r="M91" s="581"/>
      <c r="N91" s="581"/>
      <c r="O91" s="581"/>
      <c r="P91" s="581"/>
      <c r="Q91" s="581"/>
      <c r="R91" s="582"/>
      <c r="T91" s="583" t="s">
        <v>94</v>
      </c>
      <c r="U91" s="584"/>
      <c r="V91" s="584"/>
      <c r="W91" s="584"/>
      <c r="X91" s="584"/>
      <c r="Y91" s="584"/>
      <c r="Z91" s="585"/>
    </row>
    <row r="92" spans="1:26" ht="12" customHeight="1" x14ac:dyDescent="0.15">
      <c r="A92" s="2"/>
      <c r="B92" s="2"/>
      <c r="C92" s="2"/>
      <c r="D92" s="577" t="s">
        <v>86</v>
      </c>
      <c r="E92" s="578"/>
      <c r="F92" s="579"/>
      <c r="G92" s="1"/>
      <c r="H92" s="1"/>
      <c r="I92" s="1"/>
      <c r="J92" s="1"/>
      <c r="K92" s="1"/>
      <c r="L92" s="1"/>
      <c r="M92" s="1"/>
      <c r="N92" s="1"/>
    </row>
    <row r="93" spans="1:26" ht="25" customHeight="1" x14ac:dyDescent="0.15">
      <c r="A93" s="7" t="s">
        <v>0</v>
      </c>
      <c r="B93" s="7" t="s">
        <v>1</v>
      </c>
      <c r="C93" s="7" t="s">
        <v>55</v>
      </c>
      <c r="D93" s="119">
        <v>1</v>
      </c>
      <c r="E93" s="119">
        <v>2</v>
      </c>
      <c r="F93" s="119">
        <v>3</v>
      </c>
      <c r="G93" s="8" t="s">
        <v>5</v>
      </c>
      <c r="H93" s="1"/>
      <c r="I93" s="7" t="s">
        <v>0</v>
      </c>
      <c r="J93" s="7" t="s">
        <v>55</v>
      </c>
      <c r="K93" s="1"/>
      <c r="L93" s="1"/>
      <c r="M93" s="1"/>
      <c r="N93" s="1"/>
      <c r="V93" t="str">
        <f>T94</f>
        <v>Governance</v>
      </c>
      <c r="W93" t="str">
        <f>T97</f>
        <v>Design</v>
      </c>
      <c r="X93" t="str">
        <f>T100</f>
        <v>Implementation</v>
      </c>
      <c r="Y93" t="str">
        <f>T103</f>
        <v>Verification</v>
      </c>
      <c r="Z93" t="str">
        <f>T106</f>
        <v>Operations</v>
      </c>
    </row>
    <row r="94" spans="1:26" ht="25" customHeight="1" x14ac:dyDescent="0.15">
      <c r="A94" s="61" t="str">
        <f>Interview!$B$16</f>
        <v>Governance</v>
      </c>
      <c r="B94" s="65" t="str">
        <f>Interview!$D$17</f>
        <v>Strategy &amp; Metrics</v>
      </c>
      <c r="C94" s="93">
        <f>Roadmap!Y18</f>
        <v>0.125</v>
      </c>
      <c r="D94" s="93">
        <f>Roadmap!X18</f>
        <v>0</v>
      </c>
      <c r="E94" s="93">
        <f>Roadmap!X19</f>
        <v>0</v>
      </c>
      <c r="F94" s="93">
        <f>Roadmap!X20</f>
        <v>0.125</v>
      </c>
      <c r="G94" s="6">
        <f t="shared" ref="G94:G108" si="7">(((((IF((C94="0+"),0.5,0)+IF((C94=1),1,0))+IF((C94="1+"),1.5,0))+IF((C94=2),2,0))+IF((C94="2+"),2.5,0))+IF((C94=3),3,0))+IF((C94="3+"),3.5,0)</f>
        <v>0</v>
      </c>
      <c r="H94" s="3"/>
      <c r="I94" s="61" t="str">
        <f>A94</f>
        <v>Governance</v>
      </c>
      <c r="J94" s="93">
        <f>AVERAGE(C94:C96)</f>
        <v>0.54166666666666663</v>
      </c>
      <c r="K94" s="1"/>
      <c r="L94" s="1"/>
      <c r="M94" s="1"/>
      <c r="N94" s="1"/>
      <c r="T94" s="61" t="str">
        <f>Interview!$B$16</f>
        <v>Governance</v>
      </c>
      <c r="U94" s="65" t="str">
        <f>Interview!$D$17</f>
        <v>Strategy &amp; Metrics</v>
      </c>
      <c r="V94" s="93">
        <f>C94</f>
        <v>0.125</v>
      </c>
      <c r="W94" s="93">
        <v>0</v>
      </c>
      <c r="X94" s="93">
        <v>0</v>
      </c>
      <c r="Y94" s="93">
        <v>0</v>
      </c>
      <c r="Z94" s="93">
        <v>0</v>
      </c>
    </row>
    <row r="95" spans="1:26" ht="25" customHeight="1" x14ac:dyDescent="0.15">
      <c r="A95" s="61" t="str">
        <f>Interview!$B$16</f>
        <v>Governance</v>
      </c>
      <c r="B95" s="65" t="str">
        <f>Interview!$B$31</f>
        <v>Policy &amp; Compliance</v>
      </c>
      <c r="C95" s="93">
        <f>Roadmap!Y27</f>
        <v>0.5</v>
      </c>
      <c r="D95" s="93">
        <f>Roadmap!X27</f>
        <v>0.5</v>
      </c>
      <c r="E95" s="93">
        <f>Roadmap!X28</f>
        <v>0</v>
      </c>
      <c r="F95" s="93">
        <f>Roadmap!X29</f>
        <v>0</v>
      </c>
      <c r="G95" s="6">
        <f t="shared" si="7"/>
        <v>0</v>
      </c>
      <c r="H95" s="3"/>
      <c r="I95" s="66" t="str">
        <f>A97</f>
        <v>Design</v>
      </c>
      <c r="J95" s="93">
        <f>AVERAGE(C97:C99)</f>
        <v>0.66666666666666663</v>
      </c>
      <c r="K95" s="1"/>
      <c r="L95" s="1"/>
      <c r="M95" s="1"/>
      <c r="N95" s="1"/>
      <c r="T95" s="61" t="str">
        <f>Interview!$B$16</f>
        <v>Governance</v>
      </c>
      <c r="U95" s="65" t="str">
        <f>Interview!$B$31</f>
        <v>Policy &amp; Compliance</v>
      </c>
      <c r="V95" s="93">
        <f>C95</f>
        <v>0.5</v>
      </c>
      <c r="W95" s="93">
        <v>0</v>
      </c>
      <c r="X95" s="93">
        <v>0</v>
      </c>
      <c r="Y95" s="93">
        <v>0</v>
      </c>
      <c r="Z95" s="93">
        <v>0</v>
      </c>
    </row>
    <row r="96" spans="1:26" ht="25" customHeight="1" x14ac:dyDescent="0.15">
      <c r="A96" s="61" t="str">
        <f>Interview!$B$16</f>
        <v>Governance</v>
      </c>
      <c r="B96" s="65" t="str">
        <f>Interview!$B$45</f>
        <v>Education &amp; Guidance</v>
      </c>
      <c r="C96" s="93">
        <f>Roadmap!Y36</f>
        <v>1</v>
      </c>
      <c r="D96" s="93">
        <f>Roadmap!X36</f>
        <v>0</v>
      </c>
      <c r="E96" s="93">
        <f>Roadmap!X37</f>
        <v>0.5</v>
      </c>
      <c r="F96" s="93">
        <f>Roadmap!X38</f>
        <v>0.5</v>
      </c>
      <c r="G96" s="6">
        <f t="shared" si="7"/>
        <v>1</v>
      </c>
      <c r="H96" s="3"/>
      <c r="I96" s="277" t="str">
        <f>A100</f>
        <v>Implementation</v>
      </c>
      <c r="J96" s="93">
        <f>AVERAGE(C100:C102)</f>
        <v>0</v>
      </c>
      <c r="K96" s="1"/>
      <c r="L96" s="1"/>
      <c r="M96" s="1"/>
      <c r="N96" s="1"/>
      <c r="T96" s="61" t="str">
        <f>Interview!$B$16</f>
        <v>Governance</v>
      </c>
      <c r="U96" s="65" t="str">
        <f>Interview!$B$45</f>
        <v>Education &amp; Guidance</v>
      </c>
      <c r="V96" s="93">
        <f>C96</f>
        <v>1</v>
      </c>
      <c r="W96" s="93">
        <v>0</v>
      </c>
      <c r="X96" s="93">
        <v>0</v>
      </c>
      <c r="Y96" s="93">
        <v>0</v>
      </c>
      <c r="Z96" s="93">
        <v>0</v>
      </c>
    </row>
    <row r="97" spans="1:26" ht="25" customHeight="1" x14ac:dyDescent="0.15">
      <c r="A97" s="66" t="str">
        <f>Interview!$B$59</f>
        <v>Design</v>
      </c>
      <c r="B97" s="69" t="str">
        <f>Interview!$B$60</f>
        <v>Threat Assessment</v>
      </c>
      <c r="C97" s="93">
        <f>Roadmap!Y46</f>
        <v>1.5</v>
      </c>
      <c r="D97" s="93">
        <f>Roadmap!X46</f>
        <v>1</v>
      </c>
      <c r="E97" s="93">
        <f>Roadmap!X47</f>
        <v>0.5</v>
      </c>
      <c r="F97" s="93">
        <f>Roadmap!X48</f>
        <v>0</v>
      </c>
      <c r="G97" s="6">
        <f t="shared" si="7"/>
        <v>0</v>
      </c>
      <c r="H97" s="3"/>
      <c r="I97" s="70" t="str">
        <f>A103</f>
        <v>Verification</v>
      </c>
      <c r="J97" s="93">
        <f>AVERAGE(C103:C105)</f>
        <v>4.1666666666666664E-2</v>
      </c>
      <c r="K97" s="1"/>
      <c r="L97" s="1"/>
      <c r="M97" s="1"/>
      <c r="N97" s="1"/>
      <c r="T97" s="66" t="str">
        <f>Interview!$B$59</f>
        <v>Design</v>
      </c>
      <c r="U97" s="69" t="str">
        <f>Interview!$B$60</f>
        <v>Threat Assessment</v>
      </c>
      <c r="V97" s="93">
        <v>0</v>
      </c>
      <c r="W97" s="93">
        <f>C97</f>
        <v>1.5</v>
      </c>
      <c r="X97" s="93">
        <v>0</v>
      </c>
      <c r="Y97" s="93">
        <v>0</v>
      </c>
      <c r="Z97" s="93">
        <v>0</v>
      </c>
    </row>
    <row r="98" spans="1:26" ht="25" customHeight="1" x14ac:dyDescent="0.15">
      <c r="A98" s="66" t="str">
        <f>Interview!$B$59</f>
        <v>Design</v>
      </c>
      <c r="B98" s="69" t="str">
        <f>Interview!$B$74</f>
        <v>Security Requirements</v>
      </c>
      <c r="C98" s="93">
        <f>Roadmap!Y55</f>
        <v>0</v>
      </c>
      <c r="D98" s="93">
        <f>Roadmap!X55</f>
        <v>0</v>
      </c>
      <c r="E98" s="93">
        <f>Roadmap!X56</f>
        <v>0</v>
      </c>
      <c r="F98" s="93">
        <f>Roadmap!X57</f>
        <v>0</v>
      </c>
      <c r="G98" s="6">
        <f t="shared" si="7"/>
        <v>0</v>
      </c>
      <c r="H98" s="3"/>
      <c r="I98" s="74" t="str">
        <f>A106</f>
        <v>Operations</v>
      </c>
      <c r="J98" s="93">
        <f>AVERAGE(C106:C108)</f>
        <v>1.1666666666666667</v>
      </c>
      <c r="K98" s="1"/>
      <c r="L98" s="1"/>
      <c r="M98" s="1"/>
      <c r="N98" s="1"/>
      <c r="T98" s="66" t="str">
        <f>Interview!$B$59</f>
        <v>Design</v>
      </c>
      <c r="U98" s="69" t="str">
        <f>Interview!$B$74</f>
        <v>Security Requirements</v>
      </c>
      <c r="V98" s="93">
        <v>0</v>
      </c>
      <c r="W98" s="93">
        <f>C98</f>
        <v>0</v>
      </c>
      <c r="X98" s="93">
        <v>0</v>
      </c>
      <c r="Y98" s="93">
        <v>0</v>
      </c>
      <c r="Z98" s="93">
        <v>0</v>
      </c>
    </row>
    <row r="99" spans="1:26" ht="25" customHeight="1" x14ac:dyDescent="0.15">
      <c r="A99" s="66" t="str">
        <f>Interview!$B$59</f>
        <v>Design</v>
      </c>
      <c r="B99" s="69" t="str">
        <f>Interview!$B$88</f>
        <v>Secure Architecture</v>
      </c>
      <c r="C99" s="93">
        <f>Roadmap!Y64</f>
        <v>0.5</v>
      </c>
      <c r="D99" s="93">
        <f>Roadmap!X64</f>
        <v>0.5</v>
      </c>
      <c r="E99" s="93">
        <f>Roadmap!X65</f>
        <v>0</v>
      </c>
      <c r="F99" s="93">
        <f>Roadmap!X66</f>
        <v>0</v>
      </c>
      <c r="G99" s="6">
        <f t="shared" si="7"/>
        <v>0</v>
      </c>
      <c r="H99" s="3"/>
      <c r="I99" s="1"/>
      <c r="J99" s="1"/>
      <c r="K99" s="1"/>
      <c r="L99" s="1"/>
      <c r="M99" s="1"/>
      <c r="N99" s="1"/>
      <c r="T99" s="66" t="str">
        <f>Interview!$B$59</f>
        <v>Design</v>
      </c>
      <c r="U99" s="69" t="str">
        <f>Interview!$B$88</f>
        <v>Secure Architecture</v>
      </c>
      <c r="V99" s="93">
        <v>0</v>
      </c>
      <c r="W99" s="93">
        <f>C99</f>
        <v>0.5</v>
      </c>
      <c r="X99" s="93">
        <v>0</v>
      </c>
      <c r="Y99" s="93">
        <v>0</v>
      </c>
      <c r="Z99" s="93">
        <v>0</v>
      </c>
    </row>
    <row r="100" spans="1:26" ht="25" customHeight="1" x14ac:dyDescent="0.15">
      <c r="A100" s="277" t="str">
        <f>Interview!$B$102</f>
        <v>Implementation</v>
      </c>
      <c r="B100" s="278" t="str">
        <f>Interview!$B$103</f>
        <v>Secure Build</v>
      </c>
      <c r="C100" s="93">
        <f>Roadmap!Y74</f>
        <v>0</v>
      </c>
      <c r="D100" s="93">
        <f>Roadmap!X74</f>
        <v>0</v>
      </c>
      <c r="E100" s="93">
        <f>Roadmap!X75</f>
        <v>0</v>
      </c>
      <c r="F100" s="93">
        <f>Roadmap!X76</f>
        <v>0</v>
      </c>
      <c r="G100" s="6"/>
      <c r="H100" s="3"/>
      <c r="I100" s="1"/>
      <c r="J100" s="1"/>
      <c r="K100" s="1"/>
      <c r="L100" s="1"/>
      <c r="M100" s="1"/>
      <c r="N100" s="1"/>
      <c r="T100" s="277" t="str">
        <f>Interview!$B$102</f>
        <v>Implementation</v>
      </c>
      <c r="U100" s="278" t="str">
        <f>Interview!$B$103</f>
        <v>Secure Build</v>
      </c>
      <c r="V100" s="93">
        <v>0</v>
      </c>
      <c r="W100" s="93">
        <v>0</v>
      </c>
      <c r="X100" s="93">
        <f>C100</f>
        <v>0</v>
      </c>
      <c r="Y100" s="93">
        <v>0</v>
      </c>
      <c r="Z100" s="93">
        <v>0</v>
      </c>
    </row>
    <row r="101" spans="1:26" ht="25" customHeight="1" x14ac:dyDescent="0.15">
      <c r="A101" s="277" t="str">
        <f>Interview!$B$102</f>
        <v>Implementation</v>
      </c>
      <c r="B101" s="278" t="str">
        <f>Interview!$B$117</f>
        <v>Secure Deployment</v>
      </c>
      <c r="C101" s="93">
        <f>Roadmap!Y83</f>
        <v>0</v>
      </c>
      <c r="D101" s="93">
        <f>Roadmap!X83</f>
        <v>0</v>
      </c>
      <c r="E101" s="93">
        <f>Roadmap!X84</f>
        <v>0</v>
      </c>
      <c r="F101" s="93">
        <f>Roadmap!X85</f>
        <v>0</v>
      </c>
      <c r="G101" s="6"/>
      <c r="H101" s="3"/>
      <c r="I101" s="1"/>
      <c r="J101" s="1"/>
      <c r="K101" s="1"/>
      <c r="L101" s="1"/>
      <c r="M101" s="1"/>
      <c r="N101" s="1"/>
      <c r="T101" s="277" t="str">
        <f>Interview!$B$102</f>
        <v>Implementation</v>
      </c>
      <c r="U101" s="278" t="str">
        <f>Interview!$B$117</f>
        <v>Secure Deployment</v>
      </c>
      <c r="V101" s="93">
        <v>0</v>
      </c>
      <c r="W101" s="93">
        <v>0</v>
      </c>
      <c r="X101" s="93">
        <f>C101</f>
        <v>0</v>
      </c>
      <c r="Y101" s="93">
        <v>0</v>
      </c>
      <c r="Z101" s="93">
        <v>0</v>
      </c>
    </row>
    <row r="102" spans="1:26" ht="25" customHeight="1" x14ac:dyDescent="0.15">
      <c r="A102" s="277" t="str">
        <f>Interview!$B$102</f>
        <v>Implementation</v>
      </c>
      <c r="B102" s="278" t="str">
        <f>Interview!$B$131</f>
        <v>Defect Management</v>
      </c>
      <c r="C102" s="93">
        <f>Roadmap!Y92</f>
        <v>0</v>
      </c>
      <c r="D102" s="93">
        <f>Roadmap!X92</f>
        <v>0</v>
      </c>
      <c r="E102" s="93">
        <f>Roadmap!X93</f>
        <v>0</v>
      </c>
      <c r="F102" s="93">
        <f>Roadmap!X94</f>
        <v>0</v>
      </c>
      <c r="G102" s="6"/>
      <c r="H102" s="3"/>
      <c r="I102" s="1"/>
      <c r="J102" s="1"/>
      <c r="K102" s="1"/>
      <c r="L102" s="1"/>
      <c r="M102" s="1"/>
      <c r="N102" s="1"/>
      <c r="T102" s="277" t="str">
        <f>Interview!$B$102</f>
        <v>Implementation</v>
      </c>
      <c r="U102" s="278" t="str">
        <f>Interview!$B$131</f>
        <v>Defect Management</v>
      </c>
      <c r="V102" s="93">
        <v>0</v>
      </c>
      <c r="W102" s="93">
        <v>0</v>
      </c>
      <c r="X102" s="93">
        <f>C102</f>
        <v>0</v>
      </c>
      <c r="Y102" s="93">
        <v>0</v>
      </c>
      <c r="Z102" s="93">
        <v>0</v>
      </c>
    </row>
    <row r="103" spans="1:26" ht="25" customHeight="1" x14ac:dyDescent="0.15">
      <c r="A103" s="70" t="str">
        <f>Interview!$B$145</f>
        <v>Verification</v>
      </c>
      <c r="B103" s="73" t="str">
        <f>Interview!$B$146</f>
        <v>Architecture Assessment</v>
      </c>
      <c r="C103" s="93">
        <f>Roadmap!Y102</f>
        <v>0.125</v>
      </c>
      <c r="D103" s="93">
        <f>Roadmap!X102</f>
        <v>0</v>
      </c>
      <c r="E103" s="93">
        <f>Roadmap!X103</f>
        <v>0.125</v>
      </c>
      <c r="F103" s="93">
        <f>Roadmap!X104</f>
        <v>0</v>
      </c>
      <c r="G103" s="6">
        <f t="shared" si="7"/>
        <v>0</v>
      </c>
      <c r="H103" s="3"/>
      <c r="I103" s="1"/>
      <c r="J103" s="1"/>
      <c r="K103" s="1"/>
      <c r="L103" s="1"/>
      <c r="M103" s="1"/>
      <c r="N103" s="1"/>
      <c r="T103" s="70" t="str">
        <f>Interview!$B$145</f>
        <v>Verification</v>
      </c>
      <c r="U103" s="73" t="str">
        <f>Interview!$B$146</f>
        <v>Architecture Assessment</v>
      </c>
      <c r="V103" s="93">
        <v>0</v>
      </c>
      <c r="W103" s="93">
        <v>0</v>
      </c>
      <c r="X103" s="93">
        <v>0</v>
      </c>
      <c r="Y103" s="93">
        <f>C103</f>
        <v>0.125</v>
      </c>
      <c r="Z103" s="93">
        <v>0</v>
      </c>
    </row>
    <row r="104" spans="1:26" ht="25" customHeight="1" x14ac:dyDescent="0.15">
      <c r="A104" s="70" t="str">
        <f>Interview!$B$145</f>
        <v>Verification</v>
      </c>
      <c r="B104" s="73" t="str">
        <f>Interview!$B$160</f>
        <v>Requirements Testing</v>
      </c>
      <c r="C104" s="93">
        <f>Roadmap!Y111</f>
        <v>0</v>
      </c>
      <c r="D104" s="93">
        <f>Roadmap!X111</f>
        <v>0</v>
      </c>
      <c r="E104" s="93">
        <f>Roadmap!X112</f>
        <v>0</v>
      </c>
      <c r="F104" s="93">
        <f>Roadmap!X113</f>
        <v>0</v>
      </c>
      <c r="G104" s="6">
        <f t="shared" si="7"/>
        <v>0</v>
      </c>
      <c r="H104" s="3"/>
      <c r="I104" s="1"/>
      <c r="J104" s="1"/>
      <c r="K104" s="1"/>
      <c r="L104" s="1"/>
      <c r="M104" s="1"/>
      <c r="N104" s="1"/>
      <c r="T104" s="70" t="str">
        <f>Interview!$B$145</f>
        <v>Verification</v>
      </c>
      <c r="U104" s="73" t="str">
        <f>Interview!$B$160</f>
        <v>Requirements Testing</v>
      </c>
      <c r="V104" s="93">
        <v>0</v>
      </c>
      <c r="W104" s="93">
        <v>0</v>
      </c>
      <c r="X104" s="93">
        <v>0</v>
      </c>
      <c r="Y104" s="93">
        <f>C104</f>
        <v>0</v>
      </c>
      <c r="Z104" s="93">
        <v>0</v>
      </c>
    </row>
    <row r="105" spans="1:26" ht="25" customHeight="1" x14ac:dyDescent="0.15">
      <c r="A105" s="70" t="str">
        <f>Interview!$B$145</f>
        <v>Verification</v>
      </c>
      <c r="B105" s="73" t="str">
        <f>Interview!$B$174</f>
        <v>Security Testing</v>
      </c>
      <c r="C105" s="93">
        <f>Roadmap!Y120</f>
        <v>0</v>
      </c>
      <c r="D105" s="93">
        <f>Roadmap!X120</f>
        <v>0</v>
      </c>
      <c r="E105" s="93">
        <f>Roadmap!X121</f>
        <v>0</v>
      </c>
      <c r="F105" s="93">
        <f>Roadmap!X122</f>
        <v>0</v>
      </c>
      <c r="G105" s="6">
        <f t="shared" si="7"/>
        <v>0</v>
      </c>
      <c r="H105" s="3"/>
      <c r="I105" s="1"/>
      <c r="J105" s="1"/>
      <c r="K105" s="1"/>
      <c r="L105" s="1"/>
      <c r="M105" s="1"/>
      <c r="N105" s="1"/>
      <c r="T105" s="70" t="str">
        <f>Interview!$B$145</f>
        <v>Verification</v>
      </c>
      <c r="U105" s="73" t="str">
        <f>Interview!$B$174</f>
        <v>Security Testing</v>
      </c>
      <c r="V105" s="93">
        <v>0</v>
      </c>
      <c r="W105" s="93">
        <v>0</v>
      </c>
      <c r="X105" s="93">
        <v>0</v>
      </c>
      <c r="Y105" s="93">
        <f>C105</f>
        <v>0</v>
      </c>
      <c r="Z105" s="93">
        <v>0</v>
      </c>
    </row>
    <row r="106" spans="1:26" ht="25" customHeight="1" x14ac:dyDescent="0.15">
      <c r="A106" s="74" t="str">
        <f>Interview!$B$188</f>
        <v>Operations</v>
      </c>
      <c r="B106" s="77" t="str">
        <f>Interview!$B$189</f>
        <v>Incident Management</v>
      </c>
      <c r="C106" s="93">
        <f>Roadmap!Y130</f>
        <v>0</v>
      </c>
      <c r="D106" s="93">
        <f>Roadmap!X130</f>
        <v>0</v>
      </c>
      <c r="E106" s="93">
        <f>Roadmap!X131</f>
        <v>0</v>
      </c>
      <c r="F106" s="93">
        <f>Roadmap!X132</f>
        <v>0</v>
      </c>
      <c r="G106" s="6">
        <f t="shared" si="7"/>
        <v>0</v>
      </c>
      <c r="H106" s="3"/>
      <c r="I106" s="1"/>
      <c r="J106" s="1"/>
      <c r="K106" s="1"/>
      <c r="L106" s="1"/>
      <c r="M106" s="1"/>
      <c r="N106" s="1"/>
      <c r="T106" s="74" t="str">
        <f>Interview!$B$188</f>
        <v>Operations</v>
      </c>
      <c r="U106" s="77" t="str">
        <f>Interview!$B$189</f>
        <v>Incident Management</v>
      </c>
      <c r="V106" s="93">
        <v>0</v>
      </c>
      <c r="W106" s="93">
        <v>0</v>
      </c>
      <c r="X106" s="93">
        <v>0</v>
      </c>
      <c r="Y106" s="93">
        <v>0</v>
      </c>
      <c r="Z106" s="93">
        <f>C106</f>
        <v>0</v>
      </c>
    </row>
    <row r="107" spans="1:26" ht="25" customHeight="1" x14ac:dyDescent="0.15">
      <c r="A107" s="74" t="str">
        <f>Interview!$B$188</f>
        <v>Operations</v>
      </c>
      <c r="B107" s="77" t="str">
        <f>Interview!$B$203</f>
        <v>Environment Management</v>
      </c>
      <c r="C107" s="93">
        <f>Roadmap!Y139</f>
        <v>1</v>
      </c>
      <c r="D107" s="93">
        <f>Roadmap!X139</f>
        <v>0</v>
      </c>
      <c r="E107" s="93">
        <f>Roadmap!X140</f>
        <v>0.5</v>
      </c>
      <c r="F107" s="93">
        <f>Roadmap!X141</f>
        <v>0.5</v>
      </c>
      <c r="G107" s="6">
        <f t="shared" si="7"/>
        <v>1</v>
      </c>
      <c r="H107" s="3"/>
      <c r="I107" s="1"/>
      <c r="J107" s="1"/>
      <c r="K107" s="1"/>
      <c r="L107" s="1"/>
      <c r="M107" s="1"/>
      <c r="N107" s="1"/>
      <c r="T107" s="74" t="str">
        <f>Interview!$B$188</f>
        <v>Operations</v>
      </c>
      <c r="U107" s="77" t="str">
        <f>Interview!$B$203</f>
        <v>Environment Management</v>
      </c>
      <c r="V107" s="93">
        <v>0</v>
      </c>
      <c r="W107" s="93">
        <v>0</v>
      </c>
      <c r="X107" s="93">
        <v>0</v>
      </c>
      <c r="Y107" s="93">
        <v>0</v>
      </c>
      <c r="Z107" s="93">
        <f>C107</f>
        <v>1</v>
      </c>
    </row>
    <row r="108" spans="1:26" ht="25" customHeight="1" x14ac:dyDescent="0.15">
      <c r="A108" s="74" t="str">
        <f>Interview!$B$188</f>
        <v>Operations</v>
      </c>
      <c r="B108" s="77" t="str">
        <f>Interview!$B$217</f>
        <v>Operational Management</v>
      </c>
      <c r="C108" s="93">
        <f>Roadmap!Y148</f>
        <v>2.5</v>
      </c>
      <c r="D108" s="93">
        <f>Roadmap!X148</f>
        <v>0.5</v>
      </c>
      <c r="E108" s="93">
        <f>Roadmap!X149</f>
        <v>1</v>
      </c>
      <c r="F108" s="93">
        <f>Roadmap!X150</f>
        <v>1</v>
      </c>
      <c r="G108" s="6">
        <f t="shared" si="7"/>
        <v>0</v>
      </c>
      <c r="H108" s="3"/>
      <c r="I108" s="1"/>
      <c r="J108" s="1"/>
      <c r="K108" s="1"/>
      <c r="L108" s="1"/>
      <c r="M108" s="1"/>
      <c r="N108" s="1"/>
      <c r="T108" s="74" t="str">
        <f>Interview!$B$188</f>
        <v>Operations</v>
      </c>
      <c r="U108" s="77" t="str">
        <f>Interview!$B$217</f>
        <v>Operational Management</v>
      </c>
      <c r="V108" s="93">
        <v>0</v>
      </c>
      <c r="W108" s="93">
        <v>0</v>
      </c>
      <c r="X108" s="93">
        <v>0</v>
      </c>
      <c r="Y108" s="93">
        <v>0</v>
      </c>
      <c r="Z108" s="93">
        <f>C108</f>
        <v>2.5</v>
      </c>
    </row>
    <row r="109" spans="1:26" ht="12.75" customHeight="1" x14ac:dyDescent="0.15">
      <c r="A109" s="1"/>
      <c r="B109" s="1"/>
      <c r="C109" s="1"/>
      <c r="D109" s="1"/>
      <c r="E109" s="1"/>
      <c r="F109" s="1"/>
      <c r="G109" s="1"/>
      <c r="H109" s="1"/>
      <c r="I109" s="1"/>
      <c r="J109" s="1"/>
      <c r="K109" s="1"/>
      <c r="L109" s="1"/>
      <c r="M109" s="1"/>
      <c r="N109" s="1"/>
    </row>
    <row r="110" spans="1:26" ht="12.75" customHeight="1" x14ac:dyDescent="0.15">
      <c r="A110" s="1"/>
      <c r="B110" s="1"/>
      <c r="C110" s="1"/>
      <c r="D110" s="1"/>
      <c r="E110" s="1"/>
      <c r="F110" s="1"/>
      <c r="G110" s="1"/>
      <c r="H110" s="1"/>
      <c r="I110" s="1"/>
      <c r="J110" s="1"/>
      <c r="K110" s="1"/>
      <c r="L110" s="1"/>
      <c r="M110" s="1"/>
      <c r="N110" s="1"/>
    </row>
    <row r="111" spans="1:26" ht="12.75" customHeight="1" x14ac:dyDescent="0.15">
      <c r="A111" s="1"/>
      <c r="B111" s="1"/>
      <c r="C111" s="1"/>
      <c r="D111" s="1"/>
      <c r="E111" s="1"/>
      <c r="F111" s="1"/>
      <c r="G111" s="1"/>
      <c r="H111" s="1"/>
      <c r="I111" s="1"/>
      <c r="J111" s="1"/>
      <c r="K111" s="1"/>
      <c r="L111" s="1"/>
      <c r="M111" s="1"/>
      <c r="N111" s="1"/>
    </row>
    <row r="112" spans="1:26" ht="12.75" customHeight="1" x14ac:dyDescent="0.15">
      <c r="A112" s="1"/>
      <c r="B112" s="1"/>
      <c r="C112" s="1"/>
      <c r="D112" s="1"/>
      <c r="E112" s="1"/>
      <c r="F112" s="1"/>
      <c r="G112" s="1"/>
      <c r="H112" s="1"/>
      <c r="I112" s="1"/>
      <c r="J112" s="1"/>
      <c r="K112" s="1"/>
      <c r="L112" s="1"/>
      <c r="M112" s="1"/>
      <c r="N112" s="1"/>
    </row>
    <row r="113" spans="1:14" ht="12.75" customHeight="1" x14ac:dyDescent="0.15">
      <c r="A113" s="1"/>
      <c r="B113" s="1"/>
      <c r="C113" s="1"/>
      <c r="D113" s="1"/>
      <c r="E113" s="1"/>
      <c r="F113" s="1"/>
      <c r="G113" s="1"/>
      <c r="H113" s="1"/>
      <c r="I113" s="1"/>
      <c r="J113" s="1"/>
      <c r="K113" s="1"/>
      <c r="L113" s="1"/>
      <c r="M113" s="1"/>
      <c r="N113" s="1"/>
    </row>
    <row r="114" spans="1:14" ht="12.75" customHeight="1" x14ac:dyDescent="0.15">
      <c r="A114" s="1"/>
      <c r="B114" s="1"/>
      <c r="C114" s="1"/>
      <c r="D114" s="1"/>
      <c r="E114" s="1"/>
      <c r="F114" s="1"/>
      <c r="G114" s="1"/>
      <c r="H114" s="1"/>
      <c r="I114" s="1"/>
      <c r="J114" s="1"/>
      <c r="K114" s="1"/>
      <c r="L114" s="1"/>
      <c r="M114" s="1"/>
      <c r="N114" s="1"/>
    </row>
    <row r="115" spans="1:14" ht="12.75" customHeight="1" x14ac:dyDescent="0.15">
      <c r="A115" s="1"/>
      <c r="B115" s="1"/>
      <c r="C115" s="1"/>
      <c r="D115" s="1"/>
      <c r="E115" s="1"/>
      <c r="F115" s="1"/>
      <c r="G115" s="1"/>
      <c r="H115" s="1"/>
      <c r="I115" s="1"/>
      <c r="J115" s="1"/>
      <c r="K115" s="1"/>
      <c r="L115" s="1"/>
      <c r="M115" s="1"/>
      <c r="N115" s="1"/>
    </row>
    <row r="116" spans="1:14" ht="12.75" customHeight="1" x14ac:dyDescent="0.15">
      <c r="A116" s="1"/>
      <c r="B116" s="1"/>
      <c r="C116" s="1"/>
      <c r="D116" s="1"/>
      <c r="E116" s="1"/>
      <c r="F116" s="1"/>
      <c r="G116" s="1"/>
      <c r="H116" s="1"/>
      <c r="I116" s="1"/>
      <c r="J116" s="1"/>
      <c r="K116" s="1"/>
      <c r="L116" s="1"/>
      <c r="M116" s="1"/>
      <c r="N116" s="1"/>
    </row>
    <row r="117" spans="1:14" ht="12.75" customHeight="1" x14ac:dyDescent="0.15">
      <c r="A117" s="1"/>
      <c r="B117" s="1"/>
      <c r="C117" s="1"/>
      <c r="D117" s="1"/>
      <c r="E117" s="1"/>
      <c r="F117" s="1"/>
      <c r="G117" s="1"/>
      <c r="H117" s="1"/>
      <c r="I117" s="1"/>
      <c r="J117" s="1"/>
      <c r="K117" s="1"/>
      <c r="L117" s="1"/>
      <c r="M117" s="1"/>
      <c r="N117" s="1"/>
    </row>
    <row r="118" spans="1:14" ht="12.75" customHeight="1" x14ac:dyDescent="0.15">
      <c r="A118" s="1"/>
      <c r="B118" s="1"/>
      <c r="C118" s="1"/>
      <c r="D118" s="1"/>
      <c r="E118" s="1"/>
      <c r="F118" s="1"/>
      <c r="G118" s="1"/>
      <c r="H118" s="1"/>
      <c r="I118" s="1"/>
      <c r="J118" s="1"/>
      <c r="K118" s="1"/>
      <c r="L118" s="1"/>
      <c r="M118" s="1"/>
      <c r="N118" s="1"/>
    </row>
    <row r="119" spans="1:14" ht="12.75" customHeight="1" x14ac:dyDescent="0.15">
      <c r="A119" s="1"/>
      <c r="B119" s="1"/>
      <c r="C119" s="1"/>
      <c r="D119" s="1"/>
      <c r="E119" s="1"/>
      <c r="F119" s="1"/>
      <c r="G119" s="1"/>
      <c r="H119" s="1"/>
      <c r="I119" s="1"/>
      <c r="J119" s="1"/>
      <c r="K119" s="1"/>
      <c r="L119" s="1"/>
      <c r="M119" s="1"/>
      <c r="N119" s="1"/>
    </row>
    <row r="120" spans="1:14" ht="12.75" customHeight="1" x14ac:dyDescent="0.15">
      <c r="A120" s="1"/>
      <c r="B120" s="1"/>
      <c r="C120" s="1"/>
      <c r="D120" s="1"/>
      <c r="E120" s="1"/>
      <c r="F120" s="1"/>
      <c r="G120" s="1"/>
      <c r="H120" s="1"/>
      <c r="I120" s="1"/>
      <c r="J120" s="1"/>
      <c r="K120" s="1"/>
      <c r="L120" s="1"/>
      <c r="M120" s="1"/>
      <c r="N120" s="1"/>
    </row>
    <row r="121" spans="1:14" ht="12.75" customHeight="1" x14ac:dyDescent="0.15">
      <c r="A121" s="1"/>
      <c r="B121" s="1"/>
      <c r="C121" s="1"/>
      <c r="D121" s="1"/>
      <c r="E121" s="1"/>
      <c r="F121" s="1"/>
      <c r="G121" s="1"/>
      <c r="H121" s="1"/>
      <c r="I121" s="1"/>
      <c r="J121" s="1"/>
      <c r="K121" s="1"/>
      <c r="L121" s="1"/>
      <c r="M121" s="1"/>
      <c r="N121" s="1"/>
    </row>
    <row r="122" spans="1:14" ht="12.75" customHeight="1" x14ac:dyDescent="0.15">
      <c r="A122" s="1"/>
      <c r="B122" s="1"/>
      <c r="C122" s="1"/>
      <c r="D122" s="1"/>
      <c r="E122" s="1"/>
      <c r="F122" s="1"/>
      <c r="G122" s="1"/>
      <c r="H122" s="1"/>
      <c r="I122" s="1"/>
      <c r="J122" s="1"/>
      <c r="K122" s="1"/>
      <c r="L122" s="1"/>
      <c r="M122" s="1"/>
      <c r="N122" s="1"/>
    </row>
    <row r="123" spans="1:14" ht="12.75" customHeight="1" x14ac:dyDescent="0.15">
      <c r="A123" s="1"/>
      <c r="B123" s="1"/>
      <c r="C123" s="1"/>
      <c r="D123" s="1"/>
      <c r="E123" s="1"/>
      <c r="F123" s="1"/>
      <c r="G123" s="1"/>
      <c r="H123" s="1"/>
      <c r="I123" s="1"/>
      <c r="J123" s="1"/>
      <c r="K123" s="1"/>
      <c r="L123" s="1"/>
      <c r="M123" s="1"/>
      <c r="N123" s="1"/>
    </row>
    <row r="124" spans="1:14" ht="12.75" customHeight="1" x14ac:dyDescent="0.15">
      <c r="A124" s="1"/>
      <c r="B124" s="1"/>
      <c r="C124" s="1"/>
      <c r="D124" s="1"/>
      <c r="E124" s="1"/>
      <c r="F124" s="1"/>
      <c r="G124" s="1"/>
      <c r="H124" s="1"/>
      <c r="I124" s="1"/>
      <c r="J124" s="1"/>
      <c r="K124" s="1"/>
      <c r="L124" s="1"/>
      <c r="M124" s="1"/>
      <c r="N124" s="1"/>
    </row>
    <row r="125" spans="1:14" ht="12.75" customHeight="1" x14ac:dyDescent="0.15">
      <c r="A125" s="1"/>
      <c r="B125" s="1"/>
      <c r="C125" s="1"/>
      <c r="D125" s="1"/>
      <c r="E125" s="1"/>
      <c r="F125" s="1"/>
      <c r="G125" s="1"/>
      <c r="H125" s="1"/>
      <c r="I125" s="1"/>
      <c r="J125" s="1"/>
      <c r="K125" s="1"/>
      <c r="L125" s="1"/>
      <c r="M125" s="1"/>
      <c r="N125" s="1"/>
    </row>
    <row r="126" spans="1:14" ht="12.75" customHeight="1" x14ac:dyDescent="0.15">
      <c r="A126" s="1"/>
      <c r="B126" s="1"/>
      <c r="C126" s="1"/>
      <c r="D126" s="1"/>
      <c r="E126" s="1"/>
      <c r="F126" s="1"/>
      <c r="G126" s="1"/>
      <c r="H126" s="1"/>
      <c r="I126" s="1"/>
      <c r="J126" s="1"/>
      <c r="K126" s="1"/>
      <c r="L126" s="1"/>
      <c r="M126" s="1"/>
      <c r="N126" s="1"/>
    </row>
    <row r="127" spans="1:14" ht="12.75" customHeight="1" x14ac:dyDescent="0.15">
      <c r="A127" s="1"/>
      <c r="B127" s="1"/>
      <c r="C127" s="1"/>
      <c r="D127" s="1"/>
      <c r="E127" s="1"/>
      <c r="F127" s="1"/>
      <c r="G127" s="1"/>
      <c r="H127" s="1"/>
      <c r="I127" s="1"/>
      <c r="J127" s="1"/>
      <c r="K127" s="1"/>
      <c r="L127" s="1"/>
      <c r="M127" s="1"/>
      <c r="N127" s="1"/>
    </row>
    <row r="128" spans="1:14" ht="12.75" customHeight="1" x14ac:dyDescent="0.15">
      <c r="A128" s="1"/>
      <c r="B128" s="1"/>
      <c r="C128" s="1"/>
      <c r="D128" s="1"/>
      <c r="E128" s="1"/>
      <c r="F128" s="1"/>
      <c r="G128" s="1"/>
      <c r="H128" s="1"/>
      <c r="I128" s="1"/>
      <c r="J128" s="1"/>
      <c r="K128" s="1"/>
      <c r="L128" s="1"/>
      <c r="M128" s="1"/>
      <c r="N128" s="1"/>
    </row>
    <row r="129" spans="1:14" ht="12.75" customHeight="1" x14ac:dyDescent="0.15">
      <c r="A129" s="1"/>
      <c r="B129" s="1"/>
      <c r="C129" s="1"/>
      <c r="D129" s="1"/>
      <c r="E129" s="1"/>
      <c r="F129" s="1"/>
      <c r="G129" s="1"/>
      <c r="H129" s="1"/>
      <c r="I129" s="1"/>
      <c r="J129" s="1"/>
      <c r="K129" s="1"/>
      <c r="L129" s="1"/>
      <c r="M129" s="1"/>
      <c r="N129" s="1"/>
    </row>
    <row r="130" spans="1:14" ht="12.75" customHeight="1" x14ac:dyDescent="0.15">
      <c r="A130" s="1"/>
      <c r="B130" s="1"/>
      <c r="C130" s="1"/>
      <c r="D130" s="1"/>
      <c r="E130" s="1"/>
      <c r="F130" s="1"/>
      <c r="G130" s="1"/>
      <c r="H130" s="1"/>
      <c r="I130" s="1"/>
      <c r="J130" s="1"/>
      <c r="K130" s="1"/>
      <c r="L130" s="1"/>
      <c r="M130" s="1"/>
      <c r="N130" s="1"/>
    </row>
    <row r="131" spans="1:14" ht="12.75" customHeight="1" x14ac:dyDescent="0.15">
      <c r="A131" s="1"/>
      <c r="B131" s="1"/>
      <c r="C131" s="1"/>
      <c r="D131" s="1"/>
      <c r="E131" s="1"/>
      <c r="F131" s="1"/>
      <c r="G131" s="1"/>
      <c r="H131" s="1"/>
      <c r="I131" s="1"/>
      <c r="J131" s="1"/>
      <c r="K131" s="1"/>
      <c r="L131" s="1"/>
      <c r="M131" s="1"/>
      <c r="N131" s="1"/>
    </row>
    <row r="132" spans="1:14" ht="12.75" customHeight="1" x14ac:dyDescent="0.15">
      <c r="A132" s="1"/>
      <c r="B132" s="1"/>
      <c r="C132" s="1"/>
      <c r="D132" s="1"/>
      <c r="E132" s="1"/>
      <c r="F132" s="1"/>
      <c r="G132" s="1"/>
      <c r="H132" s="1"/>
      <c r="I132" s="1"/>
      <c r="J132" s="1"/>
      <c r="K132" s="1"/>
      <c r="L132" s="1"/>
      <c r="M132" s="1"/>
      <c r="N132" s="1"/>
    </row>
    <row r="133" spans="1:14" ht="12.75" customHeight="1" x14ac:dyDescent="0.15">
      <c r="A133" s="1"/>
      <c r="B133" s="1"/>
      <c r="C133" s="1"/>
      <c r="D133" s="1"/>
      <c r="E133" s="1"/>
      <c r="F133" s="1"/>
      <c r="G133" s="1"/>
      <c r="H133" s="1"/>
      <c r="I133" s="1"/>
      <c r="J133" s="1"/>
      <c r="K133" s="1"/>
      <c r="L133" s="1"/>
      <c r="M133" s="1"/>
      <c r="N133" s="1"/>
    </row>
    <row r="134" spans="1:14" ht="12.75" customHeight="1" x14ac:dyDescent="0.15">
      <c r="A134" s="1"/>
      <c r="B134" s="1"/>
      <c r="C134" s="1"/>
      <c r="D134" s="1"/>
      <c r="E134" s="1"/>
      <c r="F134" s="1"/>
      <c r="G134" s="1"/>
      <c r="H134" s="1"/>
      <c r="I134" s="1"/>
      <c r="J134" s="1"/>
      <c r="K134" s="1"/>
      <c r="L134" s="1"/>
      <c r="M134" s="1"/>
      <c r="N134" s="1"/>
    </row>
    <row r="135" spans="1:14" ht="12.75" customHeight="1" x14ac:dyDescent="0.15">
      <c r="A135" s="1"/>
      <c r="B135" s="1"/>
      <c r="C135" s="1"/>
      <c r="D135" s="1"/>
      <c r="E135" s="1"/>
      <c r="F135" s="1"/>
      <c r="G135" s="1"/>
      <c r="H135" s="1"/>
      <c r="I135" s="1"/>
      <c r="J135" s="1"/>
      <c r="K135" s="1"/>
      <c r="L135" s="1"/>
      <c r="M135" s="1"/>
      <c r="N135" s="1"/>
    </row>
    <row r="136" spans="1:14" ht="12.75" customHeight="1" x14ac:dyDescent="0.15">
      <c r="A136" s="1"/>
      <c r="B136" s="1"/>
      <c r="C136" s="1"/>
      <c r="D136" s="1"/>
      <c r="E136" s="1"/>
      <c r="F136" s="1"/>
      <c r="G136" s="1"/>
      <c r="H136" s="1"/>
      <c r="I136" s="1"/>
      <c r="J136" s="1"/>
      <c r="K136" s="1"/>
      <c r="L136" s="1"/>
      <c r="M136" s="1"/>
      <c r="N136" s="1"/>
    </row>
    <row r="137" spans="1:14" ht="12.75" customHeight="1" x14ac:dyDescent="0.15">
      <c r="A137" s="1"/>
      <c r="B137" s="1"/>
      <c r="C137" s="1"/>
      <c r="D137" s="1"/>
      <c r="E137" s="1"/>
      <c r="F137" s="1"/>
      <c r="G137" s="1"/>
      <c r="H137" s="1"/>
      <c r="I137" s="1"/>
      <c r="J137" s="1"/>
      <c r="K137" s="1"/>
      <c r="L137" s="1"/>
      <c r="M137" s="1"/>
      <c r="N137" s="1"/>
    </row>
    <row r="138" spans="1:14" ht="12.75" customHeight="1" x14ac:dyDescent="0.15">
      <c r="A138" s="1"/>
      <c r="B138" s="1"/>
      <c r="C138" s="1"/>
      <c r="D138" s="1"/>
      <c r="E138" s="1"/>
      <c r="F138" s="1"/>
      <c r="G138" s="1"/>
      <c r="H138" s="1"/>
      <c r="I138" s="1"/>
      <c r="J138" s="1"/>
      <c r="K138" s="1"/>
      <c r="L138" s="1"/>
      <c r="M138" s="1"/>
      <c r="N138" s="1"/>
    </row>
    <row r="139" spans="1:14" ht="12.75" customHeight="1" x14ac:dyDescent="0.15">
      <c r="A139" s="1"/>
      <c r="B139" s="1"/>
      <c r="C139" s="1"/>
      <c r="D139" s="1"/>
      <c r="E139" s="1"/>
      <c r="F139" s="1"/>
      <c r="G139" s="1"/>
      <c r="H139" s="1"/>
      <c r="I139" s="1"/>
      <c r="J139" s="1"/>
      <c r="K139" s="1"/>
      <c r="L139" s="1"/>
      <c r="M139" s="1"/>
      <c r="N139" s="1"/>
    </row>
    <row r="140" spans="1:14" ht="12.75" customHeight="1" x14ac:dyDescent="0.15">
      <c r="A140" s="1"/>
      <c r="B140" s="1"/>
      <c r="C140" s="1"/>
      <c r="D140" s="1"/>
      <c r="E140" s="1"/>
      <c r="F140" s="1"/>
      <c r="G140" s="1"/>
      <c r="H140" s="1"/>
      <c r="I140" s="1"/>
      <c r="J140" s="1"/>
      <c r="K140" s="1"/>
      <c r="L140" s="1"/>
      <c r="M140" s="1"/>
      <c r="N140" s="1"/>
    </row>
    <row r="141" spans="1:14" ht="12.75" customHeight="1" x14ac:dyDescent="0.15">
      <c r="A141" s="1"/>
      <c r="B141" s="1"/>
      <c r="C141" s="1"/>
      <c r="D141" s="1"/>
      <c r="E141" s="1"/>
      <c r="F141" s="1"/>
      <c r="G141" s="1"/>
      <c r="H141" s="1"/>
      <c r="I141" s="1"/>
      <c r="J141" s="1"/>
      <c r="K141" s="1"/>
      <c r="L141" s="1"/>
      <c r="M141" s="1"/>
      <c r="N141" s="1"/>
    </row>
    <row r="142" spans="1:14" ht="12.75" customHeight="1" x14ac:dyDescent="0.15">
      <c r="A142" s="1"/>
      <c r="B142" s="1"/>
      <c r="C142" s="1"/>
      <c r="D142" s="1"/>
      <c r="E142" s="1"/>
      <c r="F142" s="1"/>
      <c r="G142" s="1"/>
      <c r="H142" s="1"/>
      <c r="I142" s="1"/>
      <c r="J142" s="1"/>
      <c r="K142" s="1"/>
      <c r="L142" s="1"/>
      <c r="M142" s="1"/>
      <c r="N142" s="1"/>
    </row>
    <row r="143" spans="1:14" ht="12.75" customHeight="1" x14ac:dyDescent="0.15">
      <c r="A143" s="1"/>
      <c r="B143" s="1"/>
      <c r="C143" s="1"/>
      <c r="D143" s="1"/>
      <c r="E143" s="1"/>
      <c r="F143" s="1"/>
      <c r="G143" s="1"/>
      <c r="H143" s="1"/>
      <c r="I143" s="1"/>
      <c r="J143" s="1"/>
      <c r="K143" s="1"/>
      <c r="L143" s="1"/>
      <c r="M143" s="1"/>
      <c r="N143" s="1"/>
    </row>
    <row r="144" spans="1:14" ht="12.75" customHeight="1" x14ac:dyDescent="0.15">
      <c r="A144" s="1"/>
      <c r="B144" s="1"/>
      <c r="C144" s="1"/>
      <c r="D144" s="1"/>
      <c r="E144" s="1"/>
      <c r="F144" s="1"/>
      <c r="G144" s="1"/>
      <c r="H144" s="1"/>
      <c r="I144" s="1"/>
      <c r="J144" s="1"/>
      <c r="K144" s="1"/>
      <c r="L144" s="1"/>
      <c r="M144" s="1"/>
      <c r="N144" s="1"/>
    </row>
  </sheetData>
  <customSheetViews>
    <customSheetView guid="{9846C184-355C-EA4B-8C35-9561D1AEE31C}" hiddenColumns="1">
      <selection activeCell="J19" sqref="I15:J19"/>
      <pageMargins left="0.75" right="0.75" top="1" bottom="1" header="0.5" footer="0.5"/>
      <pageSetup paperSize="9" scale="10" firstPageNumber="0" fitToWidth="0" fitToHeight="0" orientation="portrait" horizontalDpi="300" verticalDpi="300" r:id="rId1"/>
      <headerFooter alignWithMargins="0"/>
    </customSheetView>
  </customSheetViews>
  <mergeCells count="32">
    <mergeCell ref="A70:J70"/>
    <mergeCell ref="L70:R70"/>
    <mergeCell ref="T70:Z70"/>
    <mergeCell ref="A1:J1"/>
    <mergeCell ref="A9:B9"/>
    <mergeCell ref="A7:B7"/>
    <mergeCell ref="C7:F7"/>
    <mergeCell ref="A8:B8"/>
    <mergeCell ref="C8:F8"/>
    <mergeCell ref="A5:B5"/>
    <mergeCell ref="C5:F5"/>
    <mergeCell ref="A6:B6"/>
    <mergeCell ref="C6:F6"/>
    <mergeCell ref="A3:K3"/>
    <mergeCell ref="C9:I9"/>
    <mergeCell ref="T11:Z11"/>
    <mergeCell ref="T51:Z51"/>
    <mergeCell ref="D52:F52"/>
    <mergeCell ref="L11:R11"/>
    <mergeCell ref="A11:J11"/>
    <mergeCell ref="A51:J51"/>
    <mergeCell ref="L51:R51"/>
    <mergeCell ref="D12:F12"/>
    <mergeCell ref="A31:J31"/>
    <mergeCell ref="L31:R31"/>
    <mergeCell ref="T31:Z31"/>
    <mergeCell ref="D32:F32"/>
    <mergeCell ref="D71:F71"/>
    <mergeCell ref="A91:J91"/>
    <mergeCell ref="L91:R91"/>
    <mergeCell ref="T91:Z91"/>
    <mergeCell ref="D92:F92"/>
  </mergeCells>
  <phoneticPr fontId="0" type="noConversion"/>
  <conditionalFormatting sqref="D14:F16">
    <cfRule type="dataBar" priority="246">
      <dataBar>
        <cfvo type="num" val="0"/>
        <cfvo type="num" val="1"/>
        <color rgb="FF3290C4"/>
      </dataBar>
      <extLst>
        <ext xmlns:x14="http://schemas.microsoft.com/office/spreadsheetml/2009/9/main" uri="{B025F937-C7B1-47D3-B67F-A62EFF666E3E}">
          <x14:id>{79CE7F1A-C8E1-41C8-A0A4-F72252D5AA2B}</x14:id>
        </ext>
      </extLst>
    </cfRule>
  </conditionalFormatting>
  <conditionalFormatting sqref="J14">
    <cfRule type="dataBar" priority="173">
      <dataBar>
        <cfvo type="num" val="0"/>
        <cfvo type="num" val="3"/>
        <color rgb="FF3290C4"/>
      </dataBar>
      <extLst>
        <ext xmlns:x14="http://schemas.microsoft.com/office/spreadsheetml/2009/9/main" uri="{B025F937-C7B1-47D3-B67F-A62EFF666E3E}">
          <x14:id>{CE1A1EA3-9DDD-9A41-A8BF-B6CBFDEDF38D}</x14:id>
        </ext>
      </extLst>
    </cfRule>
  </conditionalFormatting>
  <conditionalFormatting sqref="J15">
    <cfRule type="dataBar" priority="172">
      <dataBar>
        <cfvo type="num" val="0"/>
        <cfvo type="num" val="3"/>
        <color rgb="FFB75727"/>
      </dataBar>
      <extLst>
        <ext xmlns:x14="http://schemas.microsoft.com/office/spreadsheetml/2009/9/main" uri="{B025F937-C7B1-47D3-B67F-A62EFF666E3E}">
          <x14:id>{6A17C54A-5208-1544-967C-21EA558BB5A2}</x14:id>
        </ext>
      </extLst>
    </cfRule>
  </conditionalFormatting>
  <conditionalFormatting sqref="J17">
    <cfRule type="dataBar" priority="171">
      <dataBar>
        <cfvo type="num" val="0"/>
        <cfvo type="num" val="3"/>
        <color rgb="FF37793E"/>
      </dataBar>
      <extLst>
        <ext xmlns:x14="http://schemas.microsoft.com/office/spreadsheetml/2009/9/main" uri="{B025F937-C7B1-47D3-B67F-A62EFF666E3E}">
          <x14:id>{C8FF7E97-48C1-ED40-96CA-0E0620DAF410}</x14:id>
        </ext>
      </extLst>
    </cfRule>
  </conditionalFormatting>
  <conditionalFormatting sqref="J18">
    <cfRule type="dataBar" priority="170">
      <dataBar>
        <cfvo type="num" val="0"/>
        <cfvo type="num" val="3"/>
        <color rgb="FF791F17"/>
      </dataBar>
      <extLst>
        <ext xmlns:x14="http://schemas.microsoft.com/office/spreadsheetml/2009/9/main" uri="{B025F937-C7B1-47D3-B67F-A62EFF666E3E}">
          <x14:id>{C16D4B20-5426-CD42-9383-E916F6FBDC0F}</x14:id>
        </ext>
      </extLst>
    </cfRule>
  </conditionalFormatting>
  <conditionalFormatting sqref="J16">
    <cfRule type="dataBar" priority="114">
      <dataBar>
        <cfvo type="num" val="0"/>
        <cfvo type="num" val="3"/>
        <color rgb="FFFFC221"/>
      </dataBar>
      <extLst>
        <ext xmlns:x14="http://schemas.microsoft.com/office/spreadsheetml/2009/9/main" uri="{B025F937-C7B1-47D3-B67F-A62EFF666E3E}">
          <x14:id>{8BA98B9F-7B08-0045-8A48-8340549E9F13}</x14:id>
        </ext>
      </extLst>
    </cfRule>
  </conditionalFormatting>
  <conditionalFormatting sqref="D17:F19">
    <cfRule type="dataBar" priority="113">
      <dataBar>
        <cfvo type="num" val="0"/>
        <cfvo type="num" val="1"/>
        <color rgb="FFB75727"/>
      </dataBar>
      <extLst>
        <ext xmlns:x14="http://schemas.microsoft.com/office/spreadsheetml/2009/9/main" uri="{B025F937-C7B1-47D3-B67F-A62EFF666E3E}">
          <x14:id>{1AAFDDBA-9BD7-7E4C-BE6F-262D8363CE14}</x14:id>
        </ext>
      </extLst>
    </cfRule>
  </conditionalFormatting>
  <conditionalFormatting sqref="D20:F22">
    <cfRule type="dataBar" priority="112">
      <dataBar>
        <cfvo type="num" val="0"/>
        <cfvo type="num" val="1"/>
        <color rgb="FFFFC221"/>
      </dataBar>
      <extLst>
        <ext xmlns:x14="http://schemas.microsoft.com/office/spreadsheetml/2009/9/main" uri="{B025F937-C7B1-47D3-B67F-A62EFF666E3E}">
          <x14:id>{F73F64BE-95C9-A747-A99A-DC3894C9FC06}</x14:id>
        </ext>
      </extLst>
    </cfRule>
  </conditionalFormatting>
  <conditionalFormatting sqref="D23:F25">
    <cfRule type="dataBar" priority="111">
      <dataBar>
        <cfvo type="num" val="0"/>
        <cfvo type="num" val="1"/>
        <color rgb="FF37793E"/>
      </dataBar>
      <extLst>
        <ext xmlns:x14="http://schemas.microsoft.com/office/spreadsheetml/2009/9/main" uri="{B025F937-C7B1-47D3-B67F-A62EFF666E3E}">
          <x14:id>{0B7C6959-93C1-BA41-97E7-0719C08BC71E}</x14:id>
        </ext>
      </extLst>
    </cfRule>
  </conditionalFormatting>
  <conditionalFormatting sqref="D26:F28">
    <cfRule type="dataBar" priority="110">
      <dataBar>
        <cfvo type="num" val="0"/>
        <cfvo type="num" val="1"/>
        <color rgb="FF791F17"/>
      </dataBar>
      <extLst>
        <ext xmlns:x14="http://schemas.microsoft.com/office/spreadsheetml/2009/9/main" uri="{B025F937-C7B1-47D3-B67F-A62EFF666E3E}">
          <x14:id>{7E04D6E8-5FE9-2442-A8A1-B7598DD51B03}</x14:id>
        </ext>
      </extLst>
    </cfRule>
  </conditionalFormatting>
  <conditionalFormatting sqref="D34:F35">
    <cfRule type="dataBar" priority="109">
      <dataBar>
        <cfvo type="num" val="0"/>
        <cfvo type="num" val="1"/>
        <color rgb="FF3290C4"/>
      </dataBar>
      <extLst>
        <ext xmlns:x14="http://schemas.microsoft.com/office/spreadsheetml/2009/9/main" uri="{B025F937-C7B1-47D3-B67F-A62EFF666E3E}">
          <x14:id>{9284054C-B96D-734E-B836-A04429639158}</x14:id>
        </ext>
      </extLst>
    </cfRule>
  </conditionalFormatting>
  <conditionalFormatting sqref="D36:F36">
    <cfRule type="dataBar" priority="106">
      <dataBar>
        <cfvo type="num" val="0"/>
        <cfvo type="num" val="1"/>
        <color rgb="FF3290C4"/>
      </dataBar>
      <extLst>
        <ext xmlns:x14="http://schemas.microsoft.com/office/spreadsheetml/2009/9/main" uri="{B025F937-C7B1-47D3-B67F-A62EFF666E3E}">
          <x14:id>{B2C0F71A-5D19-384E-BB6D-E125D32E1B8C}</x14:id>
        </ext>
      </extLst>
    </cfRule>
  </conditionalFormatting>
  <conditionalFormatting sqref="J34">
    <cfRule type="dataBar" priority="105">
      <dataBar>
        <cfvo type="num" val="0"/>
        <cfvo type="num" val="3"/>
        <color rgb="FF3290C4"/>
      </dataBar>
      <extLst>
        <ext xmlns:x14="http://schemas.microsoft.com/office/spreadsheetml/2009/9/main" uri="{B025F937-C7B1-47D3-B67F-A62EFF666E3E}">
          <x14:id>{FD0B1922-2603-D34C-BD93-E5C332866DE6}</x14:id>
        </ext>
      </extLst>
    </cfRule>
  </conditionalFormatting>
  <conditionalFormatting sqref="J35">
    <cfRule type="dataBar" priority="104">
      <dataBar>
        <cfvo type="num" val="0"/>
        <cfvo type="num" val="3"/>
        <color rgb="FFB75727"/>
      </dataBar>
      <extLst>
        <ext xmlns:x14="http://schemas.microsoft.com/office/spreadsheetml/2009/9/main" uri="{B025F937-C7B1-47D3-B67F-A62EFF666E3E}">
          <x14:id>{2ECD7768-D8AC-4342-ADB4-FE48AFE0A842}</x14:id>
        </ext>
      </extLst>
    </cfRule>
  </conditionalFormatting>
  <conditionalFormatting sqref="J37">
    <cfRule type="dataBar" priority="103">
      <dataBar>
        <cfvo type="num" val="0"/>
        <cfvo type="num" val="3"/>
        <color rgb="FF37793E"/>
      </dataBar>
      <extLst>
        <ext xmlns:x14="http://schemas.microsoft.com/office/spreadsheetml/2009/9/main" uri="{B025F937-C7B1-47D3-B67F-A62EFF666E3E}">
          <x14:id>{7C90C993-82E5-C545-B58B-5B68FD19D25B}</x14:id>
        </ext>
      </extLst>
    </cfRule>
  </conditionalFormatting>
  <conditionalFormatting sqref="J38">
    <cfRule type="dataBar" priority="102">
      <dataBar>
        <cfvo type="num" val="0"/>
        <cfvo type="num" val="3"/>
        <color rgb="FF791F17"/>
      </dataBar>
      <extLst>
        <ext xmlns:x14="http://schemas.microsoft.com/office/spreadsheetml/2009/9/main" uri="{B025F937-C7B1-47D3-B67F-A62EFF666E3E}">
          <x14:id>{7892B420-8350-8446-AC23-3550B0BF1BB1}</x14:id>
        </ext>
      </extLst>
    </cfRule>
  </conditionalFormatting>
  <conditionalFormatting sqref="J36">
    <cfRule type="dataBar" priority="101">
      <dataBar>
        <cfvo type="num" val="0"/>
        <cfvo type="num" val="3"/>
        <color rgb="FFBDBF17"/>
      </dataBar>
      <extLst>
        <ext xmlns:x14="http://schemas.microsoft.com/office/spreadsheetml/2009/9/main" uri="{B025F937-C7B1-47D3-B67F-A62EFF666E3E}">
          <x14:id>{9A7A3D6D-709F-AD46-B1DC-AD3D5D658E4B}</x14:id>
        </ext>
      </extLst>
    </cfRule>
  </conditionalFormatting>
  <conditionalFormatting sqref="D37:F39">
    <cfRule type="dataBar" priority="83">
      <dataBar>
        <cfvo type="num" val="0"/>
        <cfvo type="num" val="1"/>
        <color rgb="FFB75727"/>
      </dataBar>
      <extLst>
        <ext xmlns:x14="http://schemas.microsoft.com/office/spreadsheetml/2009/9/main" uri="{B025F937-C7B1-47D3-B67F-A62EFF666E3E}">
          <x14:id>{AAC4A2C6-0211-E641-808F-D2A1F1FE71AF}</x14:id>
        </ext>
      </extLst>
    </cfRule>
  </conditionalFormatting>
  <conditionalFormatting sqref="D46:F48">
    <cfRule type="dataBar" priority="86">
      <dataBar>
        <cfvo type="num" val="0"/>
        <cfvo type="num" val="1"/>
        <color rgb="FF791F17"/>
      </dataBar>
      <extLst>
        <ext xmlns:x14="http://schemas.microsoft.com/office/spreadsheetml/2009/9/main" uri="{B025F937-C7B1-47D3-B67F-A62EFF666E3E}">
          <x14:id>{E5778153-4227-784B-B990-774EB3B347E1}</x14:id>
        </ext>
      </extLst>
    </cfRule>
  </conditionalFormatting>
  <conditionalFormatting sqref="D43:F45">
    <cfRule type="dataBar" priority="85">
      <dataBar>
        <cfvo type="num" val="0"/>
        <cfvo type="num" val="1"/>
        <color rgb="FF37793E"/>
      </dataBar>
      <extLst>
        <ext xmlns:x14="http://schemas.microsoft.com/office/spreadsheetml/2009/9/main" uri="{B025F937-C7B1-47D3-B67F-A62EFF666E3E}">
          <x14:id>{E69ED88F-9AAA-4A46-ADBD-6262268CC951}</x14:id>
        </ext>
      </extLst>
    </cfRule>
  </conditionalFormatting>
  <conditionalFormatting sqref="D40:F42">
    <cfRule type="dataBar" priority="84">
      <dataBar>
        <cfvo type="num" val="0"/>
        <cfvo type="num" val="1"/>
        <color rgb="FFBDBF17"/>
      </dataBar>
      <extLst>
        <ext xmlns:x14="http://schemas.microsoft.com/office/spreadsheetml/2009/9/main" uri="{B025F937-C7B1-47D3-B67F-A62EFF666E3E}">
          <x14:id>{086D738C-C711-1847-A362-F3CC237D9B16}</x14:id>
        </ext>
      </extLst>
    </cfRule>
  </conditionalFormatting>
  <conditionalFormatting sqref="D73:F74">
    <cfRule type="dataBar" priority="76">
      <dataBar>
        <cfvo type="num" val="0"/>
        <cfvo type="num" val="1"/>
        <color rgb="FF3290C4"/>
      </dataBar>
      <extLst>
        <ext xmlns:x14="http://schemas.microsoft.com/office/spreadsheetml/2009/9/main" uri="{B025F937-C7B1-47D3-B67F-A62EFF666E3E}">
          <x14:id>{5B299429-7CE6-8947-800E-BFFA8A16553A}</x14:id>
        </ext>
      </extLst>
    </cfRule>
  </conditionalFormatting>
  <conditionalFormatting sqref="D94:F95">
    <cfRule type="dataBar" priority="70">
      <dataBar>
        <cfvo type="num" val="0"/>
        <cfvo type="num" val="1"/>
        <color rgb="FF3290C4"/>
      </dataBar>
      <extLst>
        <ext xmlns:x14="http://schemas.microsoft.com/office/spreadsheetml/2009/9/main" uri="{B025F937-C7B1-47D3-B67F-A62EFF666E3E}">
          <x14:id>{0070DD35-ACDC-5D4F-BC4F-FBC7D55FD25D}</x14:id>
        </ext>
      </extLst>
    </cfRule>
  </conditionalFormatting>
  <conditionalFormatting sqref="J54">
    <cfRule type="dataBar" priority="64">
      <dataBar>
        <cfvo type="num" val="0"/>
        <cfvo type="num" val="3"/>
        <color rgb="FF3290C4"/>
      </dataBar>
      <extLst>
        <ext xmlns:x14="http://schemas.microsoft.com/office/spreadsheetml/2009/9/main" uri="{B025F937-C7B1-47D3-B67F-A62EFF666E3E}">
          <x14:id>{89045399-ADE9-A942-B276-AF1861C4C28E}</x14:id>
        </ext>
      </extLst>
    </cfRule>
  </conditionalFormatting>
  <conditionalFormatting sqref="J55">
    <cfRule type="dataBar" priority="63">
      <dataBar>
        <cfvo type="num" val="0"/>
        <cfvo type="num" val="3"/>
        <color rgb="FFB75727"/>
      </dataBar>
      <extLst>
        <ext xmlns:x14="http://schemas.microsoft.com/office/spreadsheetml/2009/9/main" uri="{B025F937-C7B1-47D3-B67F-A62EFF666E3E}">
          <x14:id>{0190F321-B1B4-0F41-BAB5-6181D21F94A1}</x14:id>
        </ext>
      </extLst>
    </cfRule>
  </conditionalFormatting>
  <conditionalFormatting sqref="J57">
    <cfRule type="dataBar" priority="62">
      <dataBar>
        <cfvo type="num" val="0"/>
        <cfvo type="num" val="3"/>
        <color rgb="FF37793E"/>
      </dataBar>
      <extLst>
        <ext xmlns:x14="http://schemas.microsoft.com/office/spreadsheetml/2009/9/main" uri="{B025F937-C7B1-47D3-B67F-A62EFF666E3E}">
          <x14:id>{04BE1661-D85A-D646-A55D-558497E9681D}</x14:id>
        </ext>
      </extLst>
    </cfRule>
  </conditionalFormatting>
  <conditionalFormatting sqref="J58">
    <cfRule type="dataBar" priority="61">
      <dataBar>
        <cfvo type="num" val="0"/>
        <cfvo type="num" val="3"/>
        <color rgb="FF791F17"/>
      </dataBar>
      <extLst>
        <ext xmlns:x14="http://schemas.microsoft.com/office/spreadsheetml/2009/9/main" uri="{B025F937-C7B1-47D3-B67F-A62EFF666E3E}">
          <x14:id>{7F1B8C0C-543C-F446-9A44-3AABC7389FFA}</x14:id>
        </ext>
      </extLst>
    </cfRule>
  </conditionalFormatting>
  <conditionalFormatting sqref="J56">
    <cfRule type="dataBar" priority="60">
      <dataBar>
        <cfvo type="num" val="0"/>
        <cfvo type="num" val="3"/>
        <color rgb="FFBDBF17"/>
      </dataBar>
      <extLst>
        <ext xmlns:x14="http://schemas.microsoft.com/office/spreadsheetml/2009/9/main" uri="{B025F937-C7B1-47D3-B67F-A62EFF666E3E}">
          <x14:id>{AA86F1CB-E203-3740-B170-888B12C27C96}</x14:id>
        </ext>
      </extLst>
    </cfRule>
  </conditionalFormatting>
  <conditionalFormatting sqref="J73">
    <cfRule type="dataBar" priority="59">
      <dataBar>
        <cfvo type="num" val="0"/>
        <cfvo type="num" val="3"/>
        <color rgb="FF3290C4"/>
      </dataBar>
      <extLst>
        <ext xmlns:x14="http://schemas.microsoft.com/office/spreadsheetml/2009/9/main" uri="{B025F937-C7B1-47D3-B67F-A62EFF666E3E}">
          <x14:id>{706B6C92-9FBC-0B43-81D4-275F8274E674}</x14:id>
        </ext>
      </extLst>
    </cfRule>
  </conditionalFormatting>
  <conditionalFormatting sqref="J74">
    <cfRule type="dataBar" priority="58">
      <dataBar>
        <cfvo type="num" val="0"/>
        <cfvo type="num" val="3"/>
        <color rgb="FFB75727"/>
      </dataBar>
      <extLst>
        <ext xmlns:x14="http://schemas.microsoft.com/office/spreadsheetml/2009/9/main" uri="{B025F937-C7B1-47D3-B67F-A62EFF666E3E}">
          <x14:id>{2BBBAEFD-2474-3C4C-9EBE-BF619BC72DD0}</x14:id>
        </ext>
      </extLst>
    </cfRule>
  </conditionalFormatting>
  <conditionalFormatting sqref="J76">
    <cfRule type="dataBar" priority="57">
      <dataBar>
        <cfvo type="num" val="0"/>
        <cfvo type="num" val="3"/>
        <color rgb="FF37793E"/>
      </dataBar>
      <extLst>
        <ext xmlns:x14="http://schemas.microsoft.com/office/spreadsheetml/2009/9/main" uri="{B025F937-C7B1-47D3-B67F-A62EFF666E3E}">
          <x14:id>{3CA6D3E4-9560-7A40-AA76-25126B323DEE}</x14:id>
        </ext>
      </extLst>
    </cfRule>
  </conditionalFormatting>
  <conditionalFormatting sqref="J77">
    <cfRule type="dataBar" priority="56">
      <dataBar>
        <cfvo type="num" val="0"/>
        <cfvo type="num" val="3"/>
        <color rgb="FF791F17"/>
      </dataBar>
      <extLst>
        <ext xmlns:x14="http://schemas.microsoft.com/office/spreadsheetml/2009/9/main" uri="{B025F937-C7B1-47D3-B67F-A62EFF666E3E}">
          <x14:id>{C5E89D6C-F5E9-F146-A2CF-80A229BE538E}</x14:id>
        </ext>
      </extLst>
    </cfRule>
  </conditionalFormatting>
  <conditionalFormatting sqref="J75">
    <cfRule type="dataBar" priority="55">
      <dataBar>
        <cfvo type="num" val="0"/>
        <cfvo type="num" val="3"/>
        <color rgb="FFBDBF17"/>
      </dataBar>
      <extLst>
        <ext xmlns:x14="http://schemas.microsoft.com/office/spreadsheetml/2009/9/main" uri="{B025F937-C7B1-47D3-B67F-A62EFF666E3E}">
          <x14:id>{3D8E2C15-A37F-4E48-9684-3261922A8FBB}</x14:id>
        </ext>
      </extLst>
    </cfRule>
  </conditionalFormatting>
  <conditionalFormatting sqref="J94">
    <cfRule type="dataBar" priority="54">
      <dataBar>
        <cfvo type="num" val="0"/>
        <cfvo type="num" val="3"/>
        <color rgb="FF3290C4"/>
      </dataBar>
      <extLst>
        <ext xmlns:x14="http://schemas.microsoft.com/office/spreadsheetml/2009/9/main" uri="{B025F937-C7B1-47D3-B67F-A62EFF666E3E}">
          <x14:id>{D3324781-D0D6-C643-8583-2A2D31EC03C9}</x14:id>
        </ext>
      </extLst>
    </cfRule>
  </conditionalFormatting>
  <conditionalFormatting sqref="J95">
    <cfRule type="dataBar" priority="53">
      <dataBar>
        <cfvo type="num" val="0"/>
        <cfvo type="num" val="3"/>
        <color rgb="FFB75727"/>
      </dataBar>
      <extLst>
        <ext xmlns:x14="http://schemas.microsoft.com/office/spreadsheetml/2009/9/main" uri="{B025F937-C7B1-47D3-B67F-A62EFF666E3E}">
          <x14:id>{DB105B0A-E675-A348-97D5-1470930F7894}</x14:id>
        </ext>
      </extLst>
    </cfRule>
  </conditionalFormatting>
  <conditionalFormatting sqref="J97">
    <cfRule type="dataBar" priority="52">
      <dataBar>
        <cfvo type="num" val="0"/>
        <cfvo type="num" val="3"/>
        <color rgb="FF37793E"/>
      </dataBar>
      <extLst>
        <ext xmlns:x14="http://schemas.microsoft.com/office/spreadsheetml/2009/9/main" uri="{B025F937-C7B1-47D3-B67F-A62EFF666E3E}">
          <x14:id>{62DBBDAC-2DC0-8947-9DD2-AE85FF169D42}</x14:id>
        </ext>
      </extLst>
    </cfRule>
  </conditionalFormatting>
  <conditionalFormatting sqref="J98">
    <cfRule type="dataBar" priority="51">
      <dataBar>
        <cfvo type="num" val="0"/>
        <cfvo type="num" val="3"/>
        <color rgb="FF791F17"/>
      </dataBar>
      <extLst>
        <ext xmlns:x14="http://schemas.microsoft.com/office/spreadsheetml/2009/9/main" uri="{B025F937-C7B1-47D3-B67F-A62EFF666E3E}">
          <x14:id>{27AE3CB4-BDFB-A046-A823-5C2020278603}</x14:id>
        </ext>
      </extLst>
    </cfRule>
  </conditionalFormatting>
  <conditionalFormatting sqref="J96">
    <cfRule type="dataBar" priority="50">
      <dataBar>
        <cfvo type="num" val="0"/>
        <cfvo type="num" val="3"/>
        <color rgb="FFBDBF17"/>
      </dataBar>
      <extLst>
        <ext xmlns:x14="http://schemas.microsoft.com/office/spreadsheetml/2009/9/main" uri="{B025F937-C7B1-47D3-B67F-A62EFF666E3E}">
          <x14:id>{6C1DB384-CD97-2C4C-AD95-6A06C6D61994}</x14:id>
        </ext>
      </extLst>
    </cfRule>
  </conditionalFormatting>
  <conditionalFormatting sqref="D54:F55">
    <cfRule type="dataBar" priority="49">
      <dataBar>
        <cfvo type="num" val="0"/>
        <cfvo type="num" val="1"/>
        <color rgb="FF3290C4"/>
      </dataBar>
      <extLst>
        <ext xmlns:x14="http://schemas.microsoft.com/office/spreadsheetml/2009/9/main" uri="{B025F937-C7B1-47D3-B67F-A62EFF666E3E}">
          <x14:id>{A52097B3-778B-3E49-8456-8B3F58DE6432}</x14:id>
        </ext>
      </extLst>
    </cfRule>
  </conditionalFormatting>
  <conditionalFormatting sqref="D57:F59">
    <cfRule type="dataBar" priority="44">
      <dataBar>
        <cfvo type="num" val="0"/>
        <cfvo type="num" val="1"/>
        <color rgb="FFB75727"/>
      </dataBar>
      <extLst>
        <ext xmlns:x14="http://schemas.microsoft.com/office/spreadsheetml/2009/9/main" uri="{B025F937-C7B1-47D3-B67F-A62EFF666E3E}">
          <x14:id>{0258849F-BB00-E840-A754-D8965F6EFC5A}</x14:id>
        </ext>
      </extLst>
    </cfRule>
  </conditionalFormatting>
  <conditionalFormatting sqref="D60:F62">
    <cfRule type="dataBar" priority="45">
      <dataBar>
        <cfvo type="num" val="0"/>
        <cfvo type="num" val="1"/>
        <color rgb="FFBDBF17"/>
      </dataBar>
      <extLst>
        <ext xmlns:x14="http://schemas.microsoft.com/office/spreadsheetml/2009/9/main" uri="{B025F937-C7B1-47D3-B67F-A62EFF666E3E}">
          <x14:id>{FBFF620F-3054-8743-B2B2-922FD3EB3146}</x14:id>
        </ext>
      </extLst>
    </cfRule>
  </conditionalFormatting>
  <conditionalFormatting sqref="D56:F56">
    <cfRule type="dataBar" priority="43">
      <dataBar>
        <cfvo type="num" val="0"/>
        <cfvo type="num" val="1"/>
        <color rgb="FF3290C4"/>
      </dataBar>
      <extLst>
        <ext xmlns:x14="http://schemas.microsoft.com/office/spreadsheetml/2009/9/main" uri="{B025F937-C7B1-47D3-B67F-A62EFF666E3E}">
          <x14:id>{0FEAB4A9-3B80-A54C-9926-D36822351D67}</x14:id>
        </ext>
      </extLst>
    </cfRule>
  </conditionalFormatting>
  <conditionalFormatting sqref="D75:F75">
    <cfRule type="dataBar" priority="42">
      <dataBar>
        <cfvo type="num" val="0"/>
        <cfvo type="num" val="1"/>
        <color rgb="FF3290C4"/>
      </dataBar>
      <extLst>
        <ext xmlns:x14="http://schemas.microsoft.com/office/spreadsheetml/2009/9/main" uri="{B025F937-C7B1-47D3-B67F-A62EFF666E3E}">
          <x14:id>{04641AF3-20CD-9F4E-BE20-3F1D4E5DD152}</x14:id>
        </ext>
      </extLst>
    </cfRule>
  </conditionalFormatting>
  <conditionalFormatting sqref="D76:F76">
    <cfRule type="dataBar" priority="40">
      <dataBar>
        <cfvo type="num" val="0"/>
        <cfvo type="num" val="1"/>
        <color rgb="FFB75727"/>
      </dataBar>
      <extLst>
        <ext xmlns:x14="http://schemas.microsoft.com/office/spreadsheetml/2009/9/main" uri="{B025F937-C7B1-47D3-B67F-A62EFF666E3E}">
          <x14:id>{2EB04995-98B4-9E41-98DF-0410F226A877}</x14:id>
        </ext>
      </extLst>
    </cfRule>
  </conditionalFormatting>
  <conditionalFormatting sqref="D77:F77">
    <cfRule type="dataBar" priority="39">
      <dataBar>
        <cfvo type="num" val="0"/>
        <cfvo type="num" val="1"/>
        <color rgb="FFB75727"/>
      </dataBar>
      <extLst>
        <ext xmlns:x14="http://schemas.microsoft.com/office/spreadsheetml/2009/9/main" uri="{B025F937-C7B1-47D3-B67F-A62EFF666E3E}">
          <x14:id>{A225102F-FA19-6D4E-B6DD-045F47D2B130}</x14:id>
        </ext>
      </extLst>
    </cfRule>
  </conditionalFormatting>
  <conditionalFormatting sqref="D78:F78">
    <cfRule type="dataBar" priority="38">
      <dataBar>
        <cfvo type="num" val="0"/>
        <cfvo type="num" val="1"/>
        <color rgb="FFB75727"/>
      </dataBar>
      <extLst>
        <ext xmlns:x14="http://schemas.microsoft.com/office/spreadsheetml/2009/9/main" uri="{B025F937-C7B1-47D3-B67F-A62EFF666E3E}">
          <x14:id>{C42E40E0-BDA2-A943-BC3C-1DDEA0283AE8}</x14:id>
        </ext>
      </extLst>
    </cfRule>
  </conditionalFormatting>
  <conditionalFormatting sqref="D79:F79">
    <cfRule type="dataBar" priority="36">
      <dataBar>
        <cfvo type="num" val="0"/>
        <cfvo type="num" val="1"/>
        <color rgb="FFBDBF17"/>
      </dataBar>
      <extLst>
        <ext xmlns:x14="http://schemas.microsoft.com/office/spreadsheetml/2009/9/main" uri="{B025F937-C7B1-47D3-B67F-A62EFF666E3E}">
          <x14:id>{177CFC9E-B11F-E34E-9ABC-B8903C73BC94}</x14:id>
        </ext>
      </extLst>
    </cfRule>
  </conditionalFormatting>
  <conditionalFormatting sqref="D80:F80">
    <cfRule type="dataBar" priority="35">
      <dataBar>
        <cfvo type="num" val="0"/>
        <cfvo type="num" val="1"/>
        <color rgb="FFBDBF17"/>
      </dataBar>
      <extLst>
        <ext xmlns:x14="http://schemas.microsoft.com/office/spreadsheetml/2009/9/main" uri="{B025F937-C7B1-47D3-B67F-A62EFF666E3E}">
          <x14:id>{735371FA-677F-B842-AC67-765DFD3CC95C}</x14:id>
        </ext>
      </extLst>
    </cfRule>
  </conditionalFormatting>
  <conditionalFormatting sqref="D81:F81">
    <cfRule type="dataBar" priority="34">
      <dataBar>
        <cfvo type="num" val="0"/>
        <cfvo type="num" val="1"/>
        <color rgb="FFBDBF17"/>
      </dataBar>
      <extLst>
        <ext xmlns:x14="http://schemas.microsoft.com/office/spreadsheetml/2009/9/main" uri="{B025F937-C7B1-47D3-B67F-A62EFF666E3E}">
          <x14:id>{BC29E5C6-A1C1-2E4C-B56F-527EADCBECEB}</x14:id>
        </ext>
      </extLst>
    </cfRule>
  </conditionalFormatting>
  <conditionalFormatting sqref="D82:F82">
    <cfRule type="dataBar" priority="32">
      <dataBar>
        <cfvo type="num" val="0"/>
        <cfvo type="num" val="1"/>
        <color rgb="FF37793E"/>
      </dataBar>
      <extLst>
        <ext xmlns:x14="http://schemas.microsoft.com/office/spreadsheetml/2009/9/main" uri="{B025F937-C7B1-47D3-B67F-A62EFF666E3E}">
          <x14:id>{8805C11D-B443-5C4C-B574-14E178AD6AEB}</x14:id>
        </ext>
      </extLst>
    </cfRule>
  </conditionalFormatting>
  <conditionalFormatting sqref="D83:F83">
    <cfRule type="dataBar" priority="31">
      <dataBar>
        <cfvo type="num" val="0"/>
        <cfvo type="num" val="1"/>
        <color rgb="FF37793E"/>
      </dataBar>
      <extLst>
        <ext xmlns:x14="http://schemas.microsoft.com/office/spreadsheetml/2009/9/main" uri="{B025F937-C7B1-47D3-B67F-A62EFF666E3E}">
          <x14:id>{E4000B67-4FFE-1547-BE36-D3A75F2B1F83}</x14:id>
        </ext>
      </extLst>
    </cfRule>
  </conditionalFormatting>
  <conditionalFormatting sqref="D84:F84">
    <cfRule type="dataBar" priority="30">
      <dataBar>
        <cfvo type="num" val="0"/>
        <cfvo type="num" val="1"/>
        <color rgb="FF37793E"/>
      </dataBar>
      <extLst>
        <ext xmlns:x14="http://schemas.microsoft.com/office/spreadsheetml/2009/9/main" uri="{B025F937-C7B1-47D3-B67F-A62EFF666E3E}">
          <x14:id>{C6BA9D2A-FE7C-8942-87A0-3401C00B70BA}</x14:id>
        </ext>
      </extLst>
    </cfRule>
  </conditionalFormatting>
  <conditionalFormatting sqref="D85:F85">
    <cfRule type="dataBar" priority="28">
      <dataBar>
        <cfvo type="num" val="0"/>
        <cfvo type="num" val="1"/>
        <color rgb="FF791F17"/>
      </dataBar>
      <extLst>
        <ext xmlns:x14="http://schemas.microsoft.com/office/spreadsheetml/2009/9/main" uri="{B025F937-C7B1-47D3-B67F-A62EFF666E3E}">
          <x14:id>{2162CAD1-CC48-AE48-9520-2C8477F02EEB}</x14:id>
        </ext>
      </extLst>
    </cfRule>
  </conditionalFormatting>
  <conditionalFormatting sqref="D86:F86">
    <cfRule type="dataBar" priority="27">
      <dataBar>
        <cfvo type="num" val="0"/>
        <cfvo type="num" val="1"/>
        <color rgb="FF791F17"/>
      </dataBar>
      <extLst>
        <ext xmlns:x14="http://schemas.microsoft.com/office/spreadsheetml/2009/9/main" uri="{B025F937-C7B1-47D3-B67F-A62EFF666E3E}">
          <x14:id>{25C86D2F-B3CD-DD4F-A97E-FA745F026962}</x14:id>
        </ext>
      </extLst>
    </cfRule>
  </conditionalFormatting>
  <conditionalFormatting sqref="D87:F87">
    <cfRule type="dataBar" priority="26">
      <dataBar>
        <cfvo type="num" val="0"/>
        <cfvo type="num" val="1"/>
        <color rgb="FF791F17"/>
      </dataBar>
      <extLst>
        <ext xmlns:x14="http://schemas.microsoft.com/office/spreadsheetml/2009/9/main" uri="{B025F937-C7B1-47D3-B67F-A62EFF666E3E}">
          <x14:id>{CC578245-B16F-3947-9930-D324445BCE70}</x14:id>
        </ext>
      </extLst>
    </cfRule>
  </conditionalFormatting>
  <conditionalFormatting sqref="D63:F63">
    <cfRule type="dataBar" priority="24">
      <dataBar>
        <cfvo type="num" val="0"/>
        <cfvo type="num" val="1"/>
        <color rgb="FF37793E"/>
      </dataBar>
      <extLst>
        <ext xmlns:x14="http://schemas.microsoft.com/office/spreadsheetml/2009/9/main" uri="{B025F937-C7B1-47D3-B67F-A62EFF666E3E}">
          <x14:id>{AC9DBBA4-2984-AD42-A019-4A19DF084899}</x14:id>
        </ext>
      </extLst>
    </cfRule>
  </conditionalFormatting>
  <conditionalFormatting sqref="D64:F64">
    <cfRule type="dataBar" priority="23">
      <dataBar>
        <cfvo type="num" val="0"/>
        <cfvo type="num" val="1"/>
        <color rgb="FF37793E"/>
      </dataBar>
      <extLst>
        <ext xmlns:x14="http://schemas.microsoft.com/office/spreadsheetml/2009/9/main" uri="{B025F937-C7B1-47D3-B67F-A62EFF666E3E}">
          <x14:id>{1AAE9071-A5BB-1544-834C-8BF597F77B9D}</x14:id>
        </ext>
      </extLst>
    </cfRule>
  </conditionalFormatting>
  <conditionalFormatting sqref="D65:F65">
    <cfRule type="dataBar" priority="22">
      <dataBar>
        <cfvo type="num" val="0"/>
        <cfvo type="num" val="1"/>
        <color rgb="FF37793E"/>
      </dataBar>
      <extLst>
        <ext xmlns:x14="http://schemas.microsoft.com/office/spreadsheetml/2009/9/main" uri="{B025F937-C7B1-47D3-B67F-A62EFF666E3E}">
          <x14:id>{1B67DAC1-EA50-7B48-820E-13BCD1D73D63}</x14:id>
        </ext>
      </extLst>
    </cfRule>
  </conditionalFormatting>
  <conditionalFormatting sqref="D66:F66">
    <cfRule type="dataBar" priority="20">
      <dataBar>
        <cfvo type="num" val="0"/>
        <cfvo type="num" val="1"/>
        <color rgb="FF791F17"/>
      </dataBar>
      <extLst>
        <ext xmlns:x14="http://schemas.microsoft.com/office/spreadsheetml/2009/9/main" uri="{B025F937-C7B1-47D3-B67F-A62EFF666E3E}">
          <x14:id>{60190627-4815-A143-9FAB-95DA349481CA}</x14:id>
        </ext>
      </extLst>
    </cfRule>
  </conditionalFormatting>
  <conditionalFormatting sqref="D67:F67">
    <cfRule type="dataBar" priority="19">
      <dataBar>
        <cfvo type="num" val="0"/>
        <cfvo type="num" val="1"/>
        <color rgb="FF791F17"/>
      </dataBar>
      <extLst>
        <ext xmlns:x14="http://schemas.microsoft.com/office/spreadsheetml/2009/9/main" uri="{B025F937-C7B1-47D3-B67F-A62EFF666E3E}">
          <x14:id>{06AD80DC-D768-2C47-AD32-3A754DC7E3C4}</x14:id>
        </ext>
      </extLst>
    </cfRule>
  </conditionalFormatting>
  <conditionalFormatting sqref="D68:F68">
    <cfRule type="dataBar" priority="18">
      <dataBar>
        <cfvo type="num" val="0"/>
        <cfvo type="num" val="1"/>
        <color rgb="FF791F17"/>
      </dataBar>
      <extLst>
        <ext xmlns:x14="http://schemas.microsoft.com/office/spreadsheetml/2009/9/main" uri="{B025F937-C7B1-47D3-B67F-A62EFF666E3E}">
          <x14:id>{27E2CF7A-A2D0-3645-B278-77EBDC5E93BF}</x14:id>
        </ext>
      </extLst>
    </cfRule>
  </conditionalFormatting>
  <conditionalFormatting sqref="D96:F96">
    <cfRule type="dataBar" priority="17">
      <dataBar>
        <cfvo type="num" val="0"/>
        <cfvo type="num" val="1"/>
        <color rgb="FF3290C4"/>
      </dataBar>
      <extLst>
        <ext xmlns:x14="http://schemas.microsoft.com/office/spreadsheetml/2009/9/main" uri="{B025F937-C7B1-47D3-B67F-A62EFF666E3E}">
          <x14:id>{8BF4D1CB-7A4D-5B49-96C0-6C2B4CFEB64C}</x14:id>
        </ext>
      </extLst>
    </cfRule>
  </conditionalFormatting>
  <conditionalFormatting sqref="D97:F97">
    <cfRule type="dataBar" priority="15">
      <dataBar>
        <cfvo type="num" val="0"/>
        <cfvo type="num" val="1"/>
        <color rgb="FFB75727"/>
      </dataBar>
      <extLst>
        <ext xmlns:x14="http://schemas.microsoft.com/office/spreadsheetml/2009/9/main" uri="{B025F937-C7B1-47D3-B67F-A62EFF666E3E}">
          <x14:id>{07FD69E6-C99A-3C47-94C4-9D1D46E0C352}</x14:id>
        </ext>
      </extLst>
    </cfRule>
  </conditionalFormatting>
  <conditionalFormatting sqref="D98:F98">
    <cfRule type="dataBar" priority="14">
      <dataBar>
        <cfvo type="num" val="0"/>
        <cfvo type="num" val="1"/>
        <color rgb="FFB75727"/>
      </dataBar>
      <extLst>
        <ext xmlns:x14="http://schemas.microsoft.com/office/spreadsheetml/2009/9/main" uri="{B025F937-C7B1-47D3-B67F-A62EFF666E3E}">
          <x14:id>{6BA60214-0ACA-F34D-A0B5-365768C660E7}</x14:id>
        </ext>
      </extLst>
    </cfRule>
  </conditionalFormatting>
  <conditionalFormatting sqref="D99:F99">
    <cfRule type="dataBar" priority="13">
      <dataBar>
        <cfvo type="num" val="0"/>
        <cfvo type="num" val="1"/>
        <color rgb="FFB75727"/>
      </dataBar>
      <extLst>
        <ext xmlns:x14="http://schemas.microsoft.com/office/spreadsheetml/2009/9/main" uri="{B025F937-C7B1-47D3-B67F-A62EFF666E3E}">
          <x14:id>{9E1BAB02-69E8-CA41-9884-87885F94E599}</x14:id>
        </ext>
      </extLst>
    </cfRule>
  </conditionalFormatting>
  <conditionalFormatting sqref="D100:F100">
    <cfRule type="dataBar" priority="11">
      <dataBar>
        <cfvo type="num" val="0"/>
        <cfvo type="num" val="1"/>
        <color rgb="FFBDBF17"/>
      </dataBar>
      <extLst>
        <ext xmlns:x14="http://schemas.microsoft.com/office/spreadsheetml/2009/9/main" uri="{B025F937-C7B1-47D3-B67F-A62EFF666E3E}">
          <x14:id>{1558E827-D00E-4B40-A53E-57AEFC9C89EC}</x14:id>
        </ext>
      </extLst>
    </cfRule>
  </conditionalFormatting>
  <conditionalFormatting sqref="D101:F101">
    <cfRule type="dataBar" priority="10">
      <dataBar>
        <cfvo type="num" val="0"/>
        <cfvo type="num" val="1"/>
        <color rgb="FFBDBF17"/>
      </dataBar>
      <extLst>
        <ext xmlns:x14="http://schemas.microsoft.com/office/spreadsheetml/2009/9/main" uri="{B025F937-C7B1-47D3-B67F-A62EFF666E3E}">
          <x14:id>{9E34A243-7B78-C84D-8762-D32545E64F42}</x14:id>
        </ext>
      </extLst>
    </cfRule>
  </conditionalFormatting>
  <conditionalFormatting sqref="D102:F102">
    <cfRule type="dataBar" priority="9">
      <dataBar>
        <cfvo type="num" val="0"/>
        <cfvo type="num" val="1"/>
        <color rgb="FFBDBF17"/>
      </dataBar>
      <extLst>
        <ext xmlns:x14="http://schemas.microsoft.com/office/spreadsheetml/2009/9/main" uri="{B025F937-C7B1-47D3-B67F-A62EFF666E3E}">
          <x14:id>{C35A8CE2-8004-4845-95F8-CF48A694C1E5}</x14:id>
        </ext>
      </extLst>
    </cfRule>
  </conditionalFormatting>
  <conditionalFormatting sqref="D103:F103">
    <cfRule type="dataBar" priority="7">
      <dataBar>
        <cfvo type="num" val="0"/>
        <cfvo type="num" val="1"/>
        <color rgb="FF37793E"/>
      </dataBar>
      <extLst>
        <ext xmlns:x14="http://schemas.microsoft.com/office/spreadsheetml/2009/9/main" uri="{B025F937-C7B1-47D3-B67F-A62EFF666E3E}">
          <x14:id>{E81339E0-F52B-E94D-A6D8-C78657EA2F48}</x14:id>
        </ext>
      </extLst>
    </cfRule>
  </conditionalFormatting>
  <conditionalFormatting sqref="D104:F104">
    <cfRule type="dataBar" priority="6">
      <dataBar>
        <cfvo type="num" val="0"/>
        <cfvo type="num" val="1"/>
        <color rgb="FF37793E"/>
      </dataBar>
      <extLst>
        <ext xmlns:x14="http://schemas.microsoft.com/office/spreadsheetml/2009/9/main" uri="{B025F937-C7B1-47D3-B67F-A62EFF666E3E}">
          <x14:id>{6A9B8208-06AF-7C4F-B744-EBE4D21F53A9}</x14:id>
        </ext>
      </extLst>
    </cfRule>
  </conditionalFormatting>
  <conditionalFormatting sqref="D105:F105">
    <cfRule type="dataBar" priority="5">
      <dataBar>
        <cfvo type="num" val="0"/>
        <cfvo type="num" val="1"/>
        <color rgb="FF37793E"/>
      </dataBar>
      <extLst>
        <ext xmlns:x14="http://schemas.microsoft.com/office/spreadsheetml/2009/9/main" uri="{B025F937-C7B1-47D3-B67F-A62EFF666E3E}">
          <x14:id>{65C2F711-4A45-9743-930F-D750FDDADDF6}</x14:id>
        </ext>
      </extLst>
    </cfRule>
  </conditionalFormatting>
  <conditionalFormatting sqref="D106:F106">
    <cfRule type="dataBar" priority="3">
      <dataBar>
        <cfvo type="num" val="0"/>
        <cfvo type="num" val="1"/>
        <color rgb="FF791F17"/>
      </dataBar>
      <extLst>
        <ext xmlns:x14="http://schemas.microsoft.com/office/spreadsheetml/2009/9/main" uri="{B025F937-C7B1-47D3-B67F-A62EFF666E3E}">
          <x14:id>{B0076D44-5CCB-E845-BF71-60FD77893322}</x14:id>
        </ext>
      </extLst>
    </cfRule>
  </conditionalFormatting>
  <conditionalFormatting sqref="D107:F107">
    <cfRule type="dataBar" priority="2">
      <dataBar>
        <cfvo type="num" val="0"/>
        <cfvo type="num" val="1"/>
        <color rgb="FF791F17"/>
      </dataBar>
      <extLst>
        <ext xmlns:x14="http://schemas.microsoft.com/office/spreadsheetml/2009/9/main" uri="{B025F937-C7B1-47D3-B67F-A62EFF666E3E}">
          <x14:id>{91C11B56-9A57-104F-BF70-ADB2EAA2CD4A}</x14:id>
        </ext>
      </extLst>
    </cfRule>
  </conditionalFormatting>
  <conditionalFormatting sqref="D108:F108">
    <cfRule type="dataBar" priority="1">
      <dataBar>
        <cfvo type="num" val="0"/>
        <cfvo type="num" val="1"/>
        <color rgb="FF791F17"/>
      </dataBar>
      <extLst>
        <ext xmlns:x14="http://schemas.microsoft.com/office/spreadsheetml/2009/9/main" uri="{B025F937-C7B1-47D3-B67F-A62EFF666E3E}">
          <x14:id>{AC458F12-5687-604B-AE9C-A0C329DF073E}</x14:id>
        </ext>
      </extLst>
    </cfRule>
  </conditionalFormatting>
  <pageMargins left="0.75" right="0.75" top="1" bottom="1" header="0.5" footer="0.5"/>
  <pageSetup paperSize="9" scale="10" firstPageNumber="0" fitToWidth="0" fitToHeight="0" orientation="portrait" horizontalDpi="300" verticalDpi="300" r:id="rId2"/>
  <headerFooter alignWithMargins="0"/>
  <drawing r:id="rId3"/>
  <extLst>
    <ext xmlns:x14="http://schemas.microsoft.com/office/spreadsheetml/2009/9/main" uri="{78C0D931-6437-407d-A8EE-F0AAD7539E65}">
      <x14:conditionalFormattings>
        <x14:conditionalFormatting xmlns:xm="http://schemas.microsoft.com/office/excel/2006/main">
          <x14:cfRule type="dataBar" id="{79CE7F1A-C8E1-41C8-A0A4-F72252D5AA2B}">
            <x14:dataBar minLength="0" maxLength="100" axisPosition="none">
              <x14:cfvo type="num">
                <xm:f>0</xm:f>
              </x14:cfvo>
              <x14:cfvo type="num">
                <xm:f>1</xm:f>
              </x14:cfvo>
              <x14:negativeFillColor theme="0"/>
            </x14:dataBar>
          </x14:cfRule>
          <xm:sqref>D14:F16</xm:sqref>
        </x14:conditionalFormatting>
        <x14:conditionalFormatting xmlns:xm="http://schemas.microsoft.com/office/excel/2006/main">
          <x14:cfRule type="dataBar" id="{CE1A1EA3-9DDD-9A41-A8BF-B6CBFDEDF38D}">
            <x14:dataBar minLength="0" maxLength="100" axisPosition="none">
              <x14:cfvo type="num">
                <xm:f>0</xm:f>
              </x14:cfvo>
              <x14:cfvo type="num">
                <xm:f>3</xm:f>
              </x14:cfvo>
              <x14:negativeFillColor theme="0"/>
            </x14:dataBar>
          </x14:cfRule>
          <xm:sqref>J14</xm:sqref>
        </x14:conditionalFormatting>
        <x14:conditionalFormatting xmlns:xm="http://schemas.microsoft.com/office/excel/2006/main">
          <x14:cfRule type="dataBar" id="{6A17C54A-5208-1544-967C-21EA558BB5A2}">
            <x14:dataBar minLength="0" maxLength="100" axisPosition="none">
              <x14:cfvo type="num">
                <xm:f>0</xm:f>
              </x14:cfvo>
              <x14:cfvo type="num">
                <xm:f>3</xm:f>
              </x14:cfvo>
              <x14:negativeFillColor theme="0"/>
            </x14:dataBar>
          </x14:cfRule>
          <xm:sqref>J15</xm:sqref>
        </x14:conditionalFormatting>
        <x14:conditionalFormatting xmlns:xm="http://schemas.microsoft.com/office/excel/2006/main">
          <x14:cfRule type="dataBar" id="{C8FF7E97-48C1-ED40-96CA-0E0620DAF410}">
            <x14:dataBar minLength="0" maxLength="100" axisPosition="none">
              <x14:cfvo type="num">
                <xm:f>0</xm:f>
              </x14:cfvo>
              <x14:cfvo type="num">
                <xm:f>3</xm:f>
              </x14:cfvo>
              <x14:negativeFillColor theme="0"/>
            </x14:dataBar>
          </x14:cfRule>
          <xm:sqref>J17</xm:sqref>
        </x14:conditionalFormatting>
        <x14:conditionalFormatting xmlns:xm="http://schemas.microsoft.com/office/excel/2006/main">
          <x14:cfRule type="dataBar" id="{C16D4B20-5426-CD42-9383-E916F6FBDC0F}">
            <x14:dataBar minLength="0" maxLength="100" axisPosition="none">
              <x14:cfvo type="num">
                <xm:f>0</xm:f>
              </x14:cfvo>
              <x14:cfvo type="num">
                <xm:f>3</xm:f>
              </x14:cfvo>
              <x14:negativeFillColor theme="0"/>
            </x14:dataBar>
          </x14:cfRule>
          <xm:sqref>J18</xm:sqref>
        </x14:conditionalFormatting>
        <x14:conditionalFormatting xmlns:xm="http://schemas.microsoft.com/office/excel/2006/main">
          <x14:cfRule type="dataBar" id="{8BA98B9F-7B08-0045-8A48-8340549E9F13}">
            <x14:dataBar minLength="0" maxLength="100" axisPosition="none">
              <x14:cfvo type="num">
                <xm:f>0</xm:f>
              </x14:cfvo>
              <x14:cfvo type="num">
                <xm:f>3</xm:f>
              </x14:cfvo>
              <x14:negativeFillColor theme="0"/>
            </x14:dataBar>
          </x14:cfRule>
          <xm:sqref>J16</xm:sqref>
        </x14:conditionalFormatting>
        <x14:conditionalFormatting xmlns:xm="http://schemas.microsoft.com/office/excel/2006/main">
          <x14:cfRule type="dataBar" id="{1AAFDDBA-9BD7-7E4C-BE6F-262D8363CE14}">
            <x14:dataBar minLength="0" maxLength="100" axisPosition="none">
              <x14:cfvo type="num">
                <xm:f>0</xm:f>
              </x14:cfvo>
              <x14:cfvo type="num">
                <xm:f>1</xm:f>
              </x14:cfvo>
              <x14:negativeFillColor theme="0"/>
            </x14:dataBar>
          </x14:cfRule>
          <xm:sqref>D17:F19</xm:sqref>
        </x14:conditionalFormatting>
        <x14:conditionalFormatting xmlns:xm="http://schemas.microsoft.com/office/excel/2006/main">
          <x14:cfRule type="dataBar" id="{F73F64BE-95C9-A747-A99A-DC3894C9FC06}">
            <x14:dataBar minLength="0" maxLength="100" axisPosition="none">
              <x14:cfvo type="num">
                <xm:f>0</xm:f>
              </x14:cfvo>
              <x14:cfvo type="num">
                <xm:f>1</xm:f>
              </x14:cfvo>
              <x14:negativeFillColor theme="0"/>
            </x14:dataBar>
          </x14:cfRule>
          <xm:sqref>D20:F22</xm:sqref>
        </x14:conditionalFormatting>
        <x14:conditionalFormatting xmlns:xm="http://schemas.microsoft.com/office/excel/2006/main">
          <x14:cfRule type="dataBar" id="{0B7C6959-93C1-BA41-97E7-0719C08BC71E}">
            <x14:dataBar minLength="0" maxLength="100" axisPosition="none">
              <x14:cfvo type="num">
                <xm:f>0</xm:f>
              </x14:cfvo>
              <x14:cfvo type="num">
                <xm:f>1</xm:f>
              </x14:cfvo>
              <x14:negativeFillColor theme="0"/>
            </x14:dataBar>
          </x14:cfRule>
          <xm:sqref>D23:F25</xm:sqref>
        </x14:conditionalFormatting>
        <x14:conditionalFormatting xmlns:xm="http://schemas.microsoft.com/office/excel/2006/main">
          <x14:cfRule type="dataBar" id="{7E04D6E8-5FE9-2442-A8A1-B7598DD51B03}">
            <x14:dataBar minLength="0" maxLength="100" axisPosition="none">
              <x14:cfvo type="num">
                <xm:f>0</xm:f>
              </x14:cfvo>
              <x14:cfvo type="num">
                <xm:f>1</xm:f>
              </x14:cfvo>
              <x14:negativeFillColor theme="0"/>
            </x14:dataBar>
          </x14:cfRule>
          <xm:sqref>D26:F28</xm:sqref>
        </x14:conditionalFormatting>
        <x14:conditionalFormatting xmlns:xm="http://schemas.microsoft.com/office/excel/2006/main">
          <x14:cfRule type="dataBar" id="{9284054C-B96D-734E-B836-A04429639158}">
            <x14:dataBar minLength="0" maxLength="100" axisPosition="none">
              <x14:cfvo type="num">
                <xm:f>0</xm:f>
              </x14:cfvo>
              <x14:cfvo type="num">
                <xm:f>1</xm:f>
              </x14:cfvo>
              <x14:negativeFillColor theme="0"/>
            </x14:dataBar>
          </x14:cfRule>
          <xm:sqref>D34:F35</xm:sqref>
        </x14:conditionalFormatting>
        <x14:conditionalFormatting xmlns:xm="http://schemas.microsoft.com/office/excel/2006/main">
          <x14:cfRule type="dataBar" id="{B2C0F71A-5D19-384E-BB6D-E125D32E1B8C}">
            <x14:dataBar minLength="0" maxLength="100" axisPosition="none">
              <x14:cfvo type="num">
                <xm:f>0</xm:f>
              </x14:cfvo>
              <x14:cfvo type="num">
                <xm:f>1</xm:f>
              </x14:cfvo>
              <x14:negativeFillColor theme="0"/>
            </x14:dataBar>
          </x14:cfRule>
          <xm:sqref>D36:F36</xm:sqref>
        </x14:conditionalFormatting>
        <x14:conditionalFormatting xmlns:xm="http://schemas.microsoft.com/office/excel/2006/main">
          <x14:cfRule type="dataBar" id="{FD0B1922-2603-D34C-BD93-E5C332866DE6}">
            <x14:dataBar minLength="0" maxLength="100" axisPosition="none">
              <x14:cfvo type="num">
                <xm:f>0</xm:f>
              </x14:cfvo>
              <x14:cfvo type="num">
                <xm:f>3</xm:f>
              </x14:cfvo>
              <x14:negativeFillColor theme="0"/>
            </x14:dataBar>
          </x14:cfRule>
          <xm:sqref>J34</xm:sqref>
        </x14:conditionalFormatting>
        <x14:conditionalFormatting xmlns:xm="http://schemas.microsoft.com/office/excel/2006/main">
          <x14:cfRule type="dataBar" id="{2ECD7768-D8AC-4342-ADB4-FE48AFE0A842}">
            <x14:dataBar minLength="0" maxLength="100" axisPosition="none">
              <x14:cfvo type="num">
                <xm:f>0</xm:f>
              </x14:cfvo>
              <x14:cfvo type="num">
                <xm:f>3</xm:f>
              </x14:cfvo>
              <x14:negativeFillColor theme="0"/>
            </x14:dataBar>
          </x14:cfRule>
          <xm:sqref>J35</xm:sqref>
        </x14:conditionalFormatting>
        <x14:conditionalFormatting xmlns:xm="http://schemas.microsoft.com/office/excel/2006/main">
          <x14:cfRule type="dataBar" id="{7C90C993-82E5-C545-B58B-5B68FD19D25B}">
            <x14:dataBar minLength="0" maxLength="100" axisPosition="none">
              <x14:cfvo type="num">
                <xm:f>0</xm:f>
              </x14:cfvo>
              <x14:cfvo type="num">
                <xm:f>3</xm:f>
              </x14:cfvo>
              <x14:negativeFillColor theme="0"/>
            </x14:dataBar>
          </x14:cfRule>
          <xm:sqref>J37</xm:sqref>
        </x14:conditionalFormatting>
        <x14:conditionalFormatting xmlns:xm="http://schemas.microsoft.com/office/excel/2006/main">
          <x14:cfRule type="dataBar" id="{7892B420-8350-8446-AC23-3550B0BF1BB1}">
            <x14:dataBar minLength="0" maxLength="100" axisPosition="none">
              <x14:cfvo type="num">
                <xm:f>0</xm:f>
              </x14:cfvo>
              <x14:cfvo type="num">
                <xm:f>3</xm:f>
              </x14:cfvo>
              <x14:negativeFillColor theme="0"/>
            </x14:dataBar>
          </x14:cfRule>
          <xm:sqref>J38</xm:sqref>
        </x14:conditionalFormatting>
        <x14:conditionalFormatting xmlns:xm="http://schemas.microsoft.com/office/excel/2006/main">
          <x14:cfRule type="dataBar" id="{9A7A3D6D-709F-AD46-B1DC-AD3D5D658E4B}">
            <x14:dataBar minLength="0" maxLength="100" axisPosition="none">
              <x14:cfvo type="num">
                <xm:f>0</xm:f>
              </x14:cfvo>
              <x14:cfvo type="num">
                <xm:f>3</xm:f>
              </x14:cfvo>
              <x14:negativeFillColor theme="0"/>
            </x14:dataBar>
          </x14:cfRule>
          <xm:sqref>J36</xm:sqref>
        </x14:conditionalFormatting>
        <x14:conditionalFormatting xmlns:xm="http://schemas.microsoft.com/office/excel/2006/main">
          <x14:cfRule type="dataBar" id="{AAC4A2C6-0211-E641-808F-D2A1F1FE71AF}">
            <x14:dataBar minLength="0" maxLength="100" axisPosition="none">
              <x14:cfvo type="num">
                <xm:f>0</xm:f>
              </x14:cfvo>
              <x14:cfvo type="num">
                <xm:f>1</xm:f>
              </x14:cfvo>
              <x14:negativeFillColor theme="0"/>
            </x14:dataBar>
          </x14:cfRule>
          <xm:sqref>D37:F39</xm:sqref>
        </x14:conditionalFormatting>
        <x14:conditionalFormatting xmlns:xm="http://schemas.microsoft.com/office/excel/2006/main">
          <x14:cfRule type="dataBar" id="{E5778153-4227-784B-B990-774EB3B347E1}">
            <x14:dataBar minLength="0" maxLength="100" axisPosition="none">
              <x14:cfvo type="num">
                <xm:f>0</xm:f>
              </x14:cfvo>
              <x14:cfvo type="num">
                <xm:f>1</xm:f>
              </x14:cfvo>
              <x14:negativeFillColor theme="0"/>
            </x14:dataBar>
          </x14:cfRule>
          <xm:sqref>D46:F48</xm:sqref>
        </x14:conditionalFormatting>
        <x14:conditionalFormatting xmlns:xm="http://schemas.microsoft.com/office/excel/2006/main">
          <x14:cfRule type="dataBar" id="{E69ED88F-9AAA-4A46-ADBD-6262268CC951}">
            <x14:dataBar minLength="0" maxLength="100" axisPosition="none">
              <x14:cfvo type="num">
                <xm:f>0</xm:f>
              </x14:cfvo>
              <x14:cfvo type="num">
                <xm:f>1</xm:f>
              </x14:cfvo>
              <x14:negativeFillColor theme="0"/>
            </x14:dataBar>
          </x14:cfRule>
          <xm:sqref>D43:F45</xm:sqref>
        </x14:conditionalFormatting>
        <x14:conditionalFormatting xmlns:xm="http://schemas.microsoft.com/office/excel/2006/main">
          <x14:cfRule type="dataBar" id="{086D738C-C711-1847-A362-F3CC237D9B16}">
            <x14:dataBar minLength="0" maxLength="100" axisPosition="none">
              <x14:cfvo type="num">
                <xm:f>0</xm:f>
              </x14:cfvo>
              <x14:cfvo type="num">
                <xm:f>1</xm:f>
              </x14:cfvo>
              <x14:negativeFillColor theme="0"/>
            </x14:dataBar>
          </x14:cfRule>
          <xm:sqref>D40:F42</xm:sqref>
        </x14:conditionalFormatting>
        <x14:conditionalFormatting xmlns:xm="http://schemas.microsoft.com/office/excel/2006/main">
          <x14:cfRule type="dataBar" id="{5B299429-7CE6-8947-800E-BFFA8A16553A}">
            <x14:dataBar minLength="0" maxLength="100" axisPosition="none">
              <x14:cfvo type="num">
                <xm:f>0</xm:f>
              </x14:cfvo>
              <x14:cfvo type="num">
                <xm:f>1</xm:f>
              </x14:cfvo>
              <x14:negativeFillColor theme="0"/>
            </x14:dataBar>
          </x14:cfRule>
          <xm:sqref>D73:F74</xm:sqref>
        </x14:conditionalFormatting>
        <x14:conditionalFormatting xmlns:xm="http://schemas.microsoft.com/office/excel/2006/main">
          <x14:cfRule type="dataBar" id="{0070DD35-ACDC-5D4F-BC4F-FBC7D55FD25D}">
            <x14:dataBar minLength="0" maxLength="100" axisPosition="none">
              <x14:cfvo type="num">
                <xm:f>0</xm:f>
              </x14:cfvo>
              <x14:cfvo type="num">
                <xm:f>1</xm:f>
              </x14:cfvo>
              <x14:negativeFillColor theme="0"/>
            </x14:dataBar>
          </x14:cfRule>
          <xm:sqref>D94:F95</xm:sqref>
        </x14:conditionalFormatting>
        <x14:conditionalFormatting xmlns:xm="http://schemas.microsoft.com/office/excel/2006/main">
          <x14:cfRule type="dataBar" id="{89045399-ADE9-A942-B276-AF1861C4C28E}">
            <x14:dataBar minLength="0" maxLength="100" axisPosition="none">
              <x14:cfvo type="num">
                <xm:f>0</xm:f>
              </x14:cfvo>
              <x14:cfvo type="num">
                <xm:f>3</xm:f>
              </x14:cfvo>
              <x14:negativeFillColor theme="0"/>
            </x14:dataBar>
          </x14:cfRule>
          <xm:sqref>J54</xm:sqref>
        </x14:conditionalFormatting>
        <x14:conditionalFormatting xmlns:xm="http://schemas.microsoft.com/office/excel/2006/main">
          <x14:cfRule type="dataBar" id="{0190F321-B1B4-0F41-BAB5-6181D21F94A1}">
            <x14:dataBar minLength="0" maxLength="100" axisPosition="none">
              <x14:cfvo type="num">
                <xm:f>0</xm:f>
              </x14:cfvo>
              <x14:cfvo type="num">
                <xm:f>3</xm:f>
              </x14:cfvo>
              <x14:negativeFillColor theme="0"/>
            </x14:dataBar>
          </x14:cfRule>
          <xm:sqref>J55</xm:sqref>
        </x14:conditionalFormatting>
        <x14:conditionalFormatting xmlns:xm="http://schemas.microsoft.com/office/excel/2006/main">
          <x14:cfRule type="dataBar" id="{04BE1661-D85A-D646-A55D-558497E9681D}">
            <x14:dataBar minLength="0" maxLength="100" axisPosition="none">
              <x14:cfvo type="num">
                <xm:f>0</xm:f>
              </x14:cfvo>
              <x14:cfvo type="num">
                <xm:f>3</xm:f>
              </x14:cfvo>
              <x14:negativeFillColor theme="0"/>
            </x14:dataBar>
          </x14:cfRule>
          <xm:sqref>J57</xm:sqref>
        </x14:conditionalFormatting>
        <x14:conditionalFormatting xmlns:xm="http://schemas.microsoft.com/office/excel/2006/main">
          <x14:cfRule type="dataBar" id="{7F1B8C0C-543C-F446-9A44-3AABC7389FFA}">
            <x14:dataBar minLength="0" maxLength="100" axisPosition="none">
              <x14:cfvo type="num">
                <xm:f>0</xm:f>
              </x14:cfvo>
              <x14:cfvo type="num">
                <xm:f>3</xm:f>
              </x14:cfvo>
              <x14:negativeFillColor theme="0"/>
            </x14:dataBar>
          </x14:cfRule>
          <xm:sqref>J58</xm:sqref>
        </x14:conditionalFormatting>
        <x14:conditionalFormatting xmlns:xm="http://schemas.microsoft.com/office/excel/2006/main">
          <x14:cfRule type="dataBar" id="{AA86F1CB-E203-3740-B170-888B12C27C96}">
            <x14:dataBar minLength="0" maxLength="100" axisPosition="none">
              <x14:cfvo type="num">
                <xm:f>0</xm:f>
              </x14:cfvo>
              <x14:cfvo type="num">
                <xm:f>3</xm:f>
              </x14:cfvo>
              <x14:negativeFillColor theme="0"/>
            </x14:dataBar>
          </x14:cfRule>
          <xm:sqref>J56</xm:sqref>
        </x14:conditionalFormatting>
        <x14:conditionalFormatting xmlns:xm="http://schemas.microsoft.com/office/excel/2006/main">
          <x14:cfRule type="dataBar" id="{706B6C92-9FBC-0B43-81D4-275F8274E674}">
            <x14:dataBar minLength="0" maxLength="100" axisPosition="none">
              <x14:cfvo type="num">
                <xm:f>0</xm:f>
              </x14:cfvo>
              <x14:cfvo type="num">
                <xm:f>3</xm:f>
              </x14:cfvo>
              <x14:negativeFillColor theme="0"/>
            </x14:dataBar>
          </x14:cfRule>
          <xm:sqref>J73</xm:sqref>
        </x14:conditionalFormatting>
        <x14:conditionalFormatting xmlns:xm="http://schemas.microsoft.com/office/excel/2006/main">
          <x14:cfRule type="dataBar" id="{2BBBAEFD-2474-3C4C-9EBE-BF619BC72DD0}">
            <x14:dataBar minLength="0" maxLength="100" axisPosition="none">
              <x14:cfvo type="num">
                <xm:f>0</xm:f>
              </x14:cfvo>
              <x14:cfvo type="num">
                <xm:f>3</xm:f>
              </x14:cfvo>
              <x14:negativeFillColor theme="0"/>
            </x14:dataBar>
          </x14:cfRule>
          <xm:sqref>J74</xm:sqref>
        </x14:conditionalFormatting>
        <x14:conditionalFormatting xmlns:xm="http://schemas.microsoft.com/office/excel/2006/main">
          <x14:cfRule type="dataBar" id="{3CA6D3E4-9560-7A40-AA76-25126B323DEE}">
            <x14:dataBar minLength="0" maxLength="100" axisPosition="none">
              <x14:cfvo type="num">
                <xm:f>0</xm:f>
              </x14:cfvo>
              <x14:cfvo type="num">
                <xm:f>3</xm:f>
              </x14:cfvo>
              <x14:negativeFillColor theme="0"/>
            </x14:dataBar>
          </x14:cfRule>
          <xm:sqref>J76</xm:sqref>
        </x14:conditionalFormatting>
        <x14:conditionalFormatting xmlns:xm="http://schemas.microsoft.com/office/excel/2006/main">
          <x14:cfRule type="dataBar" id="{C5E89D6C-F5E9-F146-A2CF-80A229BE538E}">
            <x14:dataBar minLength="0" maxLength="100" axisPosition="none">
              <x14:cfvo type="num">
                <xm:f>0</xm:f>
              </x14:cfvo>
              <x14:cfvo type="num">
                <xm:f>3</xm:f>
              </x14:cfvo>
              <x14:negativeFillColor theme="0"/>
            </x14:dataBar>
          </x14:cfRule>
          <xm:sqref>J77</xm:sqref>
        </x14:conditionalFormatting>
        <x14:conditionalFormatting xmlns:xm="http://schemas.microsoft.com/office/excel/2006/main">
          <x14:cfRule type="dataBar" id="{3D8E2C15-A37F-4E48-9684-3261922A8FBB}">
            <x14:dataBar minLength="0" maxLength="100" axisPosition="none">
              <x14:cfvo type="num">
                <xm:f>0</xm:f>
              </x14:cfvo>
              <x14:cfvo type="num">
                <xm:f>3</xm:f>
              </x14:cfvo>
              <x14:negativeFillColor theme="0"/>
            </x14:dataBar>
          </x14:cfRule>
          <xm:sqref>J75</xm:sqref>
        </x14:conditionalFormatting>
        <x14:conditionalFormatting xmlns:xm="http://schemas.microsoft.com/office/excel/2006/main">
          <x14:cfRule type="dataBar" id="{D3324781-D0D6-C643-8583-2A2D31EC03C9}">
            <x14:dataBar minLength="0" maxLength="100" axisPosition="none">
              <x14:cfvo type="num">
                <xm:f>0</xm:f>
              </x14:cfvo>
              <x14:cfvo type="num">
                <xm:f>3</xm:f>
              </x14:cfvo>
              <x14:negativeFillColor theme="0"/>
            </x14:dataBar>
          </x14:cfRule>
          <xm:sqref>J94</xm:sqref>
        </x14:conditionalFormatting>
        <x14:conditionalFormatting xmlns:xm="http://schemas.microsoft.com/office/excel/2006/main">
          <x14:cfRule type="dataBar" id="{DB105B0A-E675-A348-97D5-1470930F7894}">
            <x14:dataBar minLength="0" maxLength="100" axisPosition="none">
              <x14:cfvo type="num">
                <xm:f>0</xm:f>
              </x14:cfvo>
              <x14:cfvo type="num">
                <xm:f>3</xm:f>
              </x14:cfvo>
              <x14:negativeFillColor theme="0"/>
            </x14:dataBar>
          </x14:cfRule>
          <xm:sqref>J95</xm:sqref>
        </x14:conditionalFormatting>
        <x14:conditionalFormatting xmlns:xm="http://schemas.microsoft.com/office/excel/2006/main">
          <x14:cfRule type="dataBar" id="{62DBBDAC-2DC0-8947-9DD2-AE85FF169D42}">
            <x14:dataBar minLength="0" maxLength="100" axisPosition="none">
              <x14:cfvo type="num">
                <xm:f>0</xm:f>
              </x14:cfvo>
              <x14:cfvo type="num">
                <xm:f>3</xm:f>
              </x14:cfvo>
              <x14:negativeFillColor theme="0"/>
            </x14:dataBar>
          </x14:cfRule>
          <xm:sqref>J97</xm:sqref>
        </x14:conditionalFormatting>
        <x14:conditionalFormatting xmlns:xm="http://schemas.microsoft.com/office/excel/2006/main">
          <x14:cfRule type="dataBar" id="{27AE3CB4-BDFB-A046-A823-5C2020278603}">
            <x14:dataBar minLength="0" maxLength="100" axisPosition="none">
              <x14:cfvo type="num">
                <xm:f>0</xm:f>
              </x14:cfvo>
              <x14:cfvo type="num">
                <xm:f>3</xm:f>
              </x14:cfvo>
              <x14:negativeFillColor theme="0"/>
            </x14:dataBar>
          </x14:cfRule>
          <xm:sqref>J98</xm:sqref>
        </x14:conditionalFormatting>
        <x14:conditionalFormatting xmlns:xm="http://schemas.microsoft.com/office/excel/2006/main">
          <x14:cfRule type="dataBar" id="{6C1DB384-CD97-2C4C-AD95-6A06C6D61994}">
            <x14:dataBar minLength="0" maxLength="100" axisPosition="none">
              <x14:cfvo type="num">
                <xm:f>0</xm:f>
              </x14:cfvo>
              <x14:cfvo type="num">
                <xm:f>3</xm:f>
              </x14:cfvo>
              <x14:negativeFillColor theme="0"/>
            </x14:dataBar>
          </x14:cfRule>
          <xm:sqref>J96</xm:sqref>
        </x14:conditionalFormatting>
        <x14:conditionalFormatting xmlns:xm="http://schemas.microsoft.com/office/excel/2006/main">
          <x14:cfRule type="dataBar" id="{A52097B3-778B-3E49-8456-8B3F58DE6432}">
            <x14:dataBar minLength="0" maxLength="100" axisPosition="none">
              <x14:cfvo type="num">
                <xm:f>0</xm:f>
              </x14:cfvo>
              <x14:cfvo type="num">
                <xm:f>1</xm:f>
              </x14:cfvo>
              <x14:negativeFillColor theme="0"/>
            </x14:dataBar>
          </x14:cfRule>
          <xm:sqref>D54:F55</xm:sqref>
        </x14:conditionalFormatting>
        <x14:conditionalFormatting xmlns:xm="http://schemas.microsoft.com/office/excel/2006/main">
          <x14:cfRule type="dataBar" id="{0258849F-BB00-E840-A754-D8965F6EFC5A}">
            <x14:dataBar minLength="0" maxLength="100" axisPosition="none">
              <x14:cfvo type="num">
                <xm:f>0</xm:f>
              </x14:cfvo>
              <x14:cfvo type="num">
                <xm:f>1</xm:f>
              </x14:cfvo>
              <x14:negativeFillColor theme="0"/>
            </x14:dataBar>
          </x14:cfRule>
          <xm:sqref>D57:F59</xm:sqref>
        </x14:conditionalFormatting>
        <x14:conditionalFormatting xmlns:xm="http://schemas.microsoft.com/office/excel/2006/main">
          <x14:cfRule type="dataBar" id="{FBFF620F-3054-8743-B2B2-922FD3EB3146}">
            <x14:dataBar minLength="0" maxLength="100" axisPosition="none">
              <x14:cfvo type="num">
                <xm:f>0</xm:f>
              </x14:cfvo>
              <x14:cfvo type="num">
                <xm:f>1</xm:f>
              </x14:cfvo>
              <x14:negativeFillColor theme="0"/>
            </x14:dataBar>
          </x14:cfRule>
          <xm:sqref>D60:F62</xm:sqref>
        </x14:conditionalFormatting>
        <x14:conditionalFormatting xmlns:xm="http://schemas.microsoft.com/office/excel/2006/main">
          <x14:cfRule type="dataBar" id="{0FEAB4A9-3B80-A54C-9926-D36822351D67}">
            <x14:dataBar minLength="0" maxLength="100" axisPosition="none">
              <x14:cfvo type="num">
                <xm:f>0</xm:f>
              </x14:cfvo>
              <x14:cfvo type="num">
                <xm:f>1</xm:f>
              </x14:cfvo>
              <x14:negativeFillColor theme="0"/>
            </x14:dataBar>
          </x14:cfRule>
          <xm:sqref>D56:F56</xm:sqref>
        </x14:conditionalFormatting>
        <x14:conditionalFormatting xmlns:xm="http://schemas.microsoft.com/office/excel/2006/main">
          <x14:cfRule type="dataBar" id="{04641AF3-20CD-9F4E-BE20-3F1D4E5DD152}">
            <x14:dataBar minLength="0" maxLength="100" axisPosition="none">
              <x14:cfvo type="num">
                <xm:f>0</xm:f>
              </x14:cfvo>
              <x14:cfvo type="num">
                <xm:f>1</xm:f>
              </x14:cfvo>
              <x14:negativeFillColor theme="0"/>
            </x14:dataBar>
          </x14:cfRule>
          <xm:sqref>D75:F75</xm:sqref>
        </x14:conditionalFormatting>
        <x14:conditionalFormatting xmlns:xm="http://schemas.microsoft.com/office/excel/2006/main">
          <x14:cfRule type="dataBar" id="{2EB04995-98B4-9E41-98DF-0410F226A877}">
            <x14:dataBar minLength="0" maxLength="100" axisPosition="none">
              <x14:cfvo type="num">
                <xm:f>0</xm:f>
              </x14:cfvo>
              <x14:cfvo type="num">
                <xm:f>1</xm:f>
              </x14:cfvo>
              <x14:negativeFillColor theme="0"/>
            </x14:dataBar>
          </x14:cfRule>
          <xm:sqref>D76:F76</xm:sqref>
        </x14:conditionalFormatting>
        <x14:conditionalFormatting xmlns:xm="http://schemas.microsoft.com/office/excel/2006/main">
          <x14:cfRule type="dataBar" id="{A225102F-FA19-6D4E-B6DD-045F47D2B130}">
            <x14:dataBar minLength="0" maxLength="100" axisPosition="none">
              <x14:cfvo type="num">
                <xm:f>0</xm:f>
              </x14:cfvo>
              <x14:cfvo type="num">
                <xm:f>1</xm:f>
              </x14:cfvo>
              <x14:negativeFillColor theme="0"/>
            </x14:dataBar>
          </x14:cfRule>
          <xm:sqref>D77:F77</xm:sqref>
        </x14:conditionalFormatting>
        <x14:conditionalFormatting xmlns:xm="http://schemas.microsoft.com/office/excel/2006/main">
          <x14:cfRule type="dataBar" id="{C42E40E0-BDA2-A943-BC3C-1DDEA0283AE8}">
            <x14:dataBar minLength="0" maxLength="100" axisPosition="none">
              <x14:cfvo type="num">
                <xm:f>0</xm:f>
              </x14:cfvo>
              <x14:cfvo type="num">
                <xm:f>1</xm:f>
              </x14:cfvo>
              <x14:negativeFillColor theme="0"/>
            </x14:dataBar>
          </x14:cfRule>
          <xm:sqref>D78:F78</xm:sqref>
        </x14:conditionalFormatting>
        <x14:conditionalFormatting xmlns:xm="http://schemas.microsoft.com/office/excel/2006/main">
          <x14:cfRule type="dataBar" id="{177CFC9E-B11F-E34E-9ABC-B8903C73BC94}">
            <x14:dataBar minLength="0" maxLength="100" axisPosition="none">
              <x14:cfvo type="num">
                <xm:f>0</xm:f>
              </x14:cfvo>
              <x14:cfvo type="num">
                <xm:f>1</xm:f>
              </x14:cfvo>
              <x14:negativeFillColor theme="0"/>
            </x14:dataBar>
          </x14:cfRule>
          <xm:sqref>D79:F79</xm:sqref>
        </x14:conditionalFormatting>
        <x14:conditionalFormatting xmlns:xm="http://schemas.microsoft.com/office/excel/2006/main">
          <x14:cfRule type="dataBar" id="{735371FA-677F-B842-AC67-765DFD3CC95C}">
            <x14:dataBar minLength="0" maxLength="100" axisPosition="none">
              <x14:cfvo type="num">
                <xm:f>0</xm:f>
              </x14:cfvo>
              <x14:cfvo type="num">
                <xm:f>1</xm:f>
              </x14:cfvo>
              <x14:negativeFillColor theme="0"/>
            </x14:dataBar>
          </x14:cfRule>
          <xm:sqref>D80:F80</xm:sqref>
        </x14:conditionalFormatting>
        <x14:conditionalFormatting xmlns:xm="http://schemas.microsoft.com/office/excel/2006/main">
          <x14:cfRule type="dataBar" id="{BC29E5C6-A1C1-2E4C-B56F-527EADCBECEB}">
            <x14:dataBar minLength="0" maxLength="100" axisPosition="none">
              <x14:cfvo type="num">
                <xm:f>0</xm:f>
              </x14:cfvo>
              <x14:cfvo type="num">
                <xm:f>1</xm:f>
              </x14:cfvo>
              <x14:negativeFillColor theme="0"/>
            </x14:dataBar>
          </x14:cfRule>
          <xm:sqref>D81:F81</xm:sqref>
        </x14:conditionalFormatting>
        <x14:conditionalFormatting xmlns:xm="http://schemas.microsoft.com/office/excel/2006/main">
          <x14:cfRule type="dataBar" id="{8805C11D-B443-5C4C-B574-14E178AD6AEB}">
            <x14:dataBar minLength="0" maxLength="100" axisPosition="none">
              <x14:cfvo type="num">
                <xm:f>0</xm:f>
              </x14:cfvo>
              <x14:cfvo type="num">
                <xm:f>1</xm:f>
              </x14:cfvo>
              <x14:negativeFillColor theme="0"/>
            </x14:dataBar>
          </x14:cfRule>
          <xm:sqref>D82:F82</xm:sqref>
        </x14:conditionalFormatting>
        <x14:conditionalFormatting xmlns:xm="http://schemas.microsoft.com/office/excel/2006/main">
          <x14:cfRule type="dataBar" id="{E4000B67-4FFE-1547-BE36-D3A75F2B1F83}">
            <x14:dataBar minLength="0" maxLength="100" axisPosition="none">
              <x14:cfvo type="num">
                <xm:f>0</xm:f>
              </x14:cfvo>
              <x14:cfvo type="num">
                <xm:f>1</xm:f>
              </x14:cfvo>
              <x14:negativeFillColor theme="0"/>
            </x14:dataBar>
          </x14:cfRule>
          <xm:sqref>D83:F83</xm:sqref>
        </x14:conditionalFormatting>
        <x14:conditionalFormatting xmlns:xm="http://schemas.microsoft.com/office/excel/2006/main">
          <x14:cfRule type="dataBar" id="{C6BA9D2A-FE7C-8942-87A0-3401C00B70BA}">
            <x14:dataBar minLength="0" maxLength="100" axisPosition="none">
              <x14:cfvo type="num">
                <xm:f>0</xm:f>
              </x14:cfvo>
              <x14:cfvo type="num">
                <xm:f>1</xm:f>
              </x14:cfvo>
              <x14:negativeFillColor theme="0"/>
            </x14:dataBar>
          </x14:cfRule>
          <xm:sqref>D84:F84</xm:sqref>
        </x14:conditionalFormatting>
        <x14:conditionalFormatting xmlns:xm="http://schemas.microsoft.com/office/excel/2006/main">
          <x14:cfRule type="dataBar" id="{2162CAD1-CC48-AE48-9520-2C8477F02EEB}">
            <x14:dataBar minLength="0" maxLength="100" axisPosition="none">
              <x14:cfvo type="num">
                <xm:f>0</xm:f>
              </x14:cfvo>
              <x14:cfvo type="num">
                <xm:f>1</xm:f>
              </x14:cfvo>
              <x14:negativeFillColor theme="0"/>
            </x14:dataBar>
          </x14:cfRule>
          <xm:sqref>D85:F85</xm:sqref>
        </x14:conditionalFormatting>
        <x14:conditionalFormatting xmlns:xm="http://schemas.microsoft.com/office/excel/2006/main">
          <x14:cfRule type="dataBar" id="{25C86D2F-B3CD-DD4F-A97E-FA745F026962}">
            <x14:dataBar minLength="0" maxLength="100" axisPosition="none">
              <x14:cfvo type="num">
                <xm:f>0</xm:f>
              </x14:cfvo>
              <x14:cfvo type="num">
                <xm:f>1</xm:f>
              </x14:cfvo>
              <x14:negativeFillColor theme="0"/>
            </x14:dataBar>
          </x14:cfRule>
          <xm:sqref>D86:F86</xm:sqref>
        </x14:conditionalFormatting>
        <x14:conditionalFormatting xmlns:xm="http://schemas.microsoft.com/office/excel/2006/main">
          <x14:cfRule type="dataBar" id="{CC578245-B16F-3947-9930-D324445BCE70}">
            <x14:dataBar minLength="0" maxLength="100" axisPosition="none">
              <x14:cfvo type="num">
                <xm:f>0</xm:f>
              </x14:cfvo>
              <x14:cfvo type="num">
                <xm:f>1</xm:f>
              </x14:cfvo>
              <x14:negativeFillColor theme="0"/>
            </x14:dataBar>
          </x14:cfRule>
          <xm:sqref>D87:F87</xm:sqref>
        </x14:conditionalFormatting>
        <x14:conditionalFormatting xmlns:xm="http://schemas.microsoft.com/office/excel/2006/main">
          <x14:cfRule type="dataBar" id="{AC9DBBA4-2984-AD42-A019-4A19DF084899}">
            <x14:dataBar minLength="0" maxLength="100" axisPosition="none">
              <x14:cfvo type="num">
                <xm:f>0</xm:f>
              </x14:cfvo>
              <x14:cfvo type="num">
                <xm:f>1</xm:f>
              </x14:cfvo>
              <x14:negativeFillColor theme="0"/>
            </x14:dataBar>
          </x14:cfRule>
          <xm:sqref>D63:F63</xm:sqref>
        </x14:conditionalFormatting>
        <x14:conditionalFormatting xmlns:xm="http://schemas.microsoft.com/office/excel/2006/main">
          <x14:cfRule type="dataBar" id="{1AAE9071-A5BB-1544-834C-8BF597F77B9D}">
            <x14:dataBar minLength="0" maxLength="100" axisPosition="none">
              <x14:cfvo type="num">
                <xm:f>0</xm:f>
              </x14:cfvo>
              <x14:cfvo type="num">
                <xm:f>1</xm:f>
              </x14:cfvo>
              <x14:negativeFillColor theme="0"/>
            </x14:dataBar>
          </x14:cfRule>
          <xm:sqref>D64:F64</xm:sqref>
        </x14:conditionalFormatting>
        <x14:conditionalFormatting xmlns:xm="http://schemas.microsoft.com/office/excel/2006/main">
          <x14:cfRule type="dataBar" id="{1B67DAC1-EA50-7B48-820E-13BCD1D73D63}">
            <x14:dataBar minLength="0" maxLength="100" axisPosition="none">
              <x14:cfvo type="num">
                <xm:f>0</xm:f>
              </x14:cfvo>
              <x14:cfvo type="num">
                <xm:f>1</xm:f>
              </x14:cfvo>
              <x14:negativeFillColor theme="0"/>
            </x14:dataBar>
          </x14:cfRule>
          <xm:sqref>D65:F65</xm:sqref>
        </x14:conditionalFormatting>
        <x14:conditionalFormatting xmlns:xm="http://schemas.microsoft.com/office/excel/2006/main">
          <x14:cfRule type="dataBar" id="{60190627-4815-A143-9FAB-95DA349481CA}">
            <x14:dataBar minLength="0" maxLength="100" axisPosition="none">
              <x14:cfvo type="num">
                <xm:f>0</xm:f>
              </x14:cfvo>
              <x14:cfvo type="num">
                <xm:f>1</xm:f>
              </x14:cfvo>
              <x14:negativeFillColor theme="0"/>
            </x14:dataBar>
          </x14:cfRule>
          <xm:sqref>D66:F66</xm:sqref>
        </x14:conditionalFormatting>
        <x14:conditionalFormatting xmlns:xm="http://schemas.microsoft.com/office/excel/2006/main">
          <x14:cfRule type="dataBar" id="{06AD80DC-D768-2C47-AD32-3A754DC7E3C4}">
            <x14:dataBar minLength="0" maxLength="100" axisPosition="none">
              <x14:cfvo type="num">
                <xm:f>0</xm:f>
              </x14:cfvo>
              <x14:cfvo type="num">
                <xm:f>1</xm:f>
              </x14:cfvo>
              <x14:negativeFillColor theme="0"/>
            </x14:dataBar>
          </x14:cfRule>
          <xm:sqref>D67:F67</xm:sqref>
        </x14:conditionalFormatting>
        <x14:conditionalFormatting xmlns:xm="http://schemas.microsoft.com/office/excel/2006/main">
          <x14:cfRule type="dataBar" id="{27E2CF7A-A2D0-3645-B278-77EBDC5E93BF}">
            <x14:dataBar minLength="0" maxLength="100" axisPosition="none">
              <x14:cfvo type="num">
                <xm:f>0</xm:f>
              </x14:cfvo>
              <x14:cfvo type="num">
                <xm:f>1</xm:f>
              </x14:cfvo>
              <x14:negativeFillColor theme="0"/>
            </x14:dataBar>
          </x14:cfRule>
          <xm:sqref>D68:F68</xm:sqref>
        </x14:conditionalFormatting>
        <x14:conditionalFormatting xmlns:xm="http://schemas.microsoft.com/office/excel/2006/main">
          <x14:cfRule type="dataBar" id="{8BF4D1CB-7A4D-5B49-96C0-6C2B4CFEB64C}">
            <x14:dataBar minLength="0" maxLength="100" axisPosition="none">
              <x14:cfvo type="num">
                <xm:f>0</xm:f>
              </x14:cfvo>
              <x14:cfvo type="num">
                <xm:f>1</xm:f>
              </x14:cfvo>
              <x14:negativeFillColor theme="0"/>
            </x14:dataBar>
          </x14:cfRule>
          <xm:sqref>D96:F96</xm:sqref>
        </x14:conditionalFormatting>
        <x14:conditionalFormatting xmlns:xm="http://schemas.microsoft.com/office/excel/2006/main">
          <x14:cfRule type="dataBar" id="{07FD69E6-C99A-3C47-94C4-9D1D46E0C352}">
            <x14:dataBar minLength="0" maxLength="100" axisPosition="none">
              <x14:cfvo type="num">
                <xm:f>0</xm:f>
              </x14:cfvo>
              <x14:cfvo type="num">
                <xm:f>1</xm:f>
              </x14:cfvo>
              <x14:negativeFillColor theme="0"/>
            </x14:dataBar>
          </x14:cfRule>
          <xm:sqref>D97:F97</xm:sqref>
        </x14:conditionalFormatting>
        <x14:conditionalFormatting xmlns:xm="http://schemas.microsoft.com/office/excel/2006/main">
          <x14:cfRule type="dataBar" id="{6BA60214-0ACA-F34D-A0B5-365768C660E7}">
            <x14:dataBar minLength="0" maxLength="100" axisPosition="none">
              <x14:cfvo type="num">
                <xm:f>0</xm:f>
              </x14:cfvo>
              <x14:cfvo type="num">
                <xm:f>1</xm:f>
              </x14:cfvo>
              <x14:negativeFillColor theme="0"/>
            </x14:dataBar>
          </x14:cfRule>
          <xm:sqref>D98:F98</xm:sqref>
        </x14:conditionalFormatting>
        <x14:conditionalFormatting xmlns:xm="http://schemas.microsoft.com/office/excel/2006/main">
          <x14:cfRule type="dataBar" id="{9E1BAB02-69E8-CA41-9884-87885F94E599}">
            <x14:dataBar minLength="0" maxLength="100" axisPosition="none">
              <x14:cfvo type="num">
                <xm:f>0</xm:f>
              </x14:cfvo>
              <x14:cfvo type="num">
                <xm:f>1</xm:f>
              </x14:cfvo>
              <x14:negativeFillColor theme="0"/>
            </x14:dataBar>
          </x14:cfRule>
          <xm:sqref>D99:F99</xm:sqref>
        </x14:conditionalFormatting>
        <x14:conditionalFormatting xmlns:xm="http://schemas.microsoft.com/office/excel/2006/main">
          <x14:cfRule type="dataBar" id="{1558E827-D00E-4B40-A53E-57AEFC9C89EC}">
            <x14:dataBar minLength="0" maxLength="100" axisPosition="none">
              <x14:cfvo type="num">
                <xm:f>0</xm:f>
              </x14:cfvo>
              <x14:cfvo type="num">
                <xm:f>1</xm:f>
              </x14:cfvo>
              <x14:negativeFillColor theme="0"/>
            </x14:dataBar>
          </x14:cfRule>
          <xm:sqref>D100:F100</xm:sqref>
        </x14:conditionalFormatting>
        <x14:conditionalFormatting xmlns:xm="http://schemas.microsoft.com/office/excel/2006/main">
          <x14:cfRule type="dataBar" id="{9E34A243-7B78-C84D-8762-D32545E64F42}">
            <x14:dataBar minLength="0" maxLength="100" axisPosition="none">
              <x14:cfvo type="num">
                <xm:f>0</xm:f>
              </x14:cfvo>
              <x14:cfvo type="num">
                <xm:f>1</xm:f>
              </x14:cfvo>
              <x14:negativeFillColor theme="0"/>
            </x14:dataBar>
          </x14:cfRule>
          <xm:sqref>D101:F101</xm:sqref>
        </x14:conditionalFormatting>
        <x14:conditionalFormatting xmlns:xm="http://schemas.microsoft.com/office/excel/2006/main">
          <x14:cfRule type="dataBar" id="{C35A8CE2-8004-4845-95F8-CF48A694C1E5}">
            <x14:dataBar minLength="0" maxLength="100" axisPosition="none">
              <x14:cfvo type="num">
                <xm:f>0</xm:f>
              </x14:cfvo>
              <x14:cfvo type="num">
                <xm:f>1</xm:f>
              </x14:cfvo>
              <x14:negativeFillColor theme="0"/>
            </x14:dataBar>
          </x14:cfRule>
          <xm:sqref>D102:F102</xm:sqref>
        </x14:conditionalFormatting>
        <x14:conditionalFormatting xmlns:xm="http://schemas.microsoft.com/office/excel/2006/main">
          <x14:cfRule type="dataBar" id="{E81339E0-F52B-E94D-A6D8-C78657EA2F48}">
            <x14:dataBar minLength="0" maxLength="100" axisPosition="none">
              <x14:cfvo type="num">
                <xm:f>0</xm:f>
              </x14:cfvo>
              <x14:cfvo type="num">
                <xm:f>1</xm:f>
              </x14:cfvo>
              <x14:negativeFillColor theme="0"/>
            </x14:dataBar>
          </x14:cfRule>
          <xm:sqref>D103:F103</xm:sqref>
        </x14:conditionalFormatting>
        <x14:conditionalFormatting xmlns:xm="http://schemas.microsoft.com/office/excel/2006/main">
          <x14:cfRule type="dataBar" id="{6A9B8208-06AF-7C4F-B744-EBE4D21F53A9}">
            <x14:dataBar minLength="0" maxLength="100" axisPosition="none">
              <x14:cfvo type="num">
                <xm:f>0</xm:f>
              </x14:cfvo>
              <x14:cfvo type="num">
                <xm:f>1</xm:f>
              </x14:cfvo>
              <x14:negativeFillColor theme="0"/>
            </x14:dataBar>
          </x14:cfRule>
          <xm:sqref>D104:F104</xm:sqref>
        </x14:conditionalFormatting>
        <x14:conditionalFormatting xmlns:xm="http://schemas.microsoft.com/office/excel/2006/main">
          <x14:cfRule type="dataBar" id="{65C2F711-4A45-9743-930F-D750FDDADDF6}">
            <x14:dataBar minLength="0" maxLength="100" axisPosition="none">
              <x14:cfvo type="num">
                <xm:f>0</xm:f>
              </x14:cfvo>
              <x14:cfvo type="num">
                <xm:f>1</xm:f>
              </x14:cfvo>
              <x14:negativeFillColor theme="0"/>
            </x14:dataBar>
          </x14:cfRule>
          <xm:sqref>D105:F105</xm:sqref>
        </x14:conditionalFormatting>
        <x14:conditionalFormatting xmlns:xm="http://schemas.microsoft.com/office/excel/2006/main">
          <x14:cfRule type="dataBar" id="{B0076D44-5CCB-E845-BF71-60FD77893322}">
            <x14:dataBar minLength="0" maxLength="100" axisPosition="none">
              <x14:cfvo type="num">
                <xm:f>0</xm:f>
              </x14:cfvo>
              <x14:cfvo type="num">
                <xm:f>1</xm:f>
              </x14:cfvo>
              <x14:negativeFillColor theme="0"/>
            </x14:dataBar>
          </x14:cfRule>
          <xm:sqref>D106:F106</xm:sqref>
        </x14:conditionalFormatting>
        <x14:conditionalFormatting xmlns:xm="http://schemas.microsoft.com/office/excel/2006/main">
          <x14:cfRule type="dataBar" id="{91C11B56-9A57-104F-BF70-ADB2EAA2CD4A}">
            <x14:dataBar minLength="0" maxLength="100" axisPosition="none">
              <x14:cfvo type="num">
                <xm:f>0</xm:f>
              </x14:cfvo>
              <x14:cfvo type="num">
                <xm:f>1</xm:f>
              </x14:cfvo>
              <x14:negativeFillColor theme="0"/>
            </x14:dataBar>
          </x14:cfRule>
          <xm:sqref>D107:F107</xm:sqref>
        </x14:conditionalFormatting>
        <x14:conditionalFormatting xmlns:xm="http://schemas.microsoft.com/office/excel/2006/main">
          <x14:cfRule type="dataBar" id="{AC458F12-5687-604B-AE9C-A0C329DF073E}">
            <x14:dataBar minLength="0" maxLength="100" axisPosition="none">
              <x14:cfvo type="num">
                <xm:f>0</xm:f>
              </x14:cfvo>
              <x14:cfvo type="num">
                <xm:f>1</xm:f>
              </x14:cfvo>
              <x14:negativeFillColor theme="0"/>
            </x14:dataBar>
          </x14:cfRule>
          <xm:sqref>D108:F108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54"/>
  <sheetViews>
    <sheetView topLeftCell="B4" zoomScaleNormal="100" workbookViewId="0">
      <selection activeCell="F20" sqref="F20"/>
    </sheetView>
  </sheetViews>
  <sheetFormatPr baseColWidth="10" defaultColWidth="8.83203125" defaultRowHeight="14" x14ac:dyDescent="0.15"/>
  <cols>
    <col min="1" max="1" width="16.83203125" style="22" hidden="1" customWidth="1"/>
    <col min="2" max="2" width="13.5" style="103" customWidth="1"/>
    <col min="3" max="3" width="7.33203125" style="103" customWidth="1"/>
    <col min="4" max="4" width="68" style="132" customWidth="1"/>
    <col min="5" max="5" width="5.1640625" style="147" hidden="1" customWidth="1"/>
    <col min="6" max="6" width="39" style="26" customWidth="1"/>
    <col min="7" max="7" width="8.6640625" style="22" hidden="1" customWidth="1"/>
    <col min="8" max="8" width="8.6640625" style="116" hidden="1" customWidth="1"/>
    <col min="9" max="9" width="15" style="12" customWidth="1"/>
    <col min="10" max="10" width="36.6640625" customWidth="1"/>
    <col min="11" max="11" width="7" hidden="1" customWidth="1"/>
    <col min="12" max="12" width="9.1640625" hidden="1" customWidth="1"/>
    <col min="13" max="13" width="16.5" customWidth="1"/>
    <col min="14" max="14" width="49.83203125" customWidth="1"/>
    <col min="15" max="15" width="28.6640625" hidden="1" customWidth="1"/>
    <col min="16" max="16" width="15" hidden="1" customWidth="1"/>
    <col min="17" max="17" width="15" customWidth="1"/>
    <col min="18" max="18" width="36.1640625" customWidth="1"/>
    <col min="19" max="20" width="15" hidden="1" customWidth="1"/>
    <col min="21" max="21" width="15" customWidth="1"/>
    <col min="22" max="22" width="49" customWidth="1"/>
    <col min="23" max="24" width="15" hidden="1" customWidth="1"/>
    <col min="25" max="25" width="15" customWidth="1"/>
  </cols>
  <sheetData>
    <row r="1" spans="1:25" ht="18" x14ac:dyDescent="0.2">
      <c r="A1"/>
      <c r="B1" s="239" t="str">
        <f>CONCATENATE("SAMM Assessment Interview: ",D11," For ",D10)</f>
        <v>SAMM Assessment Interview:  For COMPANY</v>
      </c>
      <c r="C1" s="201"/>
      <c r="D1" s="210"/>
      <c r="E1" s="210"/>
      <c r="F1" s="210"/>
      <c r="G1" s="210"/>
      <c r="H1" s="210"/>
      <c r="I1" s="10"/>
      <c r="J1" s="1"/>
      <c r="K1" s="1"/>
      <c r="L1" s="1"/>
      <c r="M1" s="1"/>
      <c r="N1" s="1"/>
      <c r="O1" s="1"/>
      <c r="P1" s="1"/>
      <c r="Q1" s="1"/>
      <c r="R1" s="1"/>
      <c r="S1" s="1"/>
      <c r="T1" s="1"/>
      <c r="U1" s="1"/>
      <c r="V1" s="1"/>
      <c r="W1" s="1"/>
      <c r="X1" s="1"/>
      <c r="Y1" s="1"/>
    </row>
    <row r="2" spans="1:25" ht="15" thickBot="1" x14ac:dyDescent="0.2">
      <c r="A2"/>
      <c r="B2" s="240"/>
      <c r="C2" s="121"/>
      <c r="D2" s="1"/>
      <c r="E2" s="19"/>
      <c r="F2" s="23"/>
      <c r="G2" s="19"/>
      <c r="H2" s="105"/>
      <c r="I2" s="10"/>
      <c r="J2" s="1"/>
      <c r="K2" s="1"/>
      <c r="L2" s="1"/>
      <c r="M2" s="1"/>
      <c r="N2" s="1"/>
      <c r="O2" s="1"/>
      <c r="P2" s="1"/>
      <c r="Q2" s="1"/>
      <c r="R2" s="1"/>
      <c r="S2" s="1"/>
      <c r="T2" s="1"/>
      <c r="U2" s="1"/>
      <c r="V2" s="1"/>
      <c r="W2" s="1"/>
      <c r="X2" s="1"/>
      <c r="Y2" s="1"/>
    </row>
    <row r="3" spans="1:25" x14ac:dyDescent="0.15">
      <c r="A3"/>
      <c r="B3" s="241" t="s">
        <v>11</v>
      </c>
      <c r="C3" s="216"/>
      <c r="D3" s="211"/>
      <c r="E3" s="211"/>
      <c r="F3" s="211"/>
      <c r="G3" s="211"/>
      <c r="H3" s="211"/>
      <c r="I3" s="10"/>
      <c r="J3" s="1"/>
      <c r="K3" s="1"/>
      <c r="L3" s="1"/>
      <c r="M3" s="1"/>
      <c r="N3" s="1"/>
      <c r="O3" s="1"/>
      <c r="P3" s="1"/>
      <c r="Q3" s="1"/>
      <c r="R3" s="1"/>
      <c r="S3" s="1"/>
      <c r="T3" s="1"/>
      <c r="U3" s="1"/>
      <c r="V3" s="1"/>
      <c r="W3" s="1"/>
      <c r="X3" s="1"/>
      <c r="Y3" s="1"/>
    </row>
    <row r="4" spans="1:25" x14ac:dyDescent="0.15">
      <c r="A4"/>
      <c r="B4" s="242" t="s">
        <v>12</v>
      </c>
      <c r="C4" s="217"/>
      <c r="D4" s="191"/>
      <c r="E4" s="191"/>
      <c r="F4" s="191"/>
      <c r="G4" s="191"/>
      <c r="H4" s="191"/>
      <c r="I4" s="10"/>
      <c r="J4" s="1"/>
      <c r="K4" s="1"/>
      <c r="L4" s="1"/>
      <c r="M4" s="1"/>
      <c r="N4" s="1"/>
      <c r="O4" s="1"/>
      <c r="P4" s="1"/>
      <c r="Q4" s="1"/>
      <c r="R4" s="1"/>
      <c r="S4" s="1"/>
      <c r="T4" s="1"/>
      <c r="U4" s="1"/>
      <c r="V4" s="1"/>
      <c r="W4" s="1"/>
      <c r="X4" s="1"/>
      <c r="Y4" s="1"/>
    </row>
    <row r="5" spans="1:25" x14ac:dyDescent="0.15">
      <c r="A5"/>
      <c r="B5" s="243" t="s">
        <v>96</v>
      </c>
      <c r="C5" s="218"/>
      <c r="D5" s="192"/>
      <c r="E5" s="192"/>
      <c r="F5" s="192"/>
      <c r="G5" s="192"/>
      <c r="H5" s="192"/>
      <c r="I5" s="10"/>
      <c r="J5" s="1"/>
      <c r="K5" s="1"/>
      <c r="L5" s="1"/>
      <c r="M5" s="1"/>
      <c r="N5" s="1"/>
      <c r="O5" s="1"/>
      <c r="P5" s="1"/>
      <c r="Q5" s="1"/>
      <c r="R5" s="1"/>
      <c r="S5" s="1"/>
      <c r="T5" s="1"/>
      <c r="U5" s="1"/>
      <c r="V5" s="1"/>
      <c r="W5" s="1"/>
      <c r="X5" s="1"/>
      <c r="Y5" s="1"/>
    </row>
    <row r="6" spans="1:25" x14ac:dyDescent="0.15">
      <c r="A6"/>
      <c r="B6" s="243" t="s">
        <v>13</v>
      </c>
      <c r="C6" s="218"/>
      <c r="D6" s="192"/>
      <c r="E6" s="192"/>
      <c r="F6" s="192"/>
      <c r="G6" s="192"/>
      <c r="H6" s="192"/>
      <c r="I6" s="10"/>
      <c r="J6" s="1"/>
      <c r="K6" s="1"/>
      <c r="L6" s="1"/>
      <c r="M6" s="1"/>
      <c r="N6" s="1"/>
      <c r="O6" s="1"/>
      <c r="P6" s="1"/>
      <c r="Q6" s="1"/>
      <c r="R6" s="1"/>
      <c r="S6" s="1"/>
      <c r="T6" s="1"/>
      <c r="U6" s="1"/>
      <c r="V6" s="1"/>
      <c r="W6" s="1"/>
      <c r="X6" s="1"/>
      <c r="Y6" s="1"/>
    </row>
    <row r="7" spans="1:25" x14ac:dyDescent="0.15">
      <c r="A7"/>
      <c r="B7" s="243" t="s">
        <v>97</v>
      </c>
      <c r="C7" s="218"/>
      <c r="D7" s="192"/>
      <c r="E7" s="192"/>
      <c r="F7" s="192"/>
      <c r="G7" s="192"/>
      <c r="H7" s="192"/>
      <c r="I7" s="10"/>
      <c r="J7" s="1"/>
      <c r="K7" s="1"/>
      <c r="L7" s="1"/>
      <c r="M7" s="1"/>
      <c r="N7" s="1"/>
      <c r="O7" s="1"/>
      <c r="P7" s="1"/>
      <c r="Q7" s="1"/>
      <c r="R7" s="1"/>
      <c r="S7" s="1"/>
      <c r="T7" s="1"/>
      <c r="U7" s="1"/>
      <c r="V7" s="1"/>
      <c r="W7" s="1"/>
      <c r="X7" s="1"/>
      <c r="Y7" s="1"/>
    </row>
    <row r="8" spans="1:25" ht="15" thickBot="1" x14ac:dyDescent="0.2">
      <c r="A8"/>
      <c r="B8" s="244" t="s">
        <v>14</v>
      </c>
      <c r="C8" s="219"/>
      <c r="D8" s="193"/>
      <c r="E8" s="193"/>
      <c r="F8" s="193"/>
      <c r="G8" s="193"/>
      <c r="H8" s="193"/>
      <c r="I8" s="10"/>
      <c r="J8" s="1"/>
      <c r="K8" s="1"/>
      <c r="L8" s="1"/>
      <c r="M8" s="1"/>
      <c r="N8" s="1"/>
      <c r="O8" s="1"/>
      <c r="P8" s="1"/>
      <c r="Q8" s="1"/>
      <c r="R8" s="1"/>
      <c r="S8" s="1"/>
      <c r="T8" s="1"/>
      <c r="U8" s="1"/>
      <c r="V8" s="1"/>
      <c r="W8" s="1"/>
      <c r="X8" s="1"/>
      <c r="Y8" s="1"/>
    </row>
    <row r="9" spans="1:25" ht="15" thickBot="1" x14ac:dyDescent="0.2">
      <c r="A9"/>
      <c r="B9" s="240"/>
      <c r="C9" s="121"/>
      <c r="D9" s="1"/>
      <c r="E9" s="19"/>
      <c r="F9" s="23"/>
      <c r="G9" s="19"/>
      <c r="H9" s="105"/>
      <c r="I9" s="10"/>
      <c r="J9" s="1"/>
      <c r="K9" s="1"/>
      <c r="L9" s="1"/>
      <c r="M9" s="1"/>
      <c r="N9" s="1"/>
      <c r="O9" s="1"/>
      <c r="P9" s="1"/>
      <c r="Q9" s="1"/>
      <c r="R9" s="1"/>
      <c r="S9" s="1"/>
      <c r="T9" s="1"/>
      <c r="U9" s="1"/>
      <c r="V9" s="1"/>
      <c r="W9" s="1"/>
      <c r="X9" s="1"/>
      <c r="Y9" s="1"/>
    </row>
    <row r="10" spans="1:25" ht="15" thickBot="1" x14ac:dyDescent="0.2">
      <c r="A10"/>
      <c r="B10" s="245" t="s">
        <v>15</v>
      </c>
      <c r="C10" s="271"/>
      <c r="D10" s="202" t="str">
        <f>IF(ISBLANK(Interview!D10),"",Interview!D10)</f>
        <v>COMPANY</v>
      </c>
      <c r="E10" s="19"/>
      <c r="F10" s="23"/>
      <c r="G10" s="19"/>
      <c r="H10" s="105"/>
      <c r="I10" s="10"/>
      <c r="J10" s="1"/>
      <c r="K10" s="1"/>
      <c r="L10" s="1"/>
      <c r="M10" s="1"/>
      <c r="N10" s="1"/>
      <c r="O10" s="1"/>
      <c r="P10" s="1"/>
      <c r="Q10" s="1"/>
      <c r="R10" s="1"/>
      <c r="S10" s="1"/>
      <c r="T10" s="1"/>
      <c r="U10" s="1"/>
      <c r="V10" s="1"/>
      <c r="W10" s="1"/>
      <c r="X10" s="1"/>
      <c r="Y10" s="1"/>
    </row>
    <row r="11" spans="1:25" ht="15" thickBot="1" x14ac:dyDescent="0.2">
      <c r="A11"/>
      <c r="B11" s="246" t="s">
        <v>310</v>
      </c>
      <c r="C11" s="272"/>
      <c r="D11" s="202" t="str">
        <f>IF(ISBLANK(Interview!D11),"",Interview!D11)</f>
        <v/>
      </c>
      <c r="E11" s="19"/>
      <c r="F11" s="23"/>
      <c r="G11" s="19"/>
      <c r="H11" s="105"/>
      <c r="I11" s="10"/>
      <c r="J11" s="1"/>
      <c r="K11" s="1"/>
      <c r="L11" s="1"/>
      <c r="M11" s="1"/>
      <c r="N11" s="1"/>
      <c r="O11" s="1"/>
      <c r="P11" s="1"/>
      <c r="Q11" s="1"/>
      <c r="R11" s="1"/>
      <c r="S11" s="1"/>
      <c r="T11" s="1"/>
      <c r="U11" s="1"/>
      <c r="V11" s="1"/>
      <c r="W11" s="1"/>
      <c r="X11" s="1"/>
      <c r="Y11" s="1"/>
    </row>
    <row r="12" spans="1:25" ht="15" thickBot="1" x14ac:dyDescent="0.2">
      <c r="A12"/>
      <c r="B12" s="246" t="s">
        <v>16</v>
      </c>
      <c r="C12" s="272"/>
      <c r="D12" s="203" t="str">
        <f>IF(ISBLANK(Interview!D12),"",Interview!D12)</f>
        <v/>
      </c>
      <c r="E12" s="143"/>
      <c r="F12" s="23"/>
      <c r="G12" s="19"/>
      <c r="H12" s="105"/>
      <c r="I12" s="10"/>
      <c r="J12" s="1"/>
      <c r="K12" s="1"/>
      <c r="L12" s="1"/>
      <c r="M12" s="1"/>
      <c r="N12" s="1"/>
      <c r="O12" s="1"/>
      <c r="P12" s="1"/>
      <c r="Q12" s="1"/>
      <c r="R12" s="1"/>
      <c r="S12" s="1"/>
      <c r="T12" s="1"/>
      <c r="U12" s="1"/>
      <c r="V12" s="1"/>
      <c r="W12" s="1"/>
      <c r="X12" s="1"/>
      <c r="Y12" s="1"/>
    </row>
    <row r="13" spans="1:25" ht="15" thickBot="1" x14ac:dyDescent="0.2">
      <c r="A13"/>
      <c r="B13" s="246" t="s">
        <v>311</v>
      </c>
      <c r="C13" s="273"/>
      <c r="D13" s="202" t="str">
        <f>IF(ISBLANK(Interview!D13),"",Interview!D13)</f>
        <v/>
      </c>
      <c r="E13" s="19"/>
      <c r="F13" s="23"/>
      <c r="G13" s="19"/>
      <c r="H13" s="105"/>
      <c r="I13" s="10"/>
      <c r="J13" s="1"/>
      <c r="K13" s="1"/>
      <c r="L13" s="1"/>
      <c r="M13" s="1"/>
      <c r="N13" s="1"/>
      <c r="O13" s="1"/>
      <c r="P13" s="1"/>
      <c r="Q13" s="1"/>
      <c r="R13" s="1"/>
      <c r="S13" s="1"/>
      <c r="T13" s="1"/>
      <c r="U13" s="1"/>
      <c r="V13" s="1"/>
      <c r="W13" s="1"/>
      <c r="X13" s="1"/>
      <c r="Y13" s="1"/>
    </row>
    <row r="14" spans="1:25" ht="24" thickBot="1" x14ac:dyDescent="0.3">
      <c r="A14" s="168" t="str">
        <f>IF(A15=A16,"OK","Problem")</f>
        <v>OK</v>
      </c>
      <c r="B14" s="247" t="s">
        <v>8</v>
      </c>
      <c r="C14" s="270"/>
      <c r="D14" s="274" t="str">
        <f>IF(ISBLANK(Interview!D14),"",Interview!D14)</f>
        <v>8941cb9ef8174579ce6aade045499fd0</v>
      </c>
      <c r="E14" s="19"/>
      <c r="F14" s="23"/>
      <c r="G14" s="19"/>
      <c r="H14" s="105"/>
      <c r="I14" s="10"/>
      <c r="J14" s="1"/>
      <c r="K14" s="1"/>
      <c r="L14" s="1"/>
      <c r="M14" s="1"/>
      <c r="N14" s="1"/>
      <c r="O14" s="1"/>
      <c r="P14" s="1"/>
      <c r="Q14" s="1"/>
      <c r="R14" s="1"/>
      <c r="S14" s="1"/>
      <c r="T14" s="1"/>
      <c r="U14" s="1"/>
      <c r="V14" s="1"/>
      <c r="W14" s="1"/>
      <c r="X14" s="1"/>
      <c r="Y14" s="1"/>
    </row>
    <row r="15" spans="1:25" x14ac:dyDescent="0.15">
      <c r="A15">
        <f>COUNTA('imp-questions'!A2:A300)</f>
        <v>90</v>
      </c>
      <c r="B15" s="121"/>
      <c r="C15" s="121"/>
      <c r="D15" s="1"/>
      <c r="E15" s="19"/>
      <c r="F15" s="23"/>
      <c r="G15" s="19"/>
      <c r="H15" s="105"/>
      <c r="I15" s="10"/>
      <c r="J15" s="1"/>
      <c r="K15" s="1"/>
      <c r="L15" s="1"/>
      <c r="M15" s="1"/>
      <c r="N15" s="1"/>
      <c r="O15" s="1"/>
      <c r="P15" s="1"/>
      <c r="Q15" s="1"/>
      <c r="R15" s="1"/>
      <c r="S15" s="1"/>
      <c r="T15" s="1"/>
      <c r="U15" s="1"/>
      <c r="V15" s="1"/>
      <c r="W15" s="1"/>
      <c r="X15" s="1"/>
      <c r="Y15" s="1"/>
    </row>
    <row r="16" spans="1:25" x14ac:dyDescent="0.15">
      <c r="A16">
        <f>COUNTA(A18:A175)</f>
        <v>90</v>
      </c>
      <c r="B16" s="263" t="s">
        <v>17</v>
      </c>
      <c r="C16" s="263"/>
      <c r="D16" s="264"/>
      <c r="E16" s="264"/>
      <c r="F16" s="646" t="s">
        <v>55</v>
      </c>
      <c r="G16" s="647"/>
      <c r="H16" s="647"/>
      <c r="I16" s="648"/>
      <c r="J16" s="646" t="s">
        <v>314</v>
      </c>
      <c r="K16" s="647"/>
      <c r="L16" s="647"/>
      <c r="M16" s="648"/>
      <c r="N16" s="646" t="s">
        <v>315</v>
      </c>
      <c r="O16" s="647"/>
      <c r="P16" s="647"/>
      <c r="Q16" s="648"/>
      <c r="R16" s="646" t="s">
        <v>316</v>
      </c>
      <c r="S16" s="647"/>
      <c r="T16" s="647"/>
      <c r="U16" s="648"/>
      <c r="V16" s="646" t="s">
        <v>317</v>
      </c>
      <c r="W16" s="647"/>
      <c r="X16" s="647"/>
      <c r="Y16" s="648"/>
    </row>
    <row r="17" spans="1:25" x14ac:dyDescent="0.15">
      <c r="B17" s="232" t="s">
        <v>312</v>
      </c>
      <c r="C17" s="220" t="s">
        <v>313</v>
      </c>
      <c r="D17" s="177" t="s">
        <v>18</v>
      </c>
      <c r="E17" s="136"/>
      <c r="F17" s="255" t="s">
        <v>31</v>
      </c>
      <c r="G17" s="62"/>
      <c r="H17" s="106"/>
      <c r="I17" s="212" t="s">
        <v>29</v>
      </c>
      <c r="J17" s="62" t="s">
        <v>31</v>
      </c>
      <c r="K17" s="62"/>
      <c r="L17" s="106"/>
      <c r="M17" s="212" t="s">
        <v>29</v>
      </c>
      <c r="N17" s="62" t="s">
        <v>31</v>
      </c>
      <c r="O17" s="62"/>
      <c r="P17" s="106"/>
      <c r="Q17" s="212" t="s">
        <v>29</v>
      </c>
      <c r="R17" s="62" t="s">
        <v>31</v>
      </c>
      <c r="S17" s="62"/>
      <c r="T17" s="106"/>
      <c r="U17" s="212" t="s">
        <v>29</v>
      </c>
      <c r="V17" s="62" t="s">
        <v>31</v>
      </c>
      <c r="W17" s="62"/>
      <c r="X17" s="106"/>
      <c r="Y17" s="212" t="s">
        <v>29</v>
      </c>
    </row>
    <row r="18" spans="1:25" x14ac:dyDescent="0.15">
      <c r="A18" s="142" t="str">
        <f>Interview!A18</f>
        <v>G-SM-A-1-1</v>
      </c>
      <c r="B18" s="649" t="str">
        <f>VLOOKUP(A18,'imp-questions'!A:H,4,FALSE)</f>
        <v>Create and Promote</v>
      </c>
      <c r="C18" s="221">
        <f>VLOOKUP(A18,'imp-questions'!A:H,5,FALSE)</f>
        <v>1</v>
      </c>
      <c r="D18" s="176" t="str">
        <f>VLOOKUP(A18,'imp-questions'!A:H,6,FALSE)</f>
        <v>Do you understand the enterprise-wide risk appetite for your applications ?</v>
      </c>
      <c r="E18" s="144" t="str">
        <f>CHAR(65+VLOOKUP(A18,'imp-questions'!A:H,8,FALSE))</f>
        <v>Y</v>
      </c>
      <c r="F18" s="256" t="str">
        <f>Interview!F18</f>
        <v>No</v>
      </c>
      <c r="G18" s="152">
        <f>IFERROR(VLOOKUP(F18,AnsYTBL,2,FALSE),0)</f>
        <v>0</v>
      </c>
      <c r="H18" s="94">
        <f>IFERROR(AVERAGE(G18,G22),0)</f>
        <v>0</v>
      </c>
      <c r="I18" s="599">
        <f>SUM(H18,H19,H20)</f>
        <v>0.125</v>
      </c>
      <c r="J18" s="262" t="str">
        <f>F18</f>
        <v>No</v>
      </c>
      <c r="K18" s="152">
        <f>IFERROR(VLOOKUP(J18,AnsYTBL,2,FALSE),0)</f>
        <v>0</v>
      </c>
      <c r="L18" s="94">
        <f>IFERROR(AVERAGE(K18,K22),0)</f>
        <v>0</v>
      </c>
      <c r="M18" s="599">
        <f>SUM(L18,L19,L20)</f>
        <v>0.125</v>
      </c>
      <c r="N18" s="262" t="str">
        <f>J18</f>
        <v>No</v>
      </c>
      <c r="O18" s="152">
        <f>IFERROR(VLOOKUP(N18,AnsYTBL,2,FALSE),0)</f>
        <v>0</v>
      </c>
      <c r="P18" s="94">
        <f>IFERROR(AVERAGE(O18,O22),0)</f>
        <v>0</v>
      </c>
      <c r="Q18" s="599">
        <f>SUM(P18,P19,P20)</f>
        <v>0.125</v>
      </c>
      <c r="R18" s="262" t="str">
        <f>N18</f>
        <v>No</v>
      </c>
      <c r="S18" s="152">
        <f>IFERROR(VLOOKUP(R18,AnsYTBL,2,FALSE),0)</f>
        <v>0</v>
      </c>
      <c r="T18" s="94">
        <f>IFERROR(AVERAGE(S18,S22),0)</f>
        <v>0</v>
      </c>
      <c r="U18" s="599">
        <f>SUM(T18,T19,T20)</f>
        <v>0.125</v>
      </c>
      <c r="V18" s="262" t="str">
        <f>R18</f>
        <v>No</v>
      </c>
      <c r="W18" s="152">
        <f>IFERROR(VLOOKUP(V18,AnsYTBL,2,FALSE),0)</f>
        <v>0</v>
      </c>
      <c r="X18" s="94">
        <f>IFERROR(AVERAGE(W18,W22),0)</f>
        <v>0</v>
      </c>
      <c r="Y18" s="599">
        <f>SUM(X18,X19,X20)</f>
        <v>0.125</v>
      </c>
    </row>
    <row r="19" spans="1:25" ht="28" x14ac:dyDescent="0.15">
      <c r="A19" s="142" t="str">
        <f>Interview!A20</f>
        <v>G-SM-A-2-1</v>
      </c>
      <c r="B19" s="650"/>
      <c r="C19" s="221">
        <f>VLOOKUP(A19,'imp-questions'!A:H,5,FALSE)</f>
        <v>2</v>
      </c>
      <c r="D19" s="176" t="str">
        <f>VLOOKUP(A19,'imp-questions'!A:H,6,FALSE)</f>
        <v>Do you have a strategic plan for application security and use it to make decisions?</v>
      </c>
      <c r="E19" s="146" t="str">
        <f>CHAR(65+VLOOKUP(A19,'imp-questions'!A:H,8,FALSE))</f>
        <v>V</v>
      </c>
      <c r="F19" s="256" t="str">
        <f>Interview!F20</f>
        <v>No</v>
      </c>
      <c r="G19" s="152">
        <f>IFERROR(VLOOKUP(F19,AnsVTBL,2,FALSE),0)</f>
        <v>0</v>
      </c>
      <c r="H19" s="95">
        <f>IFERROR(AVERAGE(G19,G23),0)</f>
        <v>0</v>
      </c>
      <c r="I19" s="600"/>
      <c r="J19" s="262" t="str">
        <f>F19</f>
        <v>No</v>
      </c>
      <c r="K19" s="152">
        <f>IFERROR(VLOOKUP(J19,AnsVTBL,2,FALSE),0)</f>
        <v>0</v>
      </c>
      <c r="L19" s="95">
        <f>IFERROR(AVERAGE(K19,K23),0)</f>
        <v>0</v>
      </c>
      <c r="M19" s="600"/>
      <c r="N19" s="262" t="str">
        <f>J19</f>
        <v>No</v>
      </c>
      <c r="O19" s="152">
        <f>IFERROR(VLOOKUP(N19,AnsVTBL,2,FALSE),0)</f>
        <v>0</v>
      </c>
      <c r="P19" s="95">
        <f>IFERROR(AVERAGE(O19,O23),0)</f>
        <v>0</v>
      </c>
      <c r="Q19" s="600"/>
      <c r="R19" s="262" t="str">
        <f>N19</f>
        <v>No</v>
      </c>
      <c r="S19" s="152">
        <f>IFERROR(VLOOKUP(R19,AnsVTBL,2,FALSE),0)</f>
        <v>0</v>
      </c>
      <c r="T19" s="95">
        <f>IFERROR(AVERAGE(S19,S23),0)</f>
        <v>0</v>
      </c>
      <c r="U19" s="600"/>
      <c r="V19" s="262" t="str">
        <f>R19</f>
        <v>No</v>
      </c>
      <c r="W19" s="152">
        <f>IFERROR(VLOOKUP(V19,AnsVTBL,2,FALSE),0)</f>
        <v>0</v>
      </c>
      <c r="X19" s="95">
        <f>IFERROR(AVERAGE(W19,W23),0)</f>
        <v>0</v>
      </c>
      <c r="Y19" s="600"/>
    </row>
    <row r="20" spans="1:25" x14ac:dyDescent="0.15">
      <c r="A20" s="142" t="str">
        <f>Interview!A22</f>
        <v>G-SM-A-3-1</v>
      </c>
      <c r="B20" s="651"/>
      <c r="C20" s="221">
        <f>VLOOKUP(A20,'imp-questions'!A:H,5,FALSE)</f>
        <v>3</v>
      </c>
      <c r="D20" s="252" t="str">
        <f>VLOOKUP(A20,'imp-questions'!A:H,6,FALSE)</f>
        <v>Do you regularly review and update the Strategic Plan for Application Security?</v>
      </c>
      <c r="E20" s="146" t="str">
        <f>CHAR(65+VLOOKUP(A20,'imp-questions'!A:H,8,FALSE))</f>
        <v>N</v>
      </c>
      <c r="F20" s="173" t="s">
        <v>301</v>
      </c>
      <c r="G20" s="152">
        <f>IFERROR(VLOOKUP(F20,AnsNTBL,2,FALSE),0)</f>
        <v>0.25</v>
      </c>
      <c r="H20" s="95">
        <f>IFERROR(AVERAGE(G20,G24),0)</f>
        <v>0.125</v>
      </c>
      <c r="I20" s="600"/>
      <c r="J20" s="262" t="str">
        <f>F20</f>
        <v>Yes, but review is ad-hoc</v>
      </c>
      <c r="K20" s="152">
        <f>IFERROR(VLOOKUP(J20,AnsNTBL,2,FALSE),0)</f>
        <v>0.25</v>
      </c>
      <c r="L20" s="95">
        <f>IFERROR(AVERAGE(K20,K24),0)</f>
        <v>0.125</v>
      </c>
      <c r="M20" s="600"/>
      <c r="N20" s="262" t="str">
        <f>J20</f>
        <v>Yes, but review is ad-hoc</v>
      </c>
      <c r="O20" s="152">
        <f>IFERROR(VLOOKUP(N20,AnsNTBL,2,FALSE),0)</f>
        <v>0.25</v>
      </c>
      <c r="P20" s="95">
        <f>IFERROR(AVERAGE(O20,O24),0)</f>
        <v>0.125</v>
      </c>
      <c r="Q20" s="600"/>
      <c r="R20" s="262" t="str">
        <f>N20</f>
        <v>Yes, but review is ad-hoc</v>
      </c>
      <c r="S20" s="152">
        <f>IFERROR(VLOOKUP(R20,AnsNTBL,2,FALSE),0)</f>
        <v>0.25</v>
      </c>
      <c r="T20" s="95">
        <f>IFERROR(AVERAGE(S20,S24),0)</f>
        <v>0.125</v>
      </c>
      <c r="U20" s="600"/>
      <c r="V20" s="262" t="str">
        <f>R20</f>
        <v>Yes, but review is ad-hoc</v>
      </c>
      <c r="W20" s="152">
        <f>IFERROR(VLOOKUP(V20,AnsNTBL,2,FALSE),0)</f>
        <v>0.25</v>
      </c>
      <c r="X20" s="95">
        <f>IFERROR(AVERAGE(W20,W24),0)</f>
        <v>0.125</v>
      </c>
      <c r="Y20" s="600"/>
    </row>
    <row r="21" spans="1:25" ht="13" x14ac:dyDescent="0.15">
      <c r="A21" s="142"/>
      <c r="B21" s="233"/>
      <c r="C21" s="222"/>
      <c r="D21" s="204"/>
      <c r="E21" s="204"/>
      <c r="F21" s="204"/>
      <c r="G21" s="204"/>
      <c r="H21" s="204"/>
      <c r="I21" s="600"/>
      <c r="J21" s="204"/>
      <c r="K21" s="204"/>
      <c r="L21" s="204"/>
      <c r="M21" s="600"/>
      <c r="N21" s="204"/>
      <c r="O21" s="204"/>
      <c r="P21" s="204"/>
      <c r="Q21" s="600"/>
      <c r="R21" s="204"/>
      <c r="S21" s="204"/>
      <c r="T21" s="204"/>
      <c r="U21" s="600"/>
      <c r="V21" s="204"/>
      <c r="W21" s="204"/>
      <c r="X21" s="204"/>
      <c r="Y21" s="600"/>
    </row>
    <row r="22" spans="1:25" ht="28" x14ac:dyDescent="0.15">
      <c r="A22" s="142" t="str">
        <f>Interview!A25</f>
        <v>G-SM-B-1-1</v>
      </c>
      <c r="B22" s="649" t="str">
        <f>VLOOKUP(A22,'imp-questions'!A:H,4,FALSE)</f>
        <v>Measure and Improve</v>
      </c>
      <c r="C22" s="221">
        <f>VLOOKUP(A22,'imp-questions'!A:H,5,FALSE)</f>
        <v>1</v>
      </c>
      <c r="D22" s="176" t="str">
        <f>VLOOKUP(A22,'imp-questions'!A:H,6,FALSE)</f>
        <v>Do you use a set of metrics to measure the effectiveness and efficiency of the application security program across applications?</v>
      </c>
      <c r="E22" s="144" t="str">
        <f>CHAR(65+VLOOKUP(A22,'imp-questions'!A:H,8,FALSE))</f>
        <v>K</v>
      </c>
      <c r="F22" s="254">
        <f>Interview!F25</f>
        <v>0</v>
      </c>
      <c r="G22" s="152">
        <f>IFERROR(VLOOKUP(F22,AnsKTBL,2,FALSE),0)</f>
        <v>0</v>
      </c>
      <c r="H22" s="94"/>
      <c r="I22" s="600"/>
      <c r="J22" s="262">
        <f>F22</f>
        <v>0</v>
      </c>
      <c r="K22" s="152">
        <f>IFERROR(VLOOKUP(J22,AnsKTBL,2,FALSE),0)</f>
        <v>0</v>
      </c>
      <c r="L22" s="94"/>
      <c r="M22" s="600"/>
      <c r="N22" s="262">
        <f>J22</f>
        <v>0</v>
      </c>
      <c r="O22" s="152">
        <f>IFERROR(VLOOKUP(N22,AnsKTBL,2,FALSE),0)</f>
        <v>0</v>
      </c>
      <c r="P22" s="94"/>
      <c r="Q22" s="600"/>
      <c r="R22" s="262">
        <f>N22</f>
        <v>0</v>
      </c>
      <c r="S22" s="152">
        <f>IFERROR(VLOOKUP(R22,AnsKTBL,2,FALSE),0)</f>
        <v>0</v>
      </c>
      <c r="T22" s="94"/>
      <c r="U22" s="600"/>
      <c r="V22" s="262">
        <f>R22</f>
        <v>0</v>
      </c>
      <c r="W22" s="152">
        <f>IFERROR(VLOOKUP(V22,AnsKTBL,2,FALSE),0)</f>
        <v>0</v>
      </c>
      <c r="X22" s="94"/>
      <c r="Y22" s="600"/>
    </row>
    <row r="23" spans="1:25" ht="28" x14ac:dyDescent="0.15">
      <c r="A23" s="142" t="str">
        <f>Interview!A27</f>
        <v>G-SM-B-2-1</v>
      </c>
      <c r="B23" s="650"/>
      <c r="C23" s="221">
        <f>VLOOKUP(A23,'imp-questions'!A:H,5,FALSE)</f>
        <v>2</v>
      </c>
      <c r="D23" s="176" t="str">
        <f>VLOOKUP(A23,'imp-questions'!A:H,6,FALSE)</f>
        <v>Did you define Key Perfomance Indicators (KPI) from available application security metrics?</v>
      </c>
      <c r="E23" s="144" t="str">
        <f>CHAR(65+VLOOKUP(A23,'imp-questions'!A:H,8,FALSE))</f>
        <v>B</v>
      </c>
      <c r="F23" s="256">
        <f>Interview!F27</f>
        <v>0</v>
      </c>
      <c r="G23" s="152">
        <f>IFERROR(VLOOKUP(F23,AnsBTBL,2,FALSE),0)</f>
        <v>0</v>
      </c>
      <c r="H23" s="95"/>
      <c r="I23" s="600"/>
      <c r="J23" s="262">
        <f>F23</f>
        <v>0</v>
      </c>
      <c r="K23" s="152">
        <f>IFERROR(VLOOKUP(J23,AnsBTBL,2,FALSE),0)</f>
        <v>0</v>
      </c>
      <c r="L23" s="95"/>
      <c r="M23" s="600"/>
      <c r="N23" s="262">
        <f>J23</f>
        <v>0</v>
      </c>
      <c r="O23" s="152">
        <f>IFERROR(VLOOKUP(N23,AnsBTBL,2,FALSE),0)</f>
        <v>0</v>
      </c>
      <c r="P23" s="95"/>
      <c r="Q23" s="600"/>
      <c r="R23" s="262">
        <f>N23</f>
        <v>0</v>
      </c>
      <c r="S23" s="152">
        <f>IFERROR(VLOOKUP(R23,AnsBTBL,2,FALSE),0)</f>
        <v>0</v>
      </c>
      <c r="T23" s="95"/>
      <c r="U23" s="600"/>
      <c r="V23" s="262">
        <f>R23</f>
        <v>0</v>
      </c>
      <c r="W23" s="152">
        <f>IFERROR(VLOOKUP(V23,AnsBTBL,2,FALSE),0)</f>
        <v>0</v>
      </c>
      <c r="X23" s="95"/>
      <c r="Y23" s="600"/>
    </row>
    <row r="24" spans="1:25" ht="28" x14ac:dyDescent="0.15">
      <c r="A24" s="142" t="str">
        <f>Interview!A29</f>
        <v>G-SM-B-3-1</v>
      </c>
      <c r="B24" s="651"/>
      <c r="C24" s="221">
        <f>VLOOKUP(A24,'imp-questions'!A:H,5,FALSE)</f>
        <v>3</v>
      </c>
      <c r="D24" s="252" t="str">
        <f>VLOOKUP(A24,'imp-questions'!A:H,6,FALSE)</f>
        <v>Do you update the Application Security strategy and roadmap based on application security metrics and KPIs?</v>
      </c>
      <c r="E24" s="144" t="str">
        <f>CHAR(65+VLOOKUP(A24,'imp-questions'!A:H,8,FALSE))</f>
        <v>N</v>
      </c>
      <c r="F24" s="256">
        <f>Interview!F29</f>
        <v>0</v>
      </c>
      <c r="G24" s="152">
        <f>IFERROR(VLOOKUP(F24,AnsNTBL,2,FALSE),0)</f>
        <v>0</v>
      </c>
      <c r="H24" s="95"/>
      <c r="I24" s="601"/>
      <c r="J24" s="262">
        <f>F24</f>
        <v>0</v>
      </c>
      <c r="K24" s="152">
        <f>IFERROR(VLOOKUP(J24,AnsNTBL,2,FALSE),0)</f>
        <v>0</v>
      </c>
      <c r="L24" s="95"/>
      <c r="M24" s="601"/>
      <c r="N24" s="262">
        <f>J24</f>
        <v>0</v>
      </c>
      <c r="O24" s="152">
        <f>IFERROR(VLOOKUP(N24,AnsNTBL,2,FALSE),0)</f>
        <v>0</v>
      </c>
      <c r="P24" s="95"/>
      <c r="Q24" s="601"/>
      <c r="R24" s="262">
        <f>N24</f>
        <v>0</v>
      </c>
      <c r="S24" s="152">
        <f>IFERROR(VLOOKUP(R24,AnsNTBL,2,FALSE),0)</f>
        <v>0</v>
      </c>
      <c r="T24" s="95"/>
      <c r="U24" s="601"/>
      <c r="V24" s="262">
        <f>R24</f>
        <v>0</v>
      </c>
      <c r="W24" s="152">
        <f>IFERROR(VLOOKUP(V24,AnsNTBL,2,FALSE),0)</f>
        <v>0</v>
      </c>
      <c r="X24" s="95"/>
      <c r="Y24" s="601"/>
    </row>
    <row r="25" spans="1:25" ht="13" x14ac:dyDescent="0.15">
      <c r="A25" s="142"/>
      <c r="B25" s="233"/>
      <c r="C25" s="222"/>
      <c r="D25" s="204"/>
      <c r="E25" s="204"/>
      <c r="F25" s="204"/>
      <c r="G25" s="204"/>
      <c r="H25" s="204"/>
      <c r="I25" s="204"/>
      <c r="J25" s="204"/>
      <c r="K25" s="204"/>
      <c r="L25" s="204"/>
      <c r="M25" s="204"/>
      <c r="N25" s="204"/>
      <c r="O25" s="204"/>
      <c r="P25" s="204"/>
      <c r="Q25" s="204"/>
      <c r="R25" s="204"/>
      <c r="S25" s="204"/>
      <c r="T25" s="204"/>
      <c r="U25" s="204"/>
      <c r="V25" s="204"/>
      <c r="W25" s="204"/>
      <c r="X25" s="204"/>
      <c r="Y25" s="204"/>
    </row>
    <row r="26" spans="1:25" x14ac:dyDescent="0.15">
      <c r="A26" s="142"/>
      <c r="B26" s="232" t="s">
        <v>312</v>
      </c>
      <c r="C26" s="220" t="s">
        <v>313</v>
      </c>
      <c r="D26" s="189" t="s">
        <v>19</v>
      </c>
      <c r="E26" s="190"/>
      <c r="F26" s="64" t="s">
        <v>31</v>
      </c>
      <c r="G26" s="64"/>
      <c r="H26" s="109"/>
      <c r="I26" s="212" t="s">
        <v>29</v>
      </c>
      <c r="J26" s="64" t="s">
        <v>31</v>
      </c>
      <c r="K26" s="64"/>
      <c r="L26" s="109"/>
      <c r="M26" s="212" t="s">
        <v>29</v>
      </c>
      <c r="N26" s="64" t="s">
        <v>31</v>
      </c>
      <c r="O26" s="64"/>
      <c r="P26" s="109"/>
      <c r="Q26" s="212" t="s">
        <v>29</v>
      </c>
      <c r="R26" s="64" t="s">
        <v>31</v>
      </c>
      <c r="S26" s="64"/>
      <c r="T26" s="109"/>
      <c r="U26" s="212" t="s">
        <v>29</v>
      </c>
      <c r="V26" s="64" t="s">
        <v>31</v>
      </c>
      <c r="W26" s="64"/>
      <c r="X26" s="109"/>
      <c r="Y26" s="212" t="s">
        <v>29</v>
      </c>
    </row>
    <row r="27" spans="1:25" ht="28" x14ac:dyDescent="0.15">
      <c r="A27" s="142" t="str">
        <f>Interview!A32</f>
        <v>G-PC-A-1-1</v>
      </c>
      <c r="B27" s="649" t="str">
        <f>VLOOKUP(A27,'imp-questions'!A:H,4,FALSE)</f>
        <v>Policy &amp; Standards</v>
      </c>
      <c r="C27" s="221">
        <f>VLOOKUP(A27,'imp-questions'!A:H,5,FALSE)</f>
        <v>1</v>
      </c>
      <c r="D27" s="176" t="str">
        <f>VLOOKUP(A27,'imp-questions'!A:H,6,FALSE)</f>
        <v>Do you have and apply a common set of policies and standards throughout your organization?</v>
      </c>
      <c r="E27" s="144" t="str">
        <f>CHAR(65+VLOOKUP(A27,'imp-questions'!A:H,8,FALSE))</f>
        <v>F</v>
      </c>
      <c r="F27" s="5" t="str">
        <f>Interview!F32</f>
        <v>Yes, for most or all of the applications</v>
      </c>
      <c r="G27" s="152">
        <f>IFERROR(VLOOKUP(F27,AnsFTBL,2,FALSE),0)</f>
        <v>1</v>
      </c>
      <c r="H27" s="260">
        <f>IFERROR(AVERAGE(G27,G31),0)</f>
        <v>0.5</v>
      </c>
      <c r="I27" s="602">
        <f>SUM(H27,H28,H29)</f>
        <v>0.5</v>
      </c>
      <c r="J27" s="262" t="str">
        <f>F27</f>
        <v>Yes, for most or all of the applications</v>
      </c>
      <c r="K27" s="152">
        <f>IFERROR(VLOOKUP(J27,AnsFTBL,2,FALSE),0)</f>
        <v>1</v>
      </c>
      <c r="L27" s="260">
        <f>IFERROR(AVERAGE(K27,K31),0)</f>
        <v>0.5</v>
      </c>
      <c r="M27" s="602">
        <f>SUM(L27,L28,L29)</f>
        <v>0.5</v>
      </c>
      <c r="N27" s="262" t="str">
        <f>J27</f>
        <v>Yes, for most or all of the applications</v>
      </c>
      <c r="O27" s="152">
        <f>IFERROR(VLOOKUP(N27,AnsFTBL,2,FALSE),0)</f>
        <v>1</v>
      </c>
      <c r="P27" s="260">
        <f>IFERROR(AVERAGE(O27,O31),0)</f>
        <v>0.5</v>
      </c>
      <c r="Q27" s="602">
        <f>SUM(P27,P28,P29)</f>
        <v>0.5</v>
      </c>
      <c r="R27" s="262" t="str">
        <f>N27</f>
        <v>Yes, for most or all of the applications</v>
      </c>
      <c r="S27" s="152">
        <f>IFERROR(VLOOKUP(R27,AnsFTBL,2,FALSE),0)</f>
        <v>1</v>
      </c>
      <c r="T27" s="260">
        <f>IFERROR(AVERAGE(S27,S31),0)</f>
        <v>0.5</v>
      </c>
      <c r="U27" s="602">
        <f>SUM(T27,T28,T29)</f>
        <v>0.5</v>
      </c>
      <c r="V27" s="262" t="str">
        <f>R27</f>
        <v>Yes, for most or all of the applications</v>
      </c>
      <c r="W27" s="152">
        <f>IFERROR(VLOOKUP(V27,AnsFTBL,2,FALSE),0)</f>
        <v>1</v>
      </c>
      <c r="X27" s="260">
        <f>IFERROR(AVERAGE(W27,W31),0)</f>
        <v>0.5</v>
      </c>
      <c r="Y27" s="602">
        <f>SUM(X27,X28,X29)</f>
        <v>0.5</v>
      </c>
    </row>
    <row r="28" spans="1:25" ht="28" x14ac:dyDescent="0.15">
      <c r="A28" s="142" t="str">
        <f>Interview!A34</f>
        <v>G-PC-A-2-1</v>
      </c>
      <c r="B28" s="650"/>
      <c r="C28" s="221">
        <f>VLOOKUP(A28,'imp-questions'!A:H,5,FALSE)</f>
        <v>2</v>
      </c>
      <c r="D28" s="176" t="str">
        <f>VLOOKUP(A28,'imp-questions'!A:H,6,FALSE)</f>
        <v>Do you publish the organization's policies as test scripts or run-books for easy interpretation by development teams?</v>
      </c>
      <c r="E28" s="144" t="str">
        <f>CHAR(65+VLOOKUP(A28,'imp-questions'!A:H,8,FALSE))</f>
        <v>A</v>
      </c>
      <c r="F28" s="5">
        <f>Interview!F34</f>
        <v>0</v>
      </c>
      <c r="G28" s="152">
        <f>IFERROR(VLOOKUP(F28,AnsATBL,2,FALSE),0)</f>
        <v>0</v>
      </c>
      <c r="H28" s="122">
        <f>IFERROR(AVERAGE(G28,G32),0)</f>
        <v>0</v>
      </c>
      <c r="I28" s="603"/>
      <c r="J28" s="262">
        <f>F28</f>
        <v>0</v>
      </c>
      <c r="K28" s="152">
        <f>IFERROR(VLOOKUP(J28,AnsATBL,2,FALSE),0)</f>
        <v>0</v>
      </c>
      <c r="L28" s="122">
        <f>IFERROR(AVERAGE(K28,K32),0)</f>
        <v>0</v>
      </c>
      <c r="M28" s="603"/>
      <c r="N28" s="262">
        <f>J28</f>
        <v>0</v>
      </c>
      <c r="O28" s="152">
        <f>IFERROR(VLOOKUP(N28,AnsATBL,2,FALSE),0)</f>
        <v>0</v>
      </c>
      <c r="P28" s="122">
        <f>IFERROR(AVERAGE(O28,O32),0)</f>
        <v>0</v>
      </c>
      <c r="Q28" s="603"/>
      <c r="R28" s="262">
        <f>N28</f>
        <v>0</v>
      </c>
      <c r="S28" s="152">
        <f>IFERROR(VLOOKUP(R28,AnsATBL,2,FALSE),0)</f>
        <v>0</v>
      </c>
      <c r="T28" s="122">
        <f>IFERROR(AVERAGE(S28,S32),0)</f>
        <v>0</v>
      </c>
      <c r="U28" s="603"/>
      <c r="V28" s="262">
        <f>R28</f>
        <v>0</v>
      </c>
      <c r="W28" s="152">
        <f>IFERROR(VLOOKUP(V28,AnsATBL,2,FALSE),0)</f>
        <v>0</v>
      </c>
      <c r="X28" s="122">
        <f>IFERROR(AVERAGE(W28,W32),0)</f>
        <v>0</v>
      </c>
      <c r="Y28" s="603"/>
    </row>
    <row r="29" spans="1:25" ht="28" x14ac:dyDescent="0.15">
      <c r="A29" s="142" t="str">
        <f>Interview!A36</f>
        <v>G-PC-A-3-1</v>
      </c>
      <c r="B29" s="652"/>
      <c r="C29" s="221">
        <f>VLOOKUP(A29,'imp-questions'!A:H,5,FALSE)</f>
        <v>3</v>
      </c>
      <c r="D29" s="176" t="str">
        <f>VLOOKUP(A29,'imp-questions'!A:H,6,FALSE)</f>
        <v>Do you regularly report on policy and standard compliance, and use that information to guide compliance improvement efforts?</v>
      </c>
      <c r="E29" s="144" t="str">
        <f>CHAR(65+VLOOKUP(A29,'imp-questions'!A:H,8,FALSE))</f>
        <v>E</v>
      </c>
      <c r="F29" s="5">
        <f>Interview!F36</f>
        <v>0</v>
      </c>
      <c r="G29" s="152">
        <f>IFERROR(VLOOKUP(F29,AnsETBL,2,FALSE),0)</f>
        <v>0</v>
      </c>
      <c r="H29" s="122">
        <f>IFERROR(AVERAGE(G29,G33),0)</f>
        <v>0</v>
      </c>
      <c r="I29" s="603"/>
      <c r="J29" s="262">
        <f>F29</f>
        <v>0</v>
      </c>
      <c r="K29" s="152">
        <f>IFERROR(VLOOKUP(J29,AnsETBL,2,FALSE),0)</f>
        <v>0</v>
      </c>
      <c r="L29" s="122">
        <f>IFERROR(AVERAGE(K29,K33),0)</f>
        <v>0</v>
      </c>
      <c r="M29" s="603"/>
      <c r="N29" s="262">
        <f>J29</f>
        <v>0</v>
      </c>
      <c r="O29" s="152">
        <f>IFERROR(VLOOKUP(N29,AnsETBL,2,FALSE),0)</f>
        <v>0</v>
      </c>
      <c r="P29" s="122">
        <f>IFERROR(AVERAGE(O29,O33),0)</f>
        <v>0</v>
      </c>
      <c r="Q29" s="603"/>
      <c r="R29" s="262">
        <f>N29</f>
        <v>0</v>
      </c>
      <c r="S29" s="152">
        <f>IFERROR(VLOOKUP(R29,AnsETBL,2,FALSE),0)</f>
        <v>0</v>
      </c>
      <c r="T29" s="122">
        <f>IFERROR(AVERAGE(S29,S33),0)</f>
        <v>0</v>
      </c>
      <c r="U29" s="603"/>
      <c r="V29" s="262">
        <f>R29</f>
        <v>0</v>
      </c>
      <c r="W29" s="152">
        <f>IFERROR(VLOOKUP(V29,AnsETBL,2,FALSE),0)</f>
        <v>0</v>
      </c>
      <c r="X29" s="122">
        <f>IFERROR(AVERAGE(W29,W33),0)</f>
        <v>0</v>
      </c>
      <c r="Y29" s="603"/>
    </row>
    <row r="30" spans="1:25" ht="13" x14ac:dyDescent="0.15">
      <c r="A30" s="142"/>
      <c r="B30" s="234"/>
      <c r="C30" s="123"/>
      <c r="D30" s="209"/>
      <c r="E30" s="209"/>
      <c r="F30" s="209"/>
      <c r="G30" s="209"/>
      <c r="H30" s="209"/>
      <c r="I30" s="603"/>
      <c r="J30" s="209"/>
      <c r="K30" s="209"/>
      <c r="L30" s="209"/>
      <c r="M30" s="603"/>
      <c r="N30" s="209"/>
      <c r="O30" s="209"/>
      <c r="P30" s="209"/>
      <c r="Q30" s="603"/>
      <c r="R30" s="209"/>
      <c r="S30" s="209"/>
      <c r="T30" s="209"/>
      <c r="U30" s="603"/>
      <c r="V30" s="209"/>
      <c r="W30" s="209"/>
      <c r="X30" s="209"/>
      <c r="Y30" s="603"/>
    </row>
    <row r="31" spans="1:25" x14ac:dyDescent="0.15">
      <c r="A31" s="142" t="str">
        <f>Interview!A39</f>
        <v>G-PC-B-1-1</v>
      </c>
      <c r="B31" s="653" t="str">
        <f>VLOOKUP(A31,'imp-questions'!A:H,4,FALSE)</f>
        <v>Compliance Management</v>
      </c>
      <c r="C31" s="221">
        <f>VLOOKUP(A31,'imp-questions'!A:H,5,FALSE)</f>
        <v>1</v>
      </c>
      <c r="D31" s="176" t="str">
        <f>VLOOKUP(A31,'imp-questions'!A:H,6,FALSE)</f>
        <v>Do you have a complete picture of your external compliance obligations?</v>
      </c>
      <c r="E31" s="144" t="str">
        <f>CHAR(65+VLOOKUP(A31,'imp-questions'!A:H,8,FALSE))</f>
        <v>F</v>
      </c>
      <c r="F31" s="172" t="str">
        <f>Interview!F39</f>
        <v>No</v>
      </c>
      <c r="G31" s="152">
        <f>IFERROR(VLOOKUP(F31,AnsFTBL,2,FALSE),0)</f>
        <v>0</v>
      </c>
      <c r="H31" s="261"/>
      <c r="I31" s="603"/>
      <c r="J31" s="262" t="str">
        <f>F31</f>
        <v>No</v>
      </c>
      <c r="K31" s="152">
        <f>IFERROR(VLOOKUP(J31,AnsFTBL,2,FALSE),0)</f>
        <v>0</v>
      </c>
      <c r="L31" s="261"/>
      <c r="M31" s="603"/>
      <c r="N31" s="262" t="str">
        <f>J31</f>
        <v>No</v>
      </c>
      <c r="O31" s="152">
        <f>IFERROR(VLOOKUP(N31,AnsFTBL,2,FALSE),0)</f>
        <v>0</v>
      </c>
      <c r="P31" s="261"/>
      <c r="Q31" s="603"/>
      <c r="R31" s="262" t="str">
        <f>N31</f>
        <v>No</v>
      </c>
      <c r="S31" s="152">
        <f>IFERROR(VLOOKUP(R31,AnsFTBL,2,FALSE),0)</f>
        <v>0</v>
      </c>
      <c r="T31" s="261"/>
      <c r="U31" s="603"/>
      <c r="V31" s="262" t="str">
        <f>R31</f>
        <v>No</v>
      </c>
      <c r="W31" s="152">
        <f>IFERROR(VLOOKUP(V31,AnsFTBL,2,FALSE),0)</f>
        <v>0</v>
      </c>
      <c r="X31" s="261"/>
      <c r="Y31" s="603"/>
    </row>
    <row r="32" spans="1:25" ht="28" x14ac:dyDescent="0.15">
      <c r="A32" s="142" t="str">
        <f>Interview!A41</f>
        <v>G-PC-B-2-1</v>
      </c>
      <c r="B32" s="650"/>
      <c r="C32" s="221">
        <f>VLOOKUP(A32,'imp-questions'!A:H,5,FALSE)</f>
        <v>2</v>
      </c>
      <c r="D32" s="176" t="str">
        <f>VLOOKUP(A32,'imp-questions'!A:H,6,FALSE)</f>
        <v>Do you have a standard set of security requirements and verification procedures addressing the organization's external compliance obligations?</v>
      </c>
      <c r="E32" s="144" t="str">
        <f>CHAR(65+VLOOKUP(A32,'imp-questions'!A:H,8,FALSE))</f>
        <v>D</v>
      </c>
      <c r="F32" s="172">
        <f>Interview!F41</f>
        <v>0</v>
      </c>
      <c r="G32" s="152">
        <f>IFERROR(VLOOKUP(F32,AnsDTBL,2,FALSE),0)</f>
        <v>0</v>
      </c>
      <c r="H32" s="261"/>
      <c r="I32" s="603"/>
      <c r="J32" s="262">
        <f>F32</f>
        <v>0</v>
      </c>
      <c r="K32" s="152">
        <f>IFERROR(VLOOKUP(J32,AnsDTBL,2,FALSE),0)</f>
        <v>0</v>
      </c>
      <c r="L32" s="261"/>
      <c r="M32" s="603"/>
      <c r="N32" s="262">
        <f>J32</f>
        <v>0</v>
      </c>
      <c r="O32" s="152">
        <f>IFERROR(VLOOKUP(N32,AnsDTBL,2,FALSE),0)</f>
        <v>0</v>
      </c>
      <c r="P32" s="261"/>
      <c r="Q32" s="603"/>
      <c r="R32" s="262">
        <f>N32</f>
        <v>0</v>
      </c>
      <c r="S32" s="152">
        <f>IFERROR(VLOOKUP(R32,AnsDTBL,2,FALSE),0)</f>
        <v>0</v>
      </c>
      <c r="T32" s="261"/>
      <c r="U32" s="603"/>
      <c r="V32" s="262">
        <f>R32</f>
        <v>0</v>
      </c>
      <c r="W32" s="152">
        <f>IFERROR(VLOOKUP(V32,AnsDTBL,2,FALSE),0)</f>
        <v>0</v>
      </c>
      <c r="X32" s="261"/>
      <c r="Y32" s="603"/>
    </row>
    <row r="33" spans="1:25" ht="28" x14ac:dyDescent="0.15">
      <c r="A33" s="142" t="str">
        <f>Interview!A43</f>
        <v>G-PC-B-3-1</v>
      </c>
      <c r="B33" s="650"/>
      <c r="C33" s="221">
        <f>VLOOKUP(A33,'imp-questions'!A:H,5,FALSE)</f>
        <v>3</v>
      </c>
      <c r="D33" s="176" t="str">
        <f>VLOOKUP(A33,'imp-questions'!A:H,6,FALSE)</f>
        <v>Do you regularly report on adherence to external compliance obligations and use that information to guide efforts to close compliance gaps?</v>
      </c>
      <c r="E33" s="144" t="str">
        <f>CHAR(65+VLOOKUP(A33,'imp-questions'!A:H,8,FALSE))</f>
        <v>E</v>
      </c>
      <c r="F33" s="172">
        <f>Interview!F43</f>
        <v>0</v>
      </c>
      <c r="G33" s="152">
        <f>IFERROR(VLOOKUP(F33,AnsETBL,2,FALSE),0)</f>
        <v>0</v>
      </c>
      <c r="H33" s="261"/>
      <c r="I33" s="604"/>
      <c r="J33" s="262">
        <f>F33</f>
        <v>0</v>
      </c>
      <c r="K33" s="152">
        <f>IFERROR(VLOOKUP(J33,AnsETBL,2,FALSE),0)</f>
        <v>0</v>
      </c>
      <c r="L33" s="261"/>
      <c r="M33" s="604"/>
      <c r="N33" s="262">
        <f>J33</f>
        <v>0</v>
      </c>
      <c r="O33" s="152">
        <f>IFERROR(VLOOKUP(N33,AnsETBL,2,FALSE),0)</f>
        <v>0</v>
      </c>
      <c r="P33" s="261"/>
      <c r="Q33" s="604"/>
      <c r="R33" s="262">
        <f>N33</f>
        <v>0</v>
      </c>
      <c r="S33" s="152">
        <f>IFERROR(VLOOKUP(R33,AnsETBL,2,FALSE),0)</f>
        <v>0</v>
      </c>
      <c r="T33" s="261"/>
      <c r="U33" s="604"/>
      <c r="V33" s="262">
        <f>R33</f>
        <v>0</v>
      </c>
      <c r="W33" s="152">
        <f>IFERROR(VLOOKUP(V33,AnsETBL,2,FALSE),0)</f>
        <v>0</v>
      </c>
      <c r="X33" s="261"/>
      <c r="Y33" s="604"/>
    </row>
    <row r="34" spans="1:25" ht="13" x14ac:dyDescent="0.15">
      <c r="A34" s="142"/>
      <c r="B34" s="234"/>
      <c r="C34" s="123"/>
      <c r="D34" s="209"/>
      <c r="E34" s="209"/>
      <c r="F34" s="209"/>
      <c r="G34" s="209"/>
      <c r="H34" s="209"/>
      <c r="I34" s="204"/>
      <c r="J34" s="209"/>
      <c r="K34" s="209"/>
      <c r="L34" s="209"/>
      <c r="M34" s="204"/>
      <c r="N34" s="209"/>
      <c r="O34" s="209"/>
      <c r="P34" s="209"/>
      <c r="Q34" s="204"/>
      <c r="R34" s="209"/>
      <c r="S34" s="209"/>
      <c r="T34" s="209"/>
      <c r="U34" s="204"/>
      <c r="V34" s="209"/>
      <c r="W34" s="209"/>
      <c r="X34" s="209"/>
      <c r="Y34" s="204"/>
    </row>
    <row r="35" spans="1:25" x14ac:dyDescent="0.15">
      <c r="A35" s="142"/>
      <c r="B35" s="232" t="s">
        <v>312</v>
      </c>
      <c r="C35" s="220" t="s">
        <v>313</v>
      </c>
      <c r="D35" s="189" t="s">
        <v>20</v>
      </c>
      <c r="E35" s="190"/>
      <c r="F35" s="64" t="s">
        <v>31</v>
      </c>
      <c r="G35" s="64"/>
      <c r="H35" s="109"/>
      <c r="I35" s="212" t="s">
        <v>29</v>
      </c>
      <c r="J35" s="64" t="s">
        <v>31</v>
      </c>
      <c r="K35" s="64"/>
      <c r="L35" s="109"/>
      <c r="M35" s="212" t="s">
        <v>29</v>
      </c>
      <c r="N35" s="64" t="s">
        <v>31</v>
      </c>
      <c r="O35" s="64"/>
      <c r="P35" s="109"/>
      <c r="Q35" s="212" t="s">
        <v>29</v>
      </c>
      <c r="R35" s="64" t="s">
        <v>31</v>
      </c>
      <c r="S35" s="64"/>
      <c r="T35" s="109"/>
      <c r="U35" s="212" t="s">
        <v>29</v>
      </c>
      <c r="V35" s="64" t="s">
        <v>31</v>
      </c>
      <c r="W35" s="64"/>
      <c r="X35" s="109"/>
      <c r="Y35" s="212" t="s">
        <v>29</v>
      </c>
    </row>
    <row r="36" spans="1:25" ht="28" x14ac:dyDescent="0.15">
      <c r="A36" s="142" t="str">
        <f>Interview!A46</f>
        <v>G-EG-A-1-1</v>
      </c>
      <c r="B36" s="649" t="str">
        <f>VLOOKUP(A36,'imp-questions'!A:H,4,FALSE)</f>
        <v>Training and Awareness</v>
      </c>
      <c r="C36" s="221">
        <f>VLOOKUP(A36,'imp-questions'!A:H,5,FALSE)</f>
        <v>1</v>
      </c>
      <c r="D36" s="176" t="str">
        <f>VLOOKUP(A36,'imp-questions'!A:H,6,FALSE)</f>
        <v>Do you require employees involved with application development to take SDLC training?</v>
      </c>
      <c r="E36" s="144" t="str">
        <f>CHAR(65+VLOOKUP(A36,'imp-questions'!A:H,8,FALSE))</f>
        <v>C</v>
      </c>
      <c r="F36" s="254">
        <f>Interview!F46</f>
        <v>0</v>
      </c>
      <c r="G36" s="152">
        <f>IFERROR(VLOOKUP(F36,AnsCTBL,2,FALSE),0)</f>
        <v>0</v>
      </c>
      <c r="H36" s="257">
        <f>IFERROR(AVERAGE(G36,G40),0)</f>
        <v>0</v>
      </c>
      <c r="I36" s="605">
        <f>SUM(H36,H37,H38)</f>
        <v>1</v>
      </c>
      <c r="J36" s="262">
        <f>F36</f>
        <v>0</v>
      </c>
      <c r="K36" s="152">
        <f>IFERROR(VLOOKUP(J36,AnsCTBL,2,FALSE),0)</f>
        <v>0</v>
      </c>
      <c r="L36" s="257">
        <f>IFERROR(AVERAGE(K36,K40),0)</f>
        <v>0</v>
      </c>
      <c r="M36" s="605">
        <f>SUM(L36,L37,L38)</f>
        <v>1</v>
      </c>
      <c r="N36" s="262">
        <f>J36</f>
        <v>0</v>
      </c>
      <c r="O36" s="152">
        <f>IFERROR(VLOOKUP(N36,AnsCTBL,2,FALSE),0)</f>
        <v>0</v>
      </c>
      <c r="P36" s="257">
        <f>IFERROR(AVERAGE(O36,O40),0)</f>
        <v>0</v>
      </c>
      <c r="Q36" s="605">
        <f>SUM(P36,P37,P38)</f>
        <v>1</v>
      </c>
      <c r="R36" s="262">
        <f>N36</f>
        <v>0</v>
      </c>
      <c r="S36" s="152">
        <f>IFERROR(VLOOKUP(R36,AnsCTBL,2,FALSE),0)</f>
        <v>0</v>
      </c>
      <c r="T36" s="257">
        <f>IFERROR(AVERAGE(S36,S40),0)</f>
        <v>0</v>
      </c>
      <c r="U36" s="605">
        <f>SUM(T36,T37,T38)</f>
        <v>1</v>
      </c>
      <c r="V36" s="262">
        <f>R36</f>
        <v>0</v>
      </c>
      <c r="W36" s="152">
        <f>IFERROR(VLOOKUP(V36,AnsCTBL,2,FALSE),0)</f>
        <v>0</v>
      </c>
      <c r="X36" s="257">
        <f>IFERROR(AVERAGE(W36,W40),0)</f>
        <v>0</v>
      </c>
      <c r="Y36" s="605">
        <f>SUM(X36,X37,X38)</f>
        <v>1</v>
      </c>
    </row>
    <row r="37" spans="1:25" ht="28" x14ac:dyDescent="0.15">
      <c r="A37" s="142" t="str">
        <f>Interview!A48</f>
        <v>G-EG-A-2-1</v>
      </c>
      <c r="B37" s="650"/>
      <c r="C37" s="221">
        <f>VLOOKUP(A37,'imp-questions'!A:H,5,FALSE)</f>
        <v>2</v>
      </c>
      <c r="D37" s="176" t="str">
        <f>VLOOKUP(A37,'imp-questions'!A:H,6,FALSE)</f>
        <v>Is training customized for individual roles such as developers, testers, or security champions?</v>
      </c>
      <c r="E37" s="146" t="str">
        <f>CHAR(65+VLOOKUP(A37,'imp-questions'!A:H,8,FALSE))</f>
        <v>I</v>
      </c>
      <c r="F37" s="256">
        <f>Interview!F48</f>
        <v>0</v>
      </c>
      <c r="G37" s="152">
        <f>IFERROR(VLOOKUP(F37,AnsITBL,2,FALSE),0)</f>
        <v>0</v>
      </c>
      <c r="H37" s="259">
        <f>IFERROR(AVERAGE(G37,G41),0)</f>
        <v>0.5</v>
      </c>
      <c r="I37" s="606"/>
      <c r="J37" s="262">
        <f>F37</f>
        <v>0</v>
      </c>
      <c r="K37" s="152">
        <f>IFERROR(VLOOKUP(J37,AnsITBL,2,FALSE),0)</f>
        <v>0</v>
      </c>
      <c r="L37" s="259">
        <f>IFERROR(AVERAGE(K37,K41),0)</f>
        <v>0.5</v>
      </c>
      <c r="M37" s="606"/>
      <c r="N37" s="262">
        <f>J37</f>
        <v>0</v>
      </c>
      <c r="O37" s="152">
        <f>IFERROR(VLOOKUP(N37,AnsITBL,2,FALSE),0)</f>
        <v>0</v>
      </c>
      <c r="P37" s="259">
        <f>IFERROR(AVERAGE(O37,O41),0)</f>
        <v>0.5</v>
      </c>
      <c r="Q37" s="606"/>
      <c r="R37" s="262">
        <f>N37</f>
        <v>0</v>
      </c>
      <c r="S37" s="152">
        <f>IFERROR(VLOOKUP(R37,AnsITBL,2,FALSE),0)</f>
        <v>0</v>
      </c>
      <c r="T37" s="259">
        <f>IFERROR(AVERAGE(S37,S41),0)</f>
        <v>0.5</v>
      </c>
      <c r="U37" s="606"/>
      <c r="V37" s="262">
        <f>R37</f>
        <v>0</v>
      </c>
      <c r="W37" s="152">
        <f>IFERROR(VLOOKUP(V37,AnsITBL,2,FALSE),0)</f>
        <v>0</v>
      </c>
      <c r="X37" s="259">
        <f>IFERROR(AVERAGE(W37,W41),0)</f>
        <v>0.5</v>
      </c>
      <c r="Y37" s="606"/>
    </row>
    <row r="38" spans="1:25" ht="28" x14ac:dyDescent="0.15">
      <c r="A38" s="142" t="str">
        <f>Interview!A50</f>
        <v>G-EG-A-3-1</v>
      </c>
      <c r="B38" s="651"/>
      <c r="C38" s="221">
        <f>VLOOKUP(A38,'imp-questions'!A:H,5,FALSE)</f>
        <v>3</v>
      </c>
      <c r="D38" s="252" t="str">
        <f>VLOOKUP(A38,'imp-questions'!A:H,6,FALSE)</f>
        <v>Have you implemented a Learning Management System or equivalent to track employee training and certification processes?</v>
      </c>
      <c r="E38" s="146" t="str">
        <f>CHAR(65+VLOOKUP(A38,'imp-questions'!A:H,8,FALSE))</f>
        <v>I</v>
      </c>
      <c r="F38" s="256">
        <f>Interview!F50</f>
        <v>0</v>
      </c>
      <c r="G38" s="152">
        <f>IFERROR(VLOOKUP(F38,AnsITBL,2,FALSE),0)</f>
        <v>0</v>
      </c>
      <c r="H38" s="259">
        <f>IFERROR(AVERAGE(G38,G42),0)</f>
        <v>0.5</v>
      </c>
      <c r="I38" s="606"/>
      <c r="J38" s="262">
        <f>F38</f>
        <v>0</v>
      </c>
      <c r="K38" s="152">
        <f>IFERROR(VLOOKUP(J38,AnsITBL,2,FALSE),0)</f>
        <v>0</v>
      </c>
      <c r="L38" s="259">
        <f>IFERROR(AVERAGE(K38,K42),0)</f>
        <v>0.5</v>
      </c>
      <c r="M38" s="606"/>
      <c r="N38" s="262">
        <f>J38</f>
        <v>0</v>
      </c>
      <c r="O38" s="152">
        <f>IFERROR(VLOOKUP(N38,AnsITBL,2,FALSE),0)</f>
        <v>0</v>
      </c>
      <c r="P38" s="259">
        <f>IFERROR(AVERAGE(O38,O42),0)</f>
        <v>0.5</v>
      </c>
      <c r="Q38" s="606"/>
      <c r="R38" s="262">
        <f>N38</f>
        <v>0</v>
      </c>
      <c r="S38" s="152">
        <f>IFERROR(VLOOKUP(R38,AnsITBL,2,FALSE),0)</f>
        <v>0</v>
      </c>
      <c r="T38" s="259">
        <f>IFERROR(AVERAGE(S38,S42),0)</f>
        <v>0.5</v>
      </c>
      <c r="U38" s="606"/>
      <c r="V38" s="262">
        <f>R38</f>
        <v>0</v>
      </c>
      <c r="W38" s="152">
        <f>IFERROR(VLOOKUP(V38,AnsITBL,2,FALSE),0)</f>
        <v>0</v>
      </c>
      <c r="X38" s="259">
        <f>IFERROR(AVERAGE(W38,W42),0)</f>
        <v>0.5</v>
      </c>
      <c r="Y38" s="606"/>
    </row>
    <row r="39" spans="1:25" ht="13" x14ac:dyDescent="0.15">
      <c r="A39" s="142"/>
      <c r="B39" s="233"/>
      <c r="C39" s="222"/>
      <c r="D39" s="204"/>
      <c r="E39" s="204"/>
      <c r="F39" s="204"/>
      <c r="G39" s="204"/>
      <c r="H39" s="204"/>
      <c r="I39" s="606"/>
      <c r="J39" s="204"/>
      <c r="K39" s="204"/>
      <c r="L39" s="204"/>
      <c r="M39" s="606"/>
      <c r="N39" s="204"/>
      <c r="O39" s="204"/>
      <c r="P39" s="204"/>
      <c r="Q39" s="606"/>
      <c r="R39" s="204"/>
      <c r="S39" s="204"/>
      <c r="T39" s="204"/>
      <c r="U39" s="606"/>
      <c r="V39" s="204"/>
      <c r="W39" s="204"/>
      <c r="X39" s="204"/>
      <c r="Y39" s="606"/>
    </row>
    <row r="40" spans="1:25" x14ac:dyDescent="0.15">
      <c r="A40" s="142" t="str">
        <f>Interview!A53</f>
        <v>G-EG-B-1-1</v>
      </c>
      <c r="B40" s="649" t="str">
        <f>VLOOKUP(A40,'imp-questions'!A:H,4,FALSE)</f>
        <v>Organization and Culture</v>
      </c>
      <c r="C40" s="221">
        <f>VLOOKUP(A40,'imp-questions'!A:H,5,FALSE)</f>
        <v>1</v>
      </c>
      <c r="D40" s="176" t="str">
        <f>VLOOKUP(A40,'imp-questions'!A:H,6,FALSE)</f>
        <v>Have you identified a Security Champion for each development team?</v>
      </c>
      <c r="E40" s="144" t="str">
        <f>CHAR(65+VLOOKUP(A40,'imp-questions'!A:H,8,FALSE))</f>
        <v>W</v>
      </c>
      <c r="F40" s="254">
        <f>Interview!F53</f>
        <v>0</v>
      </c>
      <c r="G40" s="152">
        <f>IFERROR(VLOOKUP(F40,AnsWTBL,2,FALSE),0)</f>
        <v>0</v>
      </c>
      <c r="H40" s="122"/>
      <c r="I40" s="606"/>
      <c r="J40" s="262">
        <f>F40</f>
        <v>0</v>
      </c>
      <c r="K40" s="152">
        <f>IFERROR(VLOOKUP(J40,AnsWTBL,2,FALSE),0)</f>
        <v>0</v>
      </c>
      <c r="L40" s="122"/>
      <c r="M40" s="606"/>
      <c r="N40" s="262">
        <f>J40</f>
        <v>0</v>
      </c>
      <c r="O40" s="152">
        <f>IFERROR(VLOOKUP(N40,AnsWTBL,2,FALSE),0)</f>
        <v>0</v>
      </c>
      <c r="P40" s="122"/>
      <c r="Q40" s="606"/>
      <c r="R40" s="262">
        <f>N40</f>
        <v>0</v>
      </c>
      <c r="S40" s="152">
        <f>IFERROR(VLOOKUP(R40,AnsWTBL,2,FALSE),0)</f>
        <v>0</v>
      </c>
      <c r="T40" s="122"/>
      <c r="U40" s="606"/>
      <c r="V40" s="262">
        <f>R40</f>
        <v>0</v>
      </c>
      <c r="W40" s="152">
        <f>IFERROR(VLOOKUP(V40,AnsWTBL,2,FALSE),0)</f>
        <v>0</v>
      </c>
      <c r="X40" s="122"/>
      <c r="Y40" s="606"/>
    </row>
    <row r="41" spans="1:25" x14ac:dyDescent="0.15">
      <c r="A41" s="142" t="str">
        <f>Interview!A55</f>
        <v>G-EG-B-2-1</v>
      </c>
      <c r="B41" s="650"/>
      <c r="C41" s="221">
        <f>VLOOKUP(A41,'imp-questions'!A:H,5,FALSE)</f>
        <v>2</v>
      </c>
      <c r="D41" s="176" t="str">
        <f>VLOOKUP(A41,'imp-questions'!A:H,6,FALSE)</f>
        <v>Does the organization have a Secure Software Center of Excellence (SSCE)?</v>
      </c>
      <c r="E41" s="144" t="str">
        <f>CHAR(65+VLOOKUP(A41,'imp-questions'!A:H,8,FALSE))</f>
        <v>L</v>
      </c>
      <c r="F41" s="256" t="str">
        <f>Interview!F55</f>
        <v>Yes, for the entire organization</v>
      </c>
      <c r="G41" s="152">
        <f>IFERROR(VLOOKUP(F41,AnsLTBL,2,FALSE),0)</f>
        <v>1</v>
      </c>
      <c r="H41" s="122"/>
      <c r="I41" s="606"/>
      <c r="J41" s="262" t="str">
        <f>F41</f>
        <v>Yes, for the entire organization</v>
      </c>
      <c r="K41" s="152">
        <f>IFERROR(VLOOKUP(J41,AnsLTBL,2,FALSE),0)</f>
        <v>1</v>
      </c>
      <c r="L41" s="122"/>
      <c r="M41" s="606"/>
      <c r="N41" s="262" t="str">
        <f>J41</f>
        <v>Yes, for the entire organization</v>
      </c>
      <c r="O41" s="152">
        <f>IFERROR(VLOOKUP(N41,AnsLTBL,2,FALSE),0)</f>
        <v>1</v>
      </c>
      <c r="P41" s="122"/>
      <c r="Q41" s="606"/>
      <c r="R41" s="262" t="str">
        <f>N41</f>
        <v>Yes, for the entire organization</v>
      </c>
      <c r="S41" s="152">
        <f>IFERROR(VLOOKUP(R41,AnsLTBL,2,FALSE),0)</f>
        <v>1</v>
      </c>
      <c r="T41" s="122"/>
      <c r="U41" s="606"/>
      <c r="V41" s="262" t="str">
        <f>R41</f>
        <v>Yes, for the entire organization</v>
      </c>
      <c r="W41" s="152">
        <f>IFERROR(VLOOKUP(V41,AnsLTBL,2,FALSE),0)</f>
        <v>1</v>
      </c>
      <c r="X41" s="122"/>
      <c r="Y41" s="606"/>
    </row>
    <row r="42" spans="1:25" ht="42" x14ac:dyDescent="0.15">
      <c r="A42" s="142" t="str">
        <f>Interview!A57</f>
        <v>G-EG-B-3-1</v>
      </c>
      <c r="B42" s="651"/>
      <c r="C42" s="221">
        <f>VLOOKUP(A42,'imp-questions'!A:H,5,FALSE)</f>
        <v>3</v>
      </c>
      <c r="D42" s="252" t="str">
        <f>VLOOKUP(A42,'imp-questions'!A:H,6,FALSE)</f>
        <v>Is there a centralized portal where developers and application security professionals from different teams and business units are able to communicate and share information?</v>
      </c>
      <c r="E42" s="144" t="str">
        <f>CHAR(65+VLOOKUP(A42,'imp-questions'!A:H,8,FALSE))</f>
        <v>L</v>
      </c>
      <c r="F42" s="256" t="str">
        <f>Interview!F57</f>
        <v>Yes, for the entire organization</v>
      </c>
      <c r="G42" s="152">
        <f>IFERROR(VLOOKUP(F42,AnsLTBL,2,FALSE),0)</f>
        <v>1</v>
      </c>
      <c r="H42" s="122"/>
      <c r="I42" s="607"/>
      <c r="J42" s="262" t="str">
        <f>F42</f>
        <v>Yes, for the entire organization</v>
      </c>
      <c r="K42" s="152">
        <f>IFERROR(VLOOKUP(J42,AnsLTBL,2,FALSE),0)</f>
        <v>1</v>
      </c>
      <c r="L42" s="122"/>
      <c r="M42" s="607"/>
      <c r="N42" s="262" t="str">
        <f>J42</f>
        <v>Yes, for the entire organization</v>
      </c>
      <c r="O42" s="152">
        <f>IFERROR(VLOOKUP(N42,AnsLTBL,2,FALSE),0)</f>
        <v>1</v>
      </c>
      <c r="P42" s="122"/>
      <c r="Q42" s="607"/>
      <c r="R42" s="262" t="str">
        <f>N42</f>
        <v>Yes, for the entire organization</v>
      </c>
      <c r="S42" s="152">
        <f>IFERROR(VLOOKUP(R42,AnsLTBL,2,FALSE),0)</f>
        <v>1</v>
      </c>
      <c r="T42" s="122"/>
      <c r="U42" s="607"/>
      <c r="V42" s="262" t="str">
        <f>R42</f>
        <v>Yes, for the entire organization</v>
      </c>
      <c r="W42" s="152">
        <f>IFERROR(VLOOKUP(V42,AnsLTBL,2,FALSE),0)</f>
        <v>1</v>
      </c>
      <c r="X42" s="122"/>
      <c r="Y42" s="607"/>
    </row>
    <row r="43" spans="1:25" ht="13" x14ac:dyDescent="0.15">
      <c r="A43" s="142"/>
      <c r="B43" s="233"/>
      <c r="C43" s="222"/>
      <c r="D43" s="204"/>
      <c r="E43" s="204"/>
      <c r="F43" s="204"/>
      <c r="G43" s="204"/>
      <c r="H43" s="204"/>
      <c r="I43" s="204"/>
      <c r="J43" s="204"/>
      <c r="K43" s="204"/>
      <c r="L43" s="204"/>
      <c r="M43" s="204"/>
      <c r="N43" s="204"/>
      <c r="O43" s="204"/>
      <c r="P43" s="204"/>
      <c r="Q43" s="204"/>
      <c r="R43" s="204"/>
      <c r="S43" s="204"/>
      <c r="T43" s="204"/>
      <c r="U43" s="204"/>
      <c r="V43" s="204"/>
      <c r="W43" s="204"/>
      <c r="X43" s="204"/>
      <c r="Y43" s="204"/>
    </row>
    <row r="44" spans="1:25" x14ac:dyDescent="0.15">
      <c r="A44" s="142"/>
      <c r="B44" s="223" t="s">
        <v>177</v>
      </c>
      <c r="C44" s="223"/>
      <c r="D44" s="208"/>
      <c r="E44" s="208"/>
      <c r="F44" s="640" t="s">
        <v>55</v>
      </c>
      <c r="G44" s="640"/>
      <c r="H44" s="640"/>
      <c r="I44" s="640"/>
      <c r="J44" s="644" t="s">
        <v>314</v>
      </c>
      <c r="K44" s="640"/>
      <c r="L44" s="640"/>
      <c r="M44" s="645"/>
      <c r="N44" s="644" t="s">
        <v>315</v>
      </c>
      <c r="O44" s="640"/>
      <c r="P44" s="640"/>
      <c r="Q44" s="645"/>
      <c r="R44" s="644" t="s">
        <v>316</v>
      </c>
      <c r="S44" s="640"/>
      <c r="T44" s="640"/>
      <c r="U44" s="645"/>
      <c r="V44" s="644" t="s">
        <v>317</v>
      </c>
      <c r="W44" s="640"/>
      <c r="X44" s="640"/>
      <c r="Y44" s="645"/>
    </row>
    <row r="45" spans="1:25" x14ac:dyDescent="0.15">
      <c r="A45" s="142"/>
      <c r="B45" s="235" t="s">
        <v>312</v>
      </c>
      <c r="C45" s="224" t="s">
        <v>313</v>
      </c>
      <c r="D45" s="199" t="s">
        <v>21</v>
      </c>
      <c r="E45" s="200"/>
      <c r="F45" s="67" t="s">
        <v>31</v>
      </c>
      <c r="G45" s="67"/>
      <c r="H45" s="110"/>
      <c r="I45" s="213" t="s">
        <v>29</v>
      </c>
      <c r="J45" s="67" t="s">
        <v>31</v>
      </c>
      <c r="K45" s="67"/>
      <c r="L45" s="110"/>
      <c r="M45" s="213" t="s">
        <v>29</v>
      </c>
      <c r="N45" s="67" t="s">
        <v>31</v>
      </c>
      <c r="O45" s="67"/>
      <c r="P45" s="110"/>
      <c r="Q45" s="213" t="s">
        <v>29</v>
      </c>
      <c r="R45" s="67" t="s">
        <v>31</v>
      </c>
      <c r="S45" s="67"/>
      <c r="T45" s="110"/>
      <c r="U45" s="213" t="s">
        <v>29</v>
      </c>
      <c r="V45" s="67" t="s">
        <v>31</v>
      </c>
      <c r="W45" s="67"/>
      <c r="X45" s="110"/>
      <c r="Y45" s="213" t="s">
        <v>29</v>
      </c>
    </row>
    <row r="46" spans="1:25" ht="28" x14ac:dyDescent="0.15">
      <c r="A46" s="142" t="str">
        <f>Interview!A61</f>
        <v>D-TA-A-1-1</v>
      </c>
      <c r="B46" s="636" t="str">
        <f>VLOOKUP(A46,'imp-questions'!A:H,4,FALSE)</f>
        <v>Application Risk Profile</v>
      </c>
      <c r="C46" s="225">
        <f>VLOOKUP(A46,'imp-questions'!A:H,5,FALSE)</f>
        <v>1</v>
      </c>
      <c r="D46" s="176" t="str">
        <f>VLOOKUP(A46,'imp-questions'!A:H,6,FALSE)</f>
        <v>Do you classify applications according to business risk based on a simple and predefined set of questions?</v>
      </c>
      <c r="E46" s="144" t="str">
        <f>CHAR(65+VLOOKUP(A46,'imp-questions'!A:H,8,FALSE))</f>
        <v>C</v>
      </c>
      <c r="F46" s="5" t="str">
        <f>Interview!F61</f>
        <v>Yes, most or all of them</v>
      </c>
      <c r="G46" s="152">
        <f>IFERROR(VLOOKUP(F46,AnsCTBL,2,FALSE),0)</f>
        <v>1</v>
      </c>
      <c r="H46" s="257">
        <f>IFERROR(AVERAGE(G46,G50),0)</f>
        <v>1</v>
      </c>
      <c r="I46" s="608">
        <f>SUM(H46:H48)</f>
        <v>1.5</v>
      </c>
      <c r="J46" s="262" t="str">
        <f>F46</f>
        <v>Yes, most or all of them</v>
      </c>
      <c r="K46" s="152">
        <f>IFERROR(VLOOKUP(J46,AnsCTBL,2,FALSE),0)</f>
        <v>1</v>
      </c>
      <c r="L46" s="257">
        <f>IFERROR(AVERAGE(K46,K50),0)</f>
        <v>1</v>
      </c>
      <c r="M46" s="608">
        <f>SUM(L46:L48)</f>
        <v>1.5</v>
      </c>
      <c r="N46" s="262" t="str">
        <f>J46</f>
        <v>Yes, most or all of them</v>
      </c>
      <c r="O46" s="152">
        <f>IFERROR(VLOOKUP(N46,AnsCTBL,2,FALSE),0)</f>
        <v>1</v>
      </c>
      <c r="P46" s="257">
        <f>IFERROR(AVERAGE(O46,O50),0)</f>
        <v>1</v>
      </c>
      <c r="Q46" s="608">
        <f>SUM(P46:P48)</f>
        <v>1.5</v>
      </c>
      <c r="R46" s="262" t="str">
        <f>N46</f>
        <v>Yes, most or all of them</v>
      </c>
      <c r="S46" s="152">
        <f>IFERROR(VLOOKUP(R46,AnsCTBL,2,FALSE),0)</f>
        <v>1</v>
      </c>
      <c r="T46" s="257">
        <f>IFERROR(AVERAGE(S46,S50),0)</f>
        <v>1</v>
      </c>
      <c r="U46" s="608">
        <f>SUM(T46:T48)</f>
        <v>1.5</v>
      </c>
      <c r="V46" s="262" t="str">
        <f>R46</f>
        <v>Yes, most or all of them</v>
      </c>
      <c r="W46" s="152">
        <f>IFERROR(VLOOKUP(V46,AnsCTBL,2,FALSE),0)</f>
        <v>1</v>
      </c>
      <c r="X46" s="257">
        <f>IFERROR(AVERAGE(W46,W50),0)</f>
        <v>1</v>
      </c>
      <c r="Y46" s="608">
        <f>SUM(X46:X48)</f>
        <v>1.5</v>
      </c>
    </row>
    <row r="47" spans="1:25" ht="28" x14ac:dyDescent="0.15">
      <c r="A47" s="142" t="str">
        <f>Interview!A63</f>
        <v>D-TA-A-2-1</v>
      </c>
      <c r="B47" s="637"/>
      <c r="C47" s="225">
        <f>VLOOKUP(A47,'imp-questions'!A:H,5,FALSE)</f>
        <v>2</v>
      </c>
      <c r="D47" s="176" t="str">
        <f>VLOOKUP(A47,'imp-questions'!A:H,6,FALSE)</f>
        <v>Do you use centralized and quantified application risk profiles to evaluate business risk?</v>
      </c>
      <c r="E47" s="144" t="str">
        <f>CHAR(65+VLOOKUP(A47,'imp-questions'!A:H,8,FALSE))</f>
        <v>F</v>
      </c>
      <c r="F47" s="169" t="str">
        <f>Interview!F63</f>
        <v>Yes, for most or all of the applications</v>
      </c>
      <c r="G47" s="152">
        <f>IFERROR(VLOOKUP(F47,AnsFTBL,2,FALSE),0)</f>
        <v>1</v>
      </c>
      <c r="H47" s="257">
        <f>IFERROR(AVERAGE(G47,G51),0)</f>
        <v>0.5</v>
      </c>
      <c r="I47" s="609"/>
      <c r="J47" s="262" t="str">
        <f>F47</f>
        <v>Yes, for most or all of the applications</v>
      </c>
      <c r="K47" s="152">
        <f>IFERROR(VLOOKUP(J47,AnsFTBL,2,FALSE),0)</f>
        <v>1</v>
      </c>
      <c r="L47" s="257">
        <f>IFERROR(AVERAGE(K47,K51),0)</f>
        <v>0.5</v>
      </c>
      <c r="M47" s="609"/>
      <c r="N47" s="262" t="str">
        <f>J47</f>
        <v>Yes, for most or all of the applications</v>
      </c>
      <c r="O47" s="152">
        <f>IFERROR(VLOOKUP(N47,AnsFTBL,2,FALSE),0)</f>
        <v>1</v>
      </c>
      <c r="P47" s="257">
        <f>IFERROR(AVERAGE(O47,O51),0)</f>
        <v>0.5</v>
      </c>
      <c r="Q47" s="609"/>
      <c r="R47" s="262" t="str">
        <f>N47</f>
        <v>Yes, for most or all of the applications</v>
      </c>
      <c r="S47" s="152">
        <f>IFERROR(VLOOKUP(R47,AnsFTBL,2,FALSE),0)</f>
        <v>1</v>
      </c>
      <c r="T47" s="257">
        <f>IFERROR(AVERAGE(S47,S51),0)</f>
        <v>0.5</v>
      </c>
      <c r="U47" s="609"/>
      <c r="V47" s="262" t="str">
        <f>R47</f>
        <v>Yes, for most or all of the applications</v>
      </c>
      <c r="W47" s="152">
        <f>IFERROR(VLOOKUP(V47,AnsFTBL,2,FALSE),0)</f>
        <v>1</v>
      </c>
      <c r="X47" s="257">
        <f>IFERROR(AVERAGE(W47,W51),0)</f>
        <v>0.5</v>
      </c>
      <c r="Y47" s="609"/>
    </row>
    <row r="48" spans="1:25" x14ac:dyDescent="0.15">
      <c r="A48" s="142" t="str">
        <f>Interview!A65</f>
        <v>D-TA-A-3-1</v>
      </c>
      <c r="B48" s="638"/>
      <c r="C48" s="225">
        <f>VLOOKUP(A48,'imp-questions'!A:H,5,FALSE)</f>
        <v>3</v>
      </c>
      <c r="D48" s="252" t="str">
        <f>VLOOKUP(A48,'imp-questions'!A:H,6,FALSE)</f>
        <v>Do you regularly review and update the risk profiles for your applications?</v>
      </c>
      <c r="E48" s="144" t="str">
        <f>CHAR(65+VLOOKUP(A48,'imp-questions'!A:H,8,FALSE))</f>
        <v>G</v>
      </c>
      <c r="F48" s="169">
        <f>Interview!F65</f>
        <v>0</v>
      </c>
      <c r="G48" s="152">
        <f>IFERROR(VLOOKUP(F48,AnsGTBL,2,FALSE),0)</f>
        <v>0</v>
      </c>
      <c r="H48" s="257">
        <f>IFERROR(AVERAGE(G48,G52),0)</f>
        <v>0</v>
      </c>
      <c r="I48" s="609"/>
      <c r="J48" s="262">
        <f>F48</f>
        <v>0</v>
      </c>
      <c r="K48" s="152">
        <f>IFERROR(VLOOKUP(J48,AnsGTBL,2,FALSE),0)</f>
        <v>0</v>
      </c>
      <c r="L48" s="257">
        <f>IFERROR(AVERAGE(K48,K52),0)</f>
        <v>0</v>
      </c>
      <c r="M48" s="609"/>
      <c r="N48" s="262">
        <f>J48</f>
        <v>0</v>
      </c>
      <c r="O48" s="152">
        <f>IFERROR(VLOOKUP(N48,AnsGTBL,2,FALSE),0)</f>
        <v>0</v>
      </c>
      <c r="P48" s="257">
        <f>IFERROR(AVERAGE(O48,O52),0)</f>
        <v>0</v>
      </c>
      <c r="Q48" s="609"/>
      <c r="R48" s="262">
        <f>N48</f>
        <v>0</v>
      </c>
      <c r="S48" s="152">
        <f>IFERROR(VLOOKUP(R48,AnsGTBL,2,FALSE),0)</f>
        <v>0</v>
      </c>
      <c r="T48" s="257">
        <f>IFERROR(AVERAGE(S48,S52),0)</f>
        <v>0</v>
      </c>
      <c r="U48" s="609"/>
      <c r="V48" s="262">
        <f>R48</f>
        <v>0</v>
      </c>
      <c r="W48" s="152">
        <f>IFERROR(VLOOKUP(V48,AnsGTBL,2,FALSE),0)</f>
        <v>0</v>
      </c>
      <c r="X48" s="257">
        <f>IFERROR(AVERAGE(W48,W52),0)</f>
        <v>0</v>
      </c>
      <c r="Y48" s="609"/>
    </row>
    <row r="49" spans="1:25" ht="13" x14ac:dyDescent="0.15">
      <c r="A49" s="142"/>
      <c r="B49" s="233"/>
      <c r="C49" s="222"/>
      <c r="D49" s="204"/>
      <c r="E49" s="204"/>
      <c r="F49" s="204"/>
      <c r="G49" s="204"/>
      <c r="H49" s="204"/>
      <c r="I49" s="609"/>
      <c r="J49" s="204"/>
      <c r="K49" s="204"/>
      <c r="L49" s="204"/>
      <c r="M49" s="609"/>
      <c r="N49" s="204"/>
      <c r="O49" s="204"/>
      <c r="P49" s="204"/>
      <c r="Q49" s="609"/>
      <c r="R49" s="204"/>
      <c r="S49" s="204"/>
      <c r="T49" s="204"/>
      <c r="U49" s="609"/>
      <c r="V49" s="204"/>
      <c r="W49" s="204"/>
      <c r="X49" s="204"/>
      <c r="Y49" s="609"/>
    </row>
    <row r="50" spans="1:25" x14ac:dyDescent="0.15">
      <c r="A50" s="142" t="str">
        <f>Interview!A68</f>
        <v>D-TA-B-1-1</v>
      </c>
      <c r="B50" s="636" t="str">
        <f>VLOOKUP(A50,'imp-questions'!A:H,4,FALSE)</f>
        <v>Threat Modeling</v>
      </c>
      <c r="C50" s="225">
        <f>VLOOKUP(A50,'imp-questions'!A:H,5,FALSE)</f>
        <v>1</v>
      </c>
      <c r="D50" s="176" t="str">
        <f>VLOOKUP(A50,'imp-questions'!A:H,6,FALSE)</f>
        <v>Do you identify and manage architectural design flaws with threat modeling?</v>
      </c>
      <c r="E50" s="144" t="str">
        <f>CHAR(65+VLOOKUP(A50,'imp-questions'!A:H,8,FALSE))</f>
        <v>C</v>
      </c>
      <c r="F50" s="169" t="str">
        <f>Interview!F68</f>
        <v>Yes, most or all of them</v>
      </c>
      <c r="G50" s="152">
        <f>IFERROR(VLOOKUP(F50,AnsCTBL,2,FALSE),0)</f>
        <v>1</v>
      </c>
      <c r="H50" s="122"/>
      <c r="I50" s="609"/>
      <c r="J50" s="262" t="str">
        <f>F50</f>
        <v>Yes, most or all of them</v>
      </c>
      <c r="K50" s="152">
        <f>IFERROR(VLOOKUP(J50,AnsCTBL,2,FALSE),0)</f>
        <v>1</v>
      </c>
      <c r="L50" s="122"/>
      <c r="M50" s="609"/>
      <c r="N50" s="262" t="str">
        <f>J50</f>
        <v>Yes, most or all of them</v>
      </c>
      <c r="O50" s="152">
        <f>IFERROR(VLOOKUP(N50,AnsCTBL,2,FALSE),0)</f>
        <v>1</v>
      </c>
      <c r="P50" s="122"/>
      <c r="Q50" s="609"/>
      <c r="R50" s="262" t="str">
        <f>N50</f>
        <v>Yes, most or all of them</v>
      </c>
      <c r="S50" s="152">
        <f>IFERROR(VLOOKUP(R50,AnsCTBL,2,FALSE),0)</f>
        <v>1</v>
      </c>
      <c r="T50" s="122"/>
      <c r="U50" s="609"/>
      <c r="V50" s="262" t="str">
        <f>R50</f>
        <v>Yes, most or all of them</v>
      </c>
      <c r="W50" s="152">
        <f>IFERROR(VLOOKUP(V50,AnsCTBL,2,FALSE),0)</f>
        <v>1</v>
      </c>
      <c r="X50" s="122"/>
      <c r="Y50" s="609"/>
    </row>
    <row r="51" spans="1:25" x14ac:dyDescent="0.15">
      <c r="A51" s="142" t="str">
        <f>Interview!A70</f>
        <v>D-TA-B-2-1</v>
      </c>
      <c r="B51" s="637"/>
      <c r="C51" s="225">
        <f>VLOOKUP(A51,'imp-questions'!A:H,5,FALSE)</f>
        <v>2</v>
      </c>
      <c r="D51" s="176" t="str">
        <f>VLOOKUP(A51,'imp-questions'!A:H,6,FALSE)</f>
        <v>Do you use a standard methodology, aligned on your application risk levels?</v>
      </c>
      <c r="E51" s="144" t="str">
        <f>CHAR(65+VLOOKUP(A51,'imp-questions'!A:H,8,FALSE))</f>
        <v>F</v>
      </c>
      <c r="F51" s="172">
        <f>Interview!F70</f>
        <v>0</v>
      </c>
      <c r="G51" s="152">
        <f>IFERROR(VLOOKUP(F51,AnsFTBL,2,FALSE),0)</f>
        <v>0</v>
      </c>
      <c r="H51" s="122"/>
      <c r="I51" s="609"/>
      <c r="J51" s="262">
        <f>F51</f>
        <v>0</v>
      </c>
      <c r="K51" s="152">
        <f>IFERROR(VLOOKUP(J51,AnsFTBL,2,FALSE),0)</f>
        <v>0</v>
      </c>
      <c r="L51" s="122"/>
      <c r="M51" s="609"/>
      <c r="N51" s="262">
        <f>J51</f>
        <v>0</v>
      </c>
      <c r="O51" s="152">
        <f>IFERROR(VLOOKUP(N51,AnsFTBL,2,FALSE),0)</f>
        <v>0</v>
      </c>
      <c r="P51" s="122"/>
      <c r="Q51" s="609"/>
      <c r="R51" s="262">
        <f>N51</f>
        <v>0</v>
      </c>
      <c r="S51" s="152">
        <f>IFERROR(VLOOKUP(R51,AnsFTBL,2,FALSE),0)</f>
        <v>0</v>
      </c>
      <c r="T51" s="122"/>
      <c r="U51" s="609"/>
      <c r="V51" s="262">
        <f>R51</f>
        <v>0</v>
      </c>
      <c r="W51" s="152">
        <f>IFERROR(VLOOKUP(V51,AnsFTBL,2,FALSE),0)</f>
        <v>0</v>
      </c>
      <c r="X51" s="122"/>
      <c r="Y51" s="609"/>
    </row>
    <row r="52" spans="1:25" ht="28" x14ac:dyDescent="0.15">
      <c r="A52" s="142" t="str">
        <f>Interview!A72</f>
        <v>D-TA-B-3-1</v>
      </c>
      <c r="B52" s="638"/>
      <c r="C52" s="225">
        <f>VLOOKUP(A52,'imp-questions'!A:H,5,FALSE)</f>
        <v>3</v>
      </c>
      <c r="D52" s="252" t="str">
        <f>VLOOKUP(A52,'imp-questions'!A:H,6,FALSE)</f>
        <v>Do you regularly review and update the threat modeling methodology for your applications?</v>
      </c>
      <c r="E52" s="144" t="str">
        <f>CHAR(65+VLOOKUP(A52,'imp-questions'!A:H,8,FALSE))</f>
        <v>N</v>
      </c>
      <c r="F52" s="172">
        <f>Interview!F72</f>
        <v>0</v>
      </c>
      <c r="G52" s="152">
        <f>IFERROR(VLOOKUP(F52,AnsNTBL,2,FALSE),0)</f>
        <v>0</v>
      </c>
      <c r="H52" s="122"/>
      <c r="I52" s="610"/>
      <c r="J52" s="262">
        <f>F52</f>
        <v>0</v>
      </c>
      <c r="K52" s="152">
        <f>IFERROR(VLOOKUP(J52,AnsNTBL,2,FALSE),0)</f>
        <v>0</v>
      </c>
      <c r="L52" s="122"/>
      <c r="M52" s="610"/>
      <c r="N52" s="262">
        <f>J52</f>
        <v>0</v>
      </c>
      <c r="O52" s="152">
        <f>IFERROR(VLOOKUP(N52,AnsNTBL,2,FALSE),0)</f>
        <v>0</v>
      </c>
      <c r="P52" s="122"/>
      <c r="Q52" s="610"/>
      <c r="R52" s="262">
        <f>N52</f>
        <v>0</v>
      </c>
      <c r="S52" s="152">
        <f>IFERROR(VLOOKUP(R52,AnsNTBL,2,FALSE),0)</f>
        <v>0</v>
      </c>
      <c r="T52" s="122"/>
      <c r="U52" s="610"/>
      <c r="V52" s="262">
        <f>R52</f>
        <v>0</v>
      </c>
      <c r="W52" s="152">
        <f>IFERROR(VLOOKUP(V52,AnsNTBL,2,FALSE),0)</f>
        <v>0</v>
      </c>
      <c r="X52" s="122"/>
      <c r="Y52" s="610"/>
    </row>
    <row r="53" spans="1:25" ht="13" x14ac:dyDescent="0.15">
      <c r="A53" s="142"/>
      <c r="B53" s="233"/>
      <c r="C53" s="222"/>
      <c r="D53" s="204"/>
      <c r="E53" s="204"/>
      <c r="F53" s="204"/>
      <c r="G53" s="204"/>
      <c r="H53" s="204"/>
      <c r="I53" s="204"/>
      <c r="J53" s="204"/>
      <c r="K53" s="204"/>
      <c r="L53" s="204"/>
      <c r="M53" s="204"/>
      <c r="N53" s="204"/>
      <c r="O53" s="204"/>
      <c r="P53" s="204"/>
      <c r="Q53" s="204"/>
      <c r="R53" s="204"/>
      <c r="S53" s="204"/>
      <c r="T53" s="204"/>
      <c r="U53" s="204"/>
      <c r="V53" s="204"/>
      <c r="W53" s="204"/>
      <c r="X53" s="204"/>
      <c r="Y53" s="204"/>
    </row>
    <row r="54" spans="1:25" x14ac:dyDescent="0.15">
      <c r="A54" s="142"/>
      <c r="B54" s="235" t="s">
        <v>312</v>
      </c>
      <c r="C54" s="224" t="s">
        <v>313</v>
      </c>
      <c r="D54" s="197" t="s">
        <v>22</v>
      </c>
      <c r="E54" s="198"/>
      <c r="F54" s="68" t="s">
        <v>31</v>
      </c>
      <c r="G54" s="68"/>
      <c r="H54" s="111"/>
      <c r="I54" s="213" t="s">
        <v>29</v>
      </c>
      <c r="J54" s="68" t="s">
        <v>31</v>
      </c>
      <c r="K54" s="68"/>
      <c r="L54" s="111"/>
      <c r="M54" s="213" t="s">
        <v>29</v>
      </c>
      <c r="N54" s="68" t="s">
        <v>31</v>
      </c>
      <c r="O54" s="68"/>
      <c r="P54" s="111"/>
      <c r="Q54" s="213" t="s">
        <v>29</v>
      </c>
      <c r="R54" s="68" t="s">
        <v>31</v>
      </c>
      <c r="S54" s="68"/>
      <c r="T54" s="111"/>
      <c r="U54" s="213" t="s">
        <v>29</v>
      </c>
      <c r="V54" s="68" t="s">
        <v>31</v>
      </c>
      <c r="W54" s="68"/>
      <c r="X54" s="111"/>
      <c r="Y54" s="213" t="s">
        <v>29</v>
      </c>
    </row>
    <row r="55" spans="1:25" x14ac:dyDescent="0.15">
      <c r="A55" s="142" t="str">
        <f>Interview!A75</f>
        <v>D-SR-A-1-1</v>
      </c>
      <c r="B55" s="636" t="str">
        <f>VLOOKUP(A55,'imp-questions'!A:H,4,FALSE)</f>
        <v>Software Requirements</v>
      </c>
      <c r="C55" s="225">
        <f>VLOOKUP(A55,'imp-questions'!A:H,5,FALSE)</f>
        <v>1</v>
      </c>
      <c r="D55" s="176" t="str">
        <f>VLOOKUP(A55,'imp-questions'!A:H,6,FALSE)</f>
        <v>Do project teams specify security requirements during development?</v>
      </c>
      <c r="E55" s="144" t="str">
        <f>CHAR(65+VLOOKUP(A55,'imp-questions'!A:H,8,FALSE))</f>
        <v>F</v>
      </c>
      <c r="F55" s="169">
        <f>Interview!F75</f>
        <v>0</v>
      </c>
      <c r="G55" s="152">
        <f>IFERROR(VLOOKUP(F55,AnsFTBL,2,FALSE),0)</f>
        <v>0</v>
      </c>
      <c r="H55" s="257">
        <f>IFERROR(AVERAGE(G55,G59),0)</f>
        <v>0</v>
      </c>
      <c r="I55" s="608">
        <f>SUM(H55:H57)</f>
        <v>0</v>
      </c>
      <c r="J55" s="262">
        <f>F55</f>
        <v>0</v>
      </c>
      <c r="K55" s="152">
        <f>IFERROR(VLOOKUP(J55,AnsFTBL,2,FALSE),0)</f>
        <v>0</v>
      </c>
      <c r="L55" s="257">
        <f>IFERROR(AVERAGE(K55,K59),0)</f>
        <v>0</v>
      </c>
      <c r="M55" s="608">
        <f>SUM(L55:L57)</f>
        <v>0</v>
      </c>
      <c r="N55" s="262">
        <f>J55</f>
        <v>0</v>
      </c>
      <c r="O55" s="152">
        <f>IFERROR(VLOOKUP(N55,AnsFTBL,2,FALSE),0)</f>
        <v>0</v>
      </c>
      <c r="P55" s="257">
        <f>IFERROR(AVERAGE(O55,O59),0)</f>
        <v>0</v>
      </c>
      <c r="Q55" s="608">
        <f>SUM(P55:P57)</f>
        <v>0</v>
      </c>
      <c r="R55" s="262">
        <f>N55</f>
        <v>0</v>
      </c>
      <c r="S55" s="152">
        <f>IFERROR(VLOOKUP(R55,AnsFTBL,2,FALSE),0)</f>
        <v>0</v>
      </c>
      <c r="T55" s="257">
        <f>IFERROR(AVERAGE(S55,S59),0)</f>
        <v>0</v>
      </c>
      <c r="U55" s="608">
        <f>SUM(T55:T57)</f>
        <v>0</v>
      </c>
      <c r="V55" s="262">
        <f>R55</f>
        <v>0</v>
      </c>
      <c r="W55" s="152">
        <f>IFERROR(VLOOKUP(V55,AnsFTBL,2,FALSE),0)</f>
        <v>0</v>
      </c>
      <c r="X55" s="257">
        <f>IFERROR(AVERAGE(W55,W59),0)</f>
        <v>0</v>
      </c>
      <c r="Y55" s="608">
        <f>SUM(X55:X57)</f>
        <v>0</v>
      </c>
    </row>
    <row r="56" spans="1:25" ht="28" x14ac:dyDescent="0.15">
      <c r="A56" s="142" t="str">
        <f>Interview!A77</f>
        <v>D-SR-A-2-1</v>
      </c>
      <c r="B56" s="637"/>
      <c r="C56" s="225">
        <f>VLOOKUP(A56,'imp-questions'!A:H,5,FALSE)</f>
        <v>2</v>
      </c>
      <c r="D56" s="176" t="str">
        <f>VLOOKUP(A56,'imp-questions'!A:H,6,FALSE)</f>
        <v>Do you define, structure, and include prioritization in the artifacts of the security requirements gathering process?</v>
      </c>
      <c r="E56" s="144" t="str">
        <f>CHAR(65+VLOOKUP(A56,'imp-questions'!A:H,8,FALSE))</f>
        <v>H</v>
      </c>
      <c r="F56" s="173">
        <f>Interview!F77</f>
        <v>0</v>
      </c>
      <c r="G56" s="152">
        <f>IFERROR(VLOOKUP(F56,AnsHTBL,2,FALSE),0)</f>
        <v>0</v>
      </c>
      <c r="H56" s="257">
        <f>IFERROR(AVERAGE(G56,G60),0)</f>
        <v>0</v>
      </c>
      <c r="I56" s="609"/>
      <c r="J56" s="262">
        <f>F56</f>
        <v>0</v>
      </c>
      <c r="K56" s="152">
        <f>IFERROR(VLOOKUP(J56,AnsHTBL,2,FALSE),0)</f>
        <v>0</v>
      </c>
      <c r="L56" s="257">
        <f>IFERROR(AVERAGE(K56,K60),0)</f>
        <v>0</v>
      </c>
      <c r="M56" s="609"/>
      <c r="N56" s="262">
        <f>J56</f>
        <v>0</v>
      </c>
      <c r="O56" s="152">
        <f>IFERROR(VLOOKUP(N56,AnsHTBL,2,FALSE),0)</f>
        <v>0</v>
      </c>
      <c r="P56" s="257">
        <f>IFERROR(AVERAGE(O56,O60),0)</f>
        <v>0</v>
      </c>
      <c r="Q56" s="609"/>
      <c r="R56" s="262">
        <f>N56</f>
        <v>0</v>
      </c>
      <c r="S56" s="152">
        <f>IFERROR(VLOOKUP(R56,AnsHTBL,2,FALSE),0)</f>
        <v>0</v>
      </c>
      <c r="T56" s="257">
        <f>IFERROR(AVERAGE(S56,S60),0)</f>
        <v>0</v>
      </c>
      <c r="U56" s="609"/>
      <c r="V56" s="262">
        <f>R56</f>
        <v>0</v>
      </c>
      <c r="W56" s="152">
        <f>IFERROR(VLOOKUP(V56,AnsHTBL,2,FALSE),0)</f>
        <v>0</v>
      </c>
      <c r="X56" s="257">
        <f>IFERROR(AVERAGE(W56,W60),0)</f>
        <v>0</v>
      </c>
      <c r="Y56" s="609"/>
    </row>
    <row r="57" spans="1:25" ht="28" x14ac:dyDescent="0.15">
      <c r="A57" s="142" t="str">
        <f>Interview!A79</f>
        <v>D-SR-A-3-1</v>
      </c>
      <c r="B57" s="639"/>
      <c r="C57" s="225">
        <f>VLOOKUP(A57,'imp-questions'!A:H,5,FALSE)</f>
        <v>3</v>
      </c>
      <c r="D57" s="176" t="str">
        <f>VLOOKUP(A57,'imp-questions'!A:H,6,FALSE)</f>
        <v>Do you use a standard requirements framework to streamline the elicitation of security requirements?</v>
      </c>
      <c r="E57" s="144" t="str">
        <f>CHAR(65+VLOOKUP(A57,'imp-questions'!A:H,8,FALSE))</f>
        <v>F</v>
      </c>
      <c r="F57" s="169">
        <f>Interview!F79</f>
        <v>0</v>
      </c>
      <c r="G57" s="152">
        <f>IFERROR(VLOOKUP(F57,AnsFTBL,2,FALSE),0)</f>
        <v>0</v>
      </c>
      <c r="H57" s="257">
        <f>IFERROR(AVERAGE(G57,G61),0)</f>
        <v>0</v>
      </c>
      <c r="I57" s="609"/>
      <c r="J57" s="262">
        <f>F57</f>
        <v>0</v>
      </c>
      <c r="K57" s="152">
        <f>IFERROR(VLOOKUP(J57,AnsFTBL,2,FALSE),0)</f>
        <v>0</v>
      </c>
      <c r="L57" s="257">
        <f>IFERROR(AVERAGE(K57,K61),0)</f>
        <v>0</v>
      </c>
      <c r="M57" s="609"/>
      <c r="N57" s="262">
        <f>J57</f>
        <v>0</v>
      </c>
      <c r="O57" s="152">
        <f>IFERROR(VLOOKUP(N57,AnsFTBL,2,FALSE),0)</f>
        <v>0</v>
      </c>
      <c r="P57" s="257">
        <f>IFERROR(AVERAGE(O57,O61),0)</f>
        <v>0</v>
      </c>
      <c r="Q57" s="609"/>
      <c r="R57" s="262">
        <f>N57</f>
        <v>0</v>
      </c>
      <c r="S57" s="152">
        <f>IFERROR(VLOOKUP(R57,AnsFTBL,2,FALSE),0)</f>
        <v>0</v>
      </c>
      <c r="T57" s="257">
        <f>IFERROR(AVERAGE(S57,S61),0)</f>
        <v>0</v>
      </c>
      <c r="U57" s="609"/>
      <c r="V57" s="262">
        <f>R57</f>
        <v>0</v>
      </c>
      <c r="W57" s="152">
        <f>IFERROR(VLOOKUP(V57,AnsFTBL,2,FALSE),0)</f>
        <v>0</v>
      </c>
      <c r="X57" s="257">
        <f>IFERROR(AVERAGE(W57,W61),0)</f>
        <v>0</v>
      </c>
      <c r="Y57" s="609"/>
    </row>
    <row r="58" spans="1:25" ht="13" x14ac:dyDescent="0.15">
      <c r="A58" s="142"/>
      <c r="B58" s="236"/>
      <c r="C58" s="222"/>
      <c r="D58" s="204"/>
      <c r="E58" s="204"/>
      <c r="F58" s="204"/>
      <c r="G58" s="204"/>
      <c r="H58" s="204"/>
      <c r="I58" s="609"/>
      <c r="J58" s="204"/>
      <c r="K58" s="204"/>
      <c r="L58" s="204"/>
      <c r="M58" s="609"/>
      <c r="N58" s="204"/>
      <c r="O58" s="204"/>
      <c r="P58" s="204"/>
      <c r="Q58" s="609"/>
      <c r="R58" s="204"/>
      <c r="S58" s="204"/>
      <c r="T58" s="204"/>
      <c r="U58" s="609"/>
      <c r="V58" s="204"/>
      <c r="W58" s="204"/>
      <c r="X58" s="204"/>
      <c r="Y58" s="609"/>
    </row>
    <row r="59" spans="1:25" ht="28" x14ac:dyDescent="0.15">
      <c r="A59" s="142" t="str">
        <f>Interview!A82</f>
        <v>D-SR-B-1-1</v>
      </c>
      <c r="B59" s="636" t="str">
        <f>VLOOKUP(A59,'imp-questions'!A:H,4,FALSE)</f>
        <v>Supplier Security</v>
      </c>
      <c r="C59" s="225">
        <f>VLOOKUP(A59,'imp-questions'!A:H,5,FALSE)</f>
        <v>1</v>
      </c>
      <c r="D59" s="176" t="str">
        <f>VLOOKUP(A59,'imp-questions'!A:H,6,FALSE)</f>
        <v>Do stakeholders review vendor collaborations for security requirements and methodology?</v>
      </c>
      <c r="E59" s="144" t="str">
        <f>CHAR(65+VLOOKUP(A59,'imp-questions'!A:H,8,FALSE))</f>
        <v>H</v>
      </c>
      <c r="F59" s="169">
        <f>Interview!F82</f>
        <v>0</v>
      </c>
      <c r="G59" s="152">
        <f>IFERROR(VLOOKUP(F59,AnsHTBL,2,FALSE),0)</f>
        <v>0</v>
      </c>
      <c r="H59" s="122"/>
      <c r="I59" s="609"/>
      <c r="J59" s="262">
        <f>F59</f>
        <v>0</v>
      </c>
      <c r="K59" s="152">
        <f>IFERROR(VLOOKUP(J59,AnsHTBL,2,FALSE),0)</f>
        <v>0</v>
      </c>
      <c r="L59" s="122"/>
      <c r="M59" s="609"/>
      <c r="N59" s="262">
        <f>J59</f>
        <v>0</v>
      </c>
      <c r="O59" s="152">
        <f>IFERROR(VLOOKUP(N59,AnsHTBL,2,FALSE),0)</f>
        <v>0</v>
      </c>
      <c r="P59" s="122"/>
      <c r="Q59" s="609"/>
      <c r="R59" s="262">
        <f>N59</f>
        <v>0</v>
      </c>
      <c r="S59" s="152">
        <f>IFERROR(VLOOKUP(R59,AnsHTBL,2,FALSE),0)</f>
        <v>0</v>
      </c>
      <c r="T59" s="122"/>
      <c r="U59" s="609"/>
      <c r="V59" s="262">
        <f>R59</f>
        <v>0</v>
      </c>
      <c r="W59" s="152">
        <f>IFERROR(VLOOKUP(V59,AnsHTBL,2,FALSE),0)</f>
        <v>0</v>
      </c>
      <c r="X59" s="122"/>
      <c r="Y59" s="609"/>
    </row>
    <row r="60" spans="1:25" ht="28" x14ac:dyDescent="0.15">
      <c r="A60" s="142" t="str">
        <f>Interview!A84</f>
        <v>D-SR-B-2-1</v>
      </c>
      <c r="B60" s="637"/>
      <c r="C60" s="225">
        <f>VLOOKUP(A60,'imp-questions'!A:H,5,FALSE)</f>
        <v>2</v>
      </c>
      <c r="D60" s="176" t="str">
        <f>VLOOKUP(A60,'imp-questions'!A:H,6,FALSE)</f>
        <v>Do vendors meet the security responsibilities and quality measures of service level agreements defined by the organization?</v>
      </c>
      <c r="E60" s="144" t="str">
        <f>CHAR(65+VLOOKUP(A60,'imp-questions'!A:H,8,FALSE))</f>
        <v>H</v>
      </c>
      <c r="F60" s="173">
        <f>Interview!F84</f>
        <v>0</v>
      </c>
      <c r="G60" s="152">
        <f>IFERROR(VLOOKUP(F60,AnsHTBL,2,FALSE),0)</f>
        <v>0</v>
      </c>
      <c r="H60" s="122"/>
      <c r="I60" s="609"/>
      <c r="J60" s="262">
        <f>F60</f>
        <v>0</v>
      </c>
      <c r="K60" s="152">
        <f>IFERROR(VLOOKUP(J60,AnsHTBL,2,FALSE),0)</f>
        <v>0</v>
      </c>
      <c r="L60" s="122"/>
      <c r="M60" s="609"/>
      <c r="N60" s="262">
        <f>J60</f>
        <v>0</v>
      </c>
      <c r="O60" s="152">
        <f>IFERROR(VLOOKUP(N60,AnsHTBL,2,FALSE),0)</f>
        <v>0</v>
      </c>
      <c r="P60" s="122"/>
      <c r="Q60" s="609"/>
      <c r="R60" s="262">
        <f>N60</f>
        <v>0</v>
      </c>
      <c r="S60" s="152">
        <f>IFERROR(VLOOKUP(R60,AnsHTBL,2,FALSE),0)</f>
        <v>0</v>
      </c>
      <c r="T60" s="122"/>
      <c r="U60" s="609"/>
      <c r="V60" s="262">
        <f>R60</f>
        <v>0</v>
      </c>
      <c r="W60" s="152">
        <f>IFERROR(VLOOKUP(V60,AnsHTBL,2,FALSE),0)</f>
        <v>0</v>
      </c>
      <c r="X60" s="122"/>
      <c r="Y60" s="609"/>
    </row>
    <row r="61" spans="1:25" ht="28" x14ac:dyDescent="0.15">
      <c r="A61" s="142" t="str">
        <f>Interview!A86</f>
        <v>D-SR-B-3-1</v>
      </c>
      <c r="B61" s="638"/>
      <c r="C61" s="225">
        <f>VLOOKUP(A61,'imp-questions'!A:H,5,FALSE)</f>
        <v>3</v>
      </c>
      <c r="D61" s="252" t="str">
        <f>VLOOKUP(A61,'imp-questions'!A:H,6,FALSE)</f>
        <v>Are vendors aligned with standard security controls and software development tools and processes that the organization utilizes?</v>
      </c>
      <c r="E61" s="144" t="str">
        <f>CHAR(65+VLOOKUP(A61,'imp-questions'!A:H,8,FALSE))</f>
        <v>H</v>
      </c>
      <c r="F61" s="173">
        <f>Interview!F86</f>
        <v>0</v>
      </c>
      <c r="G61" s="152">
        <f>IFERROR(VLOOKUP(F61,AnsHTBL,2,FALSE),0)</f>
        <v>0</v>
      </c>
      <c r="H61" s="122"/>
      <c r="I61" s="610"/>
      <c r="J61" s="262">
        <f>F61</f>
        <v>0</v>
      </c>
      <c r="K61" s="152">
        <f>IFERROR(VLOOKUP(J61,AnsHTBL,2,FALSE),0)</f>
        <v>0</v>
      </c>
      <c r="L61" s="122"/>
      <c r="M61" s="610"/>
      <c r="N61" s="262">
        <f>J61</f>
        <v>0</v>
      </c>
      <c r="O61" s="152">
        <f>IFERROR(VLOOKUP(N61,AnsHTBL,2,FALSE),0)</f>
        <v>0</v>
      </c>
      <c r="P61" s="122"/>
      <c r="Q61" s="610"/>
      <c r="R61" s="262">
        <f>N61</f>
        <v>0</v>
      </c>
      <c r="S61" s="152">
        <f>IFERROR(VLOOKUP(R61,AnsHTBL,2,FALSE),0)</f>
        <v>0</v>
      </c>
      <c r="T61" s="122"/>
      <c r="U61" s="610"/>
      <c r="V61" s="262">
        <f>R61</f>
        <v>0</v>
      </c>
      <c r="W61" s="152">
        <f>IFERROR(VLOOKUP(V61,AnsHTBL,2,FALSE),0)</f>
        <v>0</v>
      </c>
      <c r="X61" s="122"/>
      <c r="Y61" s="610"/>
    </row>
    <row r="62" spans="1:25" ht="13" x14ac:dyDescent="0.15">
      <c r="A62" s="142"/>
      <c r="B62" s="233"/>
      <c r="C62" s="222"/>
      <c r="D62" s="204"/>
      <c r="E62" s="204"/>
      <c r="F62" s="204"/>
      <c r="G62" s="204"/>
      <c r="H62" s="204"/>
      <c r="I62" s="204"/>
      <c r="J62" s="204"/>
      <c r="K62" s="204"/>
      <c r="L62" s="204"/>
      <c r="M62" s="204"/>
      <c r="N62" s="204"/>
      <c r="O62" s="204"/>
      <c r="P62" s="204"/>
      <c r="Q62" s="204"/>
      <c r="R62" s="204"/>
      <c r="S62" s="204"/>
      <c r="T62" s="204"/>
      <c r="U62" s="204"/>
      <c r="V62" s="204"/>
      <c r="W62" s="204"/>
      <c r="X62" s="204"/>
      <c r="Y62" s="204"/>
    </row>
    <row r="63" spans="1:25" x14ac:dyDescent="0.15">
      <c r="A63" s="142"/>
      <c r="B63" s="235" t="s">
        <v>312</v>
      </c>
      <c r="C63" s="224" t="s">
        <v>313</v>
      </c>
      <c r="D63" s="197" t="s">
        <v>23</v>
      </c>
      <c r="E63" s="198"/>
      <c r="F63" s="68" t="s">
        <v>31</v>
      </c>
      <c r="G63" s="68"/>
      <c r="H63" s="111"/>
      <c r="I63" s="213" t="s">
        <v>29</v>
      </c>
      <c r="J63" s="68" t="s">
        <v>31</v>
      </c>
      <c r="K63" s="68"/>
      <c r="L63" s="111"/>
      <c r="M63" s="213" t="s">
        <v>29</v>
      </c>
      <c r="N63" s="68" t="s">
        <v>31</v>
      </c>
      <c r="O63" s="68"/>
      <c r="P63" s="111"/>
      <c r="Q63" s="213" t="s">
        <v>29</v>
      </c>
      <c r="R63" s="68" t="s">
        <v>31</v>
      </c>
      <c r="S63" s="68"/>
      <c r="T63" s="111"/>
      <c r="U63" s="213" t="s">
        <v>29</v>
      </c>
      <c r="V63" s="68" t="s">
        <v>31</v>
      </c>
      <c r="W63" s="68"/>
      <c r="X63" s="111"/>
      <c r="Y63" s="213" t="s">
        <v>29</v>
      </c>
    </row>
    <row r="64" spans="1:25" x14ac:dyDescent="0.15">
      <c r="A64" s="142" t="str">
        <f>Interview!A89</f>
        <v>D-SA-A-1-1</v>
      </c>
      <c r="B64" s="636" t="str">
        <f>VLOOKUP(A64,'imp-questions'!A:H,4,FALSE)</f>
        <v>Architecture Design</v>
      </c>
      <c r="C64" s="225">
        <f>VLOOKUP(A64,'imp-questions'!A:H,5,FALSE)</f>
        <v>1</v>
      </c>
      <c r="D64" s="176" t="str">
        <f>VLOOKUP(A64,'imp-questions'!A:H,6,FALSE)</f>
        <v>Do teams use security principles during design?</v>
      </c>
      <c r="E64" s="144" t="str">
        <f>CHAR(65+VLOOKUP(A64,'imp-questions'!A:H,8,FALSE))</f>
        <v>F</v>
      </c>
      <c r="F64" s="169" t="str">
        <f>Interview!F89</f>
        <v>Yes, for most or all of the applications</v>
      </c>
      <c r="G64" s="152">
        <f>IFERROR(VLOOKUP(F64,AnsFTBL,2,FALSE),0)</f>
        <v>1</v>
      </c>
      <c r="H64" s="257">
        <f>IFERROR(AVERAGE(G64,G68),0)</f>
        <v>0.5</v>
      </c>
      <c r="I64" s="608">
        <f>SUM(H64:H66)</f>
        <v>0.5</v>
      </c>
      <c r="J64" s="262" t="str">
        <f>F64</f>
        <v>Yes, for most or all of the applications</v>
      </c>
      <c r="K64" s="152">
        <f>IFERROR(VLOOKUP(J64,AnsFTBL,2,FALSE),0)</f>
        <v>1</v>
      </c>
      <c r="L64" s="257">
        <f>IFERROR(AVERAGE(K64,K68),0)</f>
        <v>0.5</v>
      </c>
      <c r="M64" s="608">
        <f>SUM(L64:L66)</f>
        <v>0.5</v>
      </c>
      <c r="N64" s="262" t="str">
        <f>J64</f>
        <v>Yes, for most or all of the applications</v>
      </c>
      <c r="O64" s="152">
        <f>IFERROR(VLOOKUP(N64,AnsFTBL,2,FALSE),0)</f>
        <v>1</v>
      </c>
      <c r="P64" s="257">
        <f>IFERROR(AVERAGE(O64,O68),0)</f>
        <v>0.5</v>
      </c>
      <c r="Q64" s="608">
        <f>SUM(P64:P66)</f>
        <v>0.5</v>
      </c>
      <c r="R64" s="262" t="str">
        <f>N64</f>
        <v>Yes, for most or all of the applications</v>
      </c>
      <c r="S64" s="152">
        <f>IFERROR(VLOOKUP(R64,AnsFTBL,2,FALSE),0)</f>
        <v>1</v>
      </c>
      <c r="T64" s="257">
        <f>IFERROR(AVERAGE(S64,S68),0)</f>
        <v>0.5</v>
      </c>
      <c r="U64" s="608">
        <f>SUM(T64:T66)</f>
        <v>0.5</v>
      </c>
      <c r="V64" s="262" t="str">
        <f>R64</f>
        <v>Yes, for most or all of the applications</v>
      </c>
      <c r="W64" s="152">
        <f>IFERROR(VLOOKUP(V64,AnsFTBL,2,FALSE),0)</f>
        <v>1</v>
      </c>
      <c r="X64" s="257">
        <f>IFERROR(AVERAGE(W64,W68),0)</f>
        <v>0.5</v>
      </c>
      <c r="Y64" s="608">
        <f>SUM(X64:X66)</f>
        <v>0.5</v>
      </c>
    </row>
    <row r="65" spans="1:25" x14ac:dyDescent="0.15">
      <c r="A65" s="142" t="str">
        <f>Interview!A91</f>
        <v>D-SA-A-2-1</v>
      </c>
      <c r="B65" s="637"/>
      <c r="C65" s="225">
        <f>VLOOKUP(A65,'imp-questions'!A:H,5,FALSE)</f>
        <v>2</v>
      </c>
      <c r="D65" s="176" t="str">
        <f>VLOOKUP(A65,'imp-questions'!A:H,6,FALSE)</f>
        <v>Do you use shared security services during design?</v>
      </c>
      <c r="E65" s="144" t="str">
        <f>CHAR(65+VLOOKUP(A65,'imp-questions'!A:H,8,FALSE))</f>
        <v>F</v>
      </c>
      <c r="F65" s="169">
        <f>Interview!F91</f>
        <v>0</v>
      </c>
      <c r="G65" s="152">
        <f>IFERROR(VLOOKUP(F65,AnsFTBL,2,FALSE),0)</f>
        <v>0</v>
      </c>
      <c r="H65" s="257">
        <f>IFERROR(AVERAGE(G65,G69),0)</f>
        <v>0</v>
      </c>
      <c r="I65" s="609"/>
      <c r="J65" s="262">
        <f>F65</f>
        <v>0</v>
      </c>
      <c r="K65" s="152">
        <f>IFERROR(VLOOKUP(J65,AnsFTBL,2,FALSE),0)</f>
        <v>0</v>
      </c>
      <c r="L65" s="257">
        <f>IFERROR(AVERAGE(K65,K69),0)</f>
        <v>0</v>
      </c>
      <c r="M65" s="609"/>
      <c r="N65" s="262">
        <f>J65</f>
        <v>0</v>
      </c>
      <c r="O65" s="152">
        <f>IFERROR(VLOOKUP(N65,AnsFTBL,2,FALSE),0)</f>
        <v>0</v>
      </c>
      <c r="P65" s="257">
        <f>IFERROR(AVERAGE(O65,O69),0)</f>
        <v>0</v>
      </c>
      <c r="Q65" s="609"/>
      <c r="R65" s="262">
        <f>N65</f>
        <v>0</v>
      </c>
      <c r="S65" s="152">
        <f>IFERROR(VLOOKUP(R65,AnsFTBL,2,FALSE),0)</f>
        <v>0</v>
      </c>
      <c r="T65" s="257">
        <f>IFERROR(AVERAGE(S65,S69),0)</f>
        <v>0</v>
      </c>
      <c r="U65" s="609"/>
      <c r="V65" s="262">
        <f>R65</f>
        <v>0</v>
      </c>
      <c r="W65" s="152">
        <f>IFERROR(VLOOKUP(V65,AnsFTBL,2,FALSE),0)</f>
        <v>0</v>
      </c>
      <c r="X65" s="257">
        <f>IFERROR(AVERAGE(W65,W69),0)</f>
        <v>0</v>
      </c>
      <c r="Y65" s="609"/>
    </row>
    <row r="66" spans="1:25" x14ac:dyDescent="0.15">
      <c r="A66" s="142" t="str">
        <f>Interview!A93</f>
        <v>D-SA-A-3-1</v>
      </c>
      <c r="B66" s="639"/>
      <c r="C66" s="225">
        <f>VLOOKUP(A66,'imp-questions'!A:H,5,FALSE)</f>
        <v>3</v>
      </c>
      <c r="D66" s="252" t="str">
        <f>VLOOKUP(A66,'imp-questions'!A:H,6,FALSE)</f>
        <v>Do you base your design on available reference architectures?</v>
      </c>
      <c r="E66" s="144" t="str">
        <f>CHAR(65+VLOOKUP(A66,'imp-questions'!A:H,8,FALSE))</f>
        <v>F</v>
      </c>
      <c r="F66" s="169">
        <f>Interview!F93</f>
        <v>0</v>
      </c>
      <c r="G66" s="152">
        <f>IFERROR(VLOOKUP(F66,AnsFTBL,2,FALSE),0)</f>
        <v>0</v>
      </c>
      <c r="H66" s="257">
        <f>IFERROR(AVERAGE(G66,G70),0)</f>
        <v>0</v>
      </c>
      <c r="I66" s="609"/>
      <c r="J66" s="262">
        <f>F66</f>
        <v>0</v>
      </c>
      <c r="K66" s="152">
        <f>IFERROR(VLOOKUP(J66,AnsFTBL,2,FALSE),0)</f>
        <v>0</v>
      </c>
      <c r="L66" s="257">
        <f>IFERROR(AVERAGE(K66,K70),0)</f>
        <v>0</v>
      </c>
      <c r="M66" s="609"/>
      <c r="N66" s="262">
        <f>J66</f>
        <v>0</v>
      </c>
      <c r="O66" s="152">
        <f>IFERROR(VLOOKUP(N66,AnsFTBL,2,FALSE),0)</f>
        <v>0</v>
      </c>
      <c r="P66" s="257">
        <f>IFERROR(AVERAGE(O66,O70),0)</f>
        <v>0</v>
      </c>
      <c r="Q66" s="609"/>
      <c r="R66" s="262">
        <f>N66</f>
        <v>0</v>
      </c>
      <c r="S66" s="152">
        <f>IFERROR(VLOOKUP(R66,AnsFTBL,2,FALSE),0)</f>
        <v>0</v>
      </c>
      <c r="T66" s="257">
        <f>IFERROR(AVERAGE(S66,S70),0)</f>
        <v>0</v>
      </c>
      <c r="U66" s="609"/>
      <c r="V66" s="262">
        <f>R66</f>
        <v>0</v>
      </c>
      <c r="W66" s="152">
        <f>IFERROR(VLOOKUP(V66,AnsFTBL,2,FALSE),0)</f>
        <v>0</v>
      </c>
      <c r="X66" s="257">
        <f>IFERROR(AVERAGE(W66,W70),0)</f>
        <v>0</v>
      </c>
      <c r="Y66" s="609"/>
    </row>
    <row r="67" spans="1:25" ht="13" x14ac:dyDescent="0.15">
      <c r="A67" s="142"/>
      <c r="B67" s="236"/>
      <c r="C67" s="222"/>
      <c r="D67" s="204"/>
      <c r="E67" s="204"/>
      <c r="F67" s="204"/>
      <c r="G67" s="204"/>
      <c r="H67" s="204"/>
      <c r="I67" s="609"/>
      <c r="J67" s="204"/>
      <c r="K67" s="204"/>
      <c r="L67" s="204"/>
      <c r="M67" s="609"/>
      <c r="N67" s="204"/>
      <c r="O67" s="204"/>
      <c r="P67" s="204"/>
      <c r="Q67" s="609"/>
      <c r="R67" s="204"/>
      <c r="S67" s="204"/>
      <c r="T67" s="204"/>
      <c r="U67" s="609"/>
      <c r="V67" s="204"/>
      <c r="W67" s="204"/>
      <c r="X67" s="204"/>
      <c r="Y67" s="609"/>
    </row>
    <row r="68" spans="1:25" ht="28" x14ac:dyDescent="0.15">
      <c r="A68" s="142" t="str">
        <f>Interview!A96</f>
        <v>D-SA-B-1-1</v>
      </c>
      <c r="B68" s="636" t="str">
        <f>VLOOKUP(A68,'imp-questions'!A:H,4,FALSE)</f>
        <v>Technology Management</v>
      </c>
      <c r="C68" s="225">
        <f>VLOOKUP(A68,'imp-questions'!A:H,5,FALSE)</f>
        <v>1</v>
      </c>
      <c r="D68" s="176" t="str">
        <f>VLOOKUP(A68,'imp-questions'!A:H,6,FALSE)</f>
        <v>Do you evaluate the security quality of important technologies used for development?</v>
      </c>
      <c r="E68" s="144" t="str">
        <f>CHAR(65+VLOOKUP(A68,'imp-questions'!A:H,8,FALSE))</f>
        <v>F</v>
      </c>
      <c r="F68" s="169">
        <f>Interview!F96</f>
        <v>0</v>
      </c>
      <c r="G68" s="152">
        <f>IFERROR(VLOOKUP(F68,AnsFTBL,2,FALSE),0)</f>
        <v>0</v>
      </c>
      <c r="H68" s="122"/>
      <c r="I68" s="609"/>
      <c r="J68" s="262">
        <f>F68</f>
        <v>0</v>
      </c>
      <c r="K68" s="152">
        <f>IFERROR(VLOOKUP(J68,AnsFTBL,2,FALSE),0)</f>
        <v>0</v>
      </c>
      <c r="L68" s="122"/>
      <c r="M68" s="609"/>
      <c r="N68" s="262">
        <f>J68</f>
        <v>0</v>
      </c>
      <c r="O68" s="152">
        <f>IFERROR(VLOOKUP(N68,AnsFTBL,2,FALSE),0)</f>
        <v>0</v>
      </c>
      <c r="P68" s="122"/>
      <c r="Q68" s="609"/>
      <c r="R68" s="262">
        <f>N68</f>
        <v>0</v>
      </c>
      <c r="S68" s="152">
        <f>IFERROR(VLOOKUP(R68,AnsFTBL,2,FALSE),0)</f>
        <v>0</v>
      </c>
      <c r="T68" s="122"/>
      <c r="U68" s="609"/>
      <c r="V68" s="262">
        <f>R68</f>
        <v>0</v>
      </c>
      <c r="W68" s="152">
        <f>IFERROR(VLOOKUP(V68,AnsFTBL,2,FALSE),0)</f>
        <v>0</v>
      </c>
      <c r="X68" s="122"/>
      <c r="Y68" s="609"/>
    </row>
    <row r="69" spans="1:25" x14ac:dyDescent="0.15">
      <c r="A69" s="142" t="str">
        <f>Interview!A98</f>
        <v>D-SA-B-2-1</v>
      </c>
      <c r="B69" s="637"/>
      <c r="C69" s="225">
        <f>VLOOKUP(A69,'imp-questions'!A:H,5,FALSE)</f>
        <v>2</v>
      </c>
      <c r="D69" s="176" t="str">
        <f>VLOOKUP(A69,'imp-questions'!A:H,6,FALSE)</f>
        <v>Do you have a list of recommended technologies for the organization?</v>
      </c>
      <c r="E69" s="144" t="str">
        <f>CHAR(65+VLOOKUP(A69,'imp-questions'!A:H,8,FALSE))</f>
        <v>U</v>
      </c>
      <c r="F69" s="173">
        <f>Interview!F98</f>
        <v>0</v>
      </c>
      <c r="G69" s="152">
        <f>IFERROR(VLOOKUP(F69,AnsUTBL,2,FALSE),0)</f>
        <v>0</v>
      </c>
      <c r="H69" s="122"/>
      <c r="I69" s="609"/>
      <c r="J69" s="262">
        <f>F69</f>
        <v>0</v>
      </c>
      <c r="K69" s="152">
        <f>IFERROR(VLOOKUP(J69,AnsUTBL,2,FALSE),0)</f>
        <v>0</v>
      </c>
      <c r="L69" s="122"/>
      <c r="M69" s="609"/>
      <c r="N69" s="262">
        <f>J69</f>
        <v>0</v>
      </c>
      <c r="O69" s="152">
        <f>IFERROR(VLOOKUP(N69,AnsUTBL,2,FALSE),0)</f>
        <v>0</v>
      </c>
      <c r="P69" s="122"/>
      <c r="Q69" s="609"/>
      <c r="R69" s="262">
        <f>N69</f>
        <v>0</v>
      </c>
      <c r="S69" s="152">
        <f>IFERROR(VLOOKUP(R69,AnsUTBL,2,FALSE),0)</f>
        <v>0</v>
      </c>
      <c r="T69" s="122"/>
      <c r="U69" s="609"/>
      <c r="V69" s="262">
        <f>R69</f>
        <v>0</v>
      </c>
      <c r="W69" s="152">
        <f>IFERROR(VLOOKUP(V69,AnsUTBL,2,FALSE),0)</f>
        <v>0</v>
      </c>
      <c r="X69" s="122"/>
      <c r="Y69" s="609"/>
    </row>
    <row r="70" spans="1:25" x14ac:dyDescent="0.15">
      <c r="A70" s="142" t="str">
        <f>Interview!A100</f>
        <v>D-SA-B-3-1</v>
      </c>
      <c r="B70" s="637"/>
      <c r="C70" s="225">
        <f>VLOOKUP(A70,'imp-questions'!A:H,5,FALSE)</f>
        <v>3</v>
      </c>
      <c r="D70" s="252" t="str">
        <f>VLOOKUP(A70,'imp-questions'!A:H,6,FALSE)</f>
        <v>Do you enforce the use of recommended technologies within the organization?</v>
      </c>
      <c r="E70" s="144" t="str">
        <f>CHAR(65+VLOOKUP(A70,'imp-questions'!A:H,8,FALSE))</f>
        <v>F</v>
      </c>
      <c r="F70" s="169">
        <f>Interview!F100</f>
        <v>0</v>
      </c>
      <c r="G70" s="152">
        <f>IFERROR(VLOOKUP(F70,AnsFTBL,2,FALSE),0)</f>
        <v>0</v>
      </c>
      <c r="H70" s="122"/>
      <c r="I70" s="611"/>
      <c r="J70" s="262">
        <f>F70</f>
        <v>0</v>
      </c>
      <c r="K70" s="152">
        <f>IFERROR(VLOOKUP(J70,AnsFTBL,2,FALSE),0)</f>
        <v>0</v>
      </c>
      <c r="L70" s="122"/>
      <c r="M70" s="611"/>
      <c r="N70" s="262">
        <f>J70</f>
        <v>0</v>
      </c>
      <c r="O70" s="152">
        <f>IFERROR(VLOOKUP(N70,AnsFTBL,2,FALSE),0)</f>
        <v>0</v>
      </c>
      <c r="P70" s="122"/>
      <c r="Q70" s="611"/>
      <c r="R70" s="262">
        <f>N70</f>
        <v>0</v>
      </c>
      <c r="S70" s="152">
        <f>IFERROR(VLOOKUP(R70,AnsFTBL,2,FALSE),0)</f>
        <v>0</v>
      </c>
      <c r="T70" s="122"/>
      <c r="U70" s="611"/>
      <c r="V70" s="262">
        <f>R70</f>
        <v>0</v>
      </c>
      <c r="W70" s="152">
        <f>IFERROR(VLOOKUP(V70,AnsFTBL,2,FALSE),0)</f>
        <v>0</v>
      </c>
      <c r="X70" s="122"/>
      <c r="Y70" s="611"/>
    </row>
    <row r="71" spans="1:25" ht="13" x14ac:dyDescent="0.15">
      <c r="A71" s="142"/>
      <c r="B71" s="236"/>
      <c r="C71" s="222"/>
      <c r="D71" s="204"/>
      <c r="E71" s="204"/>
      <c r="F71" s="204"/>
      <c r="G71" s="204"/>
      <c r="H71" s="204"/>
      <c r="I71" s="204"/>
      <c r="J71" s="204"/>
      <c r="K71" s="204"/>
      <c r="L71" s="204"/>
      <c r="M71" s="204"/>
      <c r="N71" s="204"/>
      <c r="O71" s="204"/>
      <c r="P71" s="204"/>
      <c r="Q71" s="204"/>
      <c r="R71" s="204"/>
      <c r="S71" s="204"/>
      <c r="T71" s="204"/>
      <c r="U71" s="204"/>
      <c r="V71" s="204"/>
      <c r="W71" s="204"/>
      <c r="X71" s="204"/>
      <c r="Y71" s="204"/>
    </row>
    <row r="72" spans="1:25" ht="28" x14ac:dyDescent="0.15">
      <c r="A72" s="142"/>
      <c r="B72" s="280" t="s">
        <v>208</v>
      </c>
      <c r="C72" s="280"/>
      <c r="D72" s="281"/>
      <c r="E72" s="281"/>
      <c r="F72" s="641" t="s">
        <v>55</v>
      </c>
      <c r="G72" s="641"/>
      <c r="H72" s="641"/>
      <c r="I72" s="641"/>
      <c r="J72" s="642" t="s">
        <v>314</v>
      </c>
      <c r="K72" s="641"/>
      <c r="L72" s="641"/>
      <c r="M72" s="643"/>
      <c r="N72" s="642" t="s">
        <v>315</v>
      </c>
      <c r="O72" s="641"/>
      <c r="P72" s="641"/>
      <c r="Q72" s="643"/>
      <c r="R72" s="642" t="s">
        <v>316</v>
      </c>
      <c r="S72" s="641"/>
      <c r="T72" s="641"/>
      <c r="U72" s="643"/>
      <c r="V72" s="642" t="s">
        <v>317</v>
      </c>
      <c r="W72" s="641"/>
      <c r="X72" s="641"/>
      <c r="Y72" s="643"/>
    </row>
    <row r="73" spans="1:25" x14ac:dyDescent="0.15">
      <c r="A73" s="142"/>
      <c r="B73" s="282" t="s">
        <v>312</v>
      </c>
      <c r="C73" s="283" t="s">
        <v>313</v>
      </c>
      <c r="D73" s="282" t="s">
        <v>209</v>
      </c>
      <c r="E73" s="285"/>
      <c r="F73" s="286" t="s">
        <v>31</v>
      </c>
      <c r="G73" s="286"/>
      <c r="H73" s="287"/>
      <c r="I73" s="288" t="s">
        <v>29</v>
      </c>
      <c r="J73" s="286" t="s">
        <v>31</v>
      </c>
      <c r="K73" s="286"/>
      <c r="L73" s="287"/>
      <c r="M73" s="288" t="s">
        <v>29</v>
      </c>
      <c r="N73" s="286" t="s">
        <v>31</v>
      </c>
      <c r="O73" s="286"/>
      <c r="P73" s="287"/>
      <c r="Q73" s="288" t="s">
        <v>29</v>
      </c>
      <c r="R73" s="286" t="s">
        <v>31</v>
      </c>
      <c r="S73" s="286"/>
      <c r="T73" s="287"/>
      <c r="U73" s="288" t="s">
        <v>29</v>
      </c>
      <c r="V73" s="286" t="s">
        <v>31</v>
      </c>
      <c r="W73" s="286"/>
      <c r="X73" s="287"/>
      <c r="Y73" s="288" t="s">
        <v>29</v>
      </c>
    </row>
    <row r="74" spans="1:25" x14ac:dyDescent="0.15">
      <c r="A74" s="142" t="str">
        <f>Interview!A104</f>
        <v>I-SB-A-1-1</v>
      </c>
      <c r="B74" s="629" t="str">
        <f>VLOOKUP(A74,'imp-questions'!A:H,4,FALSE)</f>
        <v>Build Process</v>
      </c>
      <c r="C74" s="284">
        <f>VLOOKUP(A74,'imp-questions'!A:H,5,FALSE)</f>
        <v>1</v>
      </c>
      <c r="D74" s="176" t="str">
        <f>VLOOKUP(A74,'imp-questions'!A:H,6,FALSE)</f>
        <v>Is your full build process formally described?</v>
      </c>
      <c r="E74" s="144" t="str">
        <f>CHAR(65+VLOOKUP(A74,'imp-questions'!A:H,8,FALSE))</f>
        <v>F</v>
      </c>
      <c r="F74" s="169">
        <f>Interview!F104</f>
        <v>0</v>
      </c>
      <c r="G74" s="152">
        <f>IFERROR(VLOOKUP(F74,AnsFTBL,2,FALSE),0)</f>
        <v>0</v>
      </c>
      <c r="H74" s="257">
        <f>IFERROR(AVERAGE(G74,G78),0)</f>
        <v>0.5</v>
      </c>
      <c r="I74" s="612">
        <f>SUM(H74:H76)</f>
        <v>0.5</v>
      </c>
      <c r="J74" s="169">
        <f>Interview!J104</f>
        <v>0.5</v>
      </c>
      <c r="K74" s="152">
        <f>IFERROR(VLOOKUP(J74,AnsFTBL,2,FALSE),0)</f>
        <v>0</v>
      </c>
      <c r="L74" s="257">
        <f>IFERROR(AVERAGE(K74,K78),0)</f>
        <v>0</v>
      </c>
      <c r="M74" s="612">
        <f>SUM(L74:L76)</f>
        <v>0</v>
      </c>
      <c r="N74" s="169">
        <f>Interview!M104</f>
        <v>0</v>
      </c>
      <c r="O74" s="152">
        <f>IFERROR(VLOOKUP(N74,AnsFTBL,2,FALSE),0)</f>
        <v>0</v>
      </c>
      <c r="P74" s="257">
        <f>IFERROR(AVERAGE(O74,O78),0)</f>
        <v>0</v>
      </c>
      <c r="Q74" s="612">
        <f>SUM(P74:P76)</f>
        <v>0</v>
      </c>
      <c r="R74" s="262">
        <f>N74</f>
        <v>0</v>
      </c>
      <c r="S74" s="152">
        <f>IFERROR(VLOOKUP(R74,AnsFTBL,2,FALSE),0)</f>
        <v>0</v>
      </c>
      <c r="T74" s="257">
        <f>IFERROR(AVERAGE(S74,S78),0)</f>
        <v>0</v>
      </c>
      <c r="U74" s="612">
        <f>SUM(T74:T76)</f>
        <v>0</v>
      </c>
      <c r="V74" s="262">
        <f>R74</f>
        <v>0</v>
      </c>
      <c r="W74" s="152">
        <f>IFERROR(VLOOKUP(V74,AnsFTBL,2,FALSE),0)</f>
        <v>0</v>
      </c>
      <c r="X74" s="257">
        <f>IFERROR(AVERAGE(W74,W78),0)</f>
        <v>0</v>
      </c>
      <c r="Y74" s="612">
        <f>SUM(X74:X76)</f>
        <v>0</v>
      </c>
    </row>
    <row r="75" spans="1:25" x14ac:dyDescent="0.15">
      <c r="A75" s="142" t="str">
        <f>Interview!A106</f>
        <v>I-SB-A-2-1</v>
      </c>
      <c r="B75" s="630"/>
      <c r="C75" s="284">
        <f>VLOOKUP(A75,'imp-questions'!A:H,5,FALSE)</f>
        <v>2</v>
      </c>
      <c r="D75" s="176" t="str">
        <f>VLOOKUP(A75,'imp-questions'!A:H,6,FALSE)</f>
        <v>Is the build process fully automated?</v>
      </c>
      <c r="E75" s="144" t="str">
        <f>CHAR(65+VLOOKUP(A75,'imp-questions'!A:H,8,FALSE))</f>
        <v>F</v>
      </c>
      <c r="F75" s="169">
        <f>Interview!F106</f>
        <v>0</v>
      </c>
      <c r="G75" s="152">
        <f>IFERROR(VLOOKUP(F75,AnsFTBL,2,FALSE),0)</f>
        <v>0</v>
      </c>
      <c r="H75" s="257">
        <f>IFERROR(AVERAGE(G75,G79),0)</f>
        <v>0</v>
      </c>
      <c r="I75" s="613"/>
      <c r="J75" s="169">
        <f>Interview!J106</f>
        <v>0</v>
      </c>
      <c r="K75" s="152">
        <f>IFERROR(VLOOKUP(J75,AnsFTBL,2,FALSE),0)</f>
        <v>0</v>
      </c>
      <c r="L75" s="257">
        <f>IFERROR(AVERAGE(K75,K79),0)</f>
        <v>0</v>
      </c>
      <c r="M75" s="613"/>
      <c r="N75" s="169">
        <f>Interview!M106</f>
        <v>0</v>
      </c>
      <c r="O75" s="152">
        <f>IFERROR(VLOOKUP(N75,AnsFTBL,2,FALSE),0)</f>
        <v>0</v>
      </c>
      <c r="P75" s="257">
        <f>IFERROR(AVERAGE(O75,O79),0)</f>
        <v>0</v>
      </c>
      <c r="Q75" s="613"/>
      <c r="R75" s="262">
        <f>N75</f>
        <v>0</v>
      </c>
      <c r="S75" s="152">
        <f>IFERROR(VLOOKUP(R75,AnsFTBL,2,FALSE),0)</f>
        <v>0</v>
      </c>
      <c r="T75" s="257">
        <f>IFERROR(AVERAGE(S75,S79),0)</f>
        <v>0</v>
      </c>
      <c r="U75" s="613"/>
      <c r="V75" s="262">
        <f>R75</f>
        <v>0</v>
      </c>
      <c r="W75" s="152">
        <f>IFERROR(VLOOKUP(V75,AnsFTBL,2,FALSE),0)</f>
        <v>0</v>
      </c>
      <c r="X75" s="257">
        <f>IFERROR(AVERAGE(W75,W79),0)</f>
        <v>0</v>
      </c>
      <c r="Y75" s="613"/>
    </row>
    <row r="76" spans="1:25" x14ac:dyDescent="0.15">
      <c r="A76" s="142" t="str">
        <f>Interview!A108</f>
        <v>I-SB-A-3-1</v>
      </c>
      <c r="B76" s="631"/>
      <c r="C76" s="284">
        <f>VLOOKUP(A76,'imp-questions'!A:H,5,FALSE)</f>
        <v>3</v>
      </c>
      <c r="D76" s="252" t="str">
        <f>VLOOKUP(A76,'imp-questions'!A:H,6,FALSE)</f>
        <v>Do you enforce automated security checks in your build processes?</v>
      </c>
      <c r="E76" s="144" t="str">
        <f>CHAR(65+VLOOKUP(A76,'imp-questions'!A:H,8,FALSE))</f>
        <v>F</v>
      </c>
      <c r="F76" s="169">
        <f>Interview!F108</f>
        <v>0</v>
      </c>
      <c r="G76" s="152">
        <f>IFERROR(VLOOKUP(F76,AnsFTBL,2,FALSE),0)</f>
        <v>0</v>
      </c>
      <c r="H76" s="257">
        <f>IFERROR(AVERAGE(G76,G80),0)</f>
        <v>0</v>
      </c>
      <c r="I76" s="613"/>
      <c r="J76" s="169">
        <f>Interview!J108</f>
        <v>0</v>
      </c>
      <c r="K76" s="152">
        <f>IFERROR(VLOOKUP(J76,AnsFTBL,2,FALSE),0)</f>
        <v>0</v>
      </c>
      <c r="L76" s="257">
        <f>IFERROR(AVERAGE(K76,K80),0)</f>
        <v>0</v>
      </c>
      <c r="M76" s="613"/>
      <c r="N76" s="169">
        <f>Interview!M108</f>
        <v>0</v>
      </c>
      <c r="O76" s="152">
        <f>IFERROR(VLOOKUP(N76,AnsFTBL,2,FALSE),0)</f>
        <v>0</v>
      </c>
      <c r="P76" s="257">
        <f>IFERROR(AVERAGE(O76,O80),0)</f>
        <v>0</v>
      </c>
      <c r="Q76" s="613"/>
      <c r="R76" s="262">
        <f>N76</f>
        <v>0</v>
      </c>
      <c r="S76" s="152">
        <f>IFERROR(VLOOKUP(R76,AnsFTBL,2,FALSE),0)</f>
        <v>0</v>
      </c>
      <c r="T76" s="257">
        <f>IFERROR(AVERAGE(S76,S80),0)</f>
        <v>0</v>
      </c>
      <c r="U76" s="613"/>
      <c r="V76" s="262">
        <f>R76</f>
        <v>0</v>
      </c>
      <c r="W76" s="152">
        <f>IFERROR(VLOOKUP(V76,AnsFTBL,2,FALSE),0)</f>
        <v>0</v>
      </c>
      <c r="X76" s="257">
        <f>IFERROR(AVERAGE(W76,W80),0)</f>
        <v>0</v>
      </c>
      <c r="Y76" s="613"/>
    </row>
    <row r="77" spans="1:25" ht="13" x14ac:dyDescent="0.15">
      <c r="A77" s="142"/>
      <c r="B77" s="233"/>
      <c r="C77" s="222"/>
      <c r="D77" s="204"/>
      <c r="E77" s="204"/>
      <c r="F77" s="204"/>
      <c r="G77" s="204"/>
      <c r="H77" s="204"/>
      <c r="I77" s="613"/>
      <c r="J77" s="204"/>
      <c r="K77" s="204"/>
      <c r="L77" s="204"/>
      <c r="M77" s="613"/>
      <c r="N77" s="204"/>
      <c r="O77" s="204"/>
      <c r="P77" s="204"/>
      <c r="Q77" s="613"/>
      <c r="R77" s="204"/>
      <c r="S77" s="204"/>
      <c r="T77" s="204"/>
      <c r="U77" s="613"/>
      <c r="V77" s="204"/>
      <c r="W77" s="204"/>
      <c r="X77" s="204"/>
      <c r="Y77" s="613"/>
    </row>
    <row r="78" spans="1:25" x14ac:dyDescent="0.15">
      <c r="A78" s="142" t="str">
        <f>Interview!A111</f>
        <v>I-SB-B-1-1</v>
      </c>
      <c r="B78" s="629" t="str">
        <f>VLOOKUP(A78,'imp-questions'!A:H,4,FALSE)</f>
        <v>Software Dependencies</v>
      </c>
      <c r="C78" s="284">
        <f>VLOOKUP(A78,'imp-questions'!A:H,5,FALSE)</f>
        <v>1</v>
      </c>
      <c r="D78" s="176" t="str">
        <f>VLOOKUP(A78,'imp-questions'!A:H,6,FALSE)</f>
        <v>Do you have solid knowledge about dependencies you're relying on?</v>
      </c>
      <c r="E78" s="144" t="str">
        <f>CHAR(65+VLOOKUP(A78,'imp-questions'!A:H,8,FALSE))</f>
        <v>F</v>
      </c>
      <c r="F78" s="169" t="str">
        <f>Interview!F111</f>
        <v>Yes, for most or all of the applications</v>
      </c>
      <c r="G78" s="152">
        <f>IFERROR(VLOOKUP(F78,AnsFTBL,2,FALSE),0)</f>
        <v>1</v>
      </c>
      <c r="H78" s="122"/>
      <c r="I78" s="613"/>
      <c r="J78" s="169">
        <f>Interview!J111</f>
        <v>0</v>
      </c>
      <c r="K78" s="152">
        <f>IFERROR(VLOOKUP(J78,AnsFTBL,2,FALSE),0)</f>
        <v>0</v>
      </c>
      <c r="L78" s="122"/>
      <c r="M78" s="613"/>
      <c r="N78" s="169">
        <f>Interview!M111</f>
        <v>0</v>
      </c>
      <c r="O78" s="152">
        <f>IFERROR(VLOOKUP(N78,AnsFTBL,2,FALSE),0)</f>
        <v>0</v>
      </c>
      <c r="P78" s="122"/>
      <c r="Q78" s="613"/>
      <c r="R78" s="262">
        <f>N78</f>
        <v>0</v>
      </c>
      <c r="S78" s="152">
        <f>IFERROR(VLOOKUP(R78,AnsFTBL,2,FALSE),0)</f>
        <v>0</v>
      </c>
      <c r="T78" s="122"/>
      <c r="U78" s="613"/>
      <c r="V78" s="262">
        <f>R78</f>
        <v>0</v>
      </c>
      <c r="W78" s="152">
        <f>IFERROR(VLOOKUP(V78,AnsFTBL,2,FALSE),0)</f>
        <v>0</v>
      </c>
      <c r="X78" s="122"/>
      <c r="Y78" s="613"/>
    </row>
    <row r="79" spans="1:25" x14ac:dyDescent="0.15">
      <c r="A79" s="142" t="str">
        <f>Interview!A113</f>
        <v>I-SB-B-2-1</v>
      </c>
      <c r="B79" s="630"/>
      <c r="C79" s="284">
        <f>VLOOKUP(A79,'imp-questions'!A:H,5,FALSE)</f>
        <v>2</v>
      </c>
      <c r="D79" s="176" t="str">
        <f>VLOOKUP(A79,'imp-questions'!A:H,6,FALSE)</f>
        <v>Do you handle 3rd party dependency risk by a formal process?</v>
      </c>
      <c r="E79" s="144" t="str">
        <f>CHAR(65+VLOOKUP(A79,'imp-questions'!A:H,8,FALSE))</f>
        <v>F</v>
      </c>
      <c r="F79" s="169">
        <f>Interview!F113</f>
        <v>0</v>
      </c>
      <c r="G79" s="152">
        <f>IFERROR(VLOOKUP(F79,AnsFTBL,2,FALSE),0)</f>
        <v>0</v>
      </c>
      <c r="H79" s="122"/>
      <c r="I79" s="613"/>
      <c r="J79" s="169">
        <f>Interview!J113</f>
        <v>0</v>
      </c>
      <c r="K79" s="152">
        <f>IFERROR(VLOOKUP(J79,AnsFTBL,2,FALSE),0)</f>
        <v>0</v>
      </c>
      <c r="L79" s="122"/>
      <c r="M79" s="613"/>
      <c r="N79" s="169">
        <f>Interview!M113</f>
        <v>0</v>
      </c>
      <c r="O79" s="152">
        <f>IFERROR(VLOOKUP(N79,AnsFTBL,2,FALSE),0)</f>
        <v>0</v>
      </c>
      <c r="P79" s="122"/>
      <c r="Q79" s="613"/>
      <c r="R79" s="262">
        <f>N79</f>
        <v>0</v>
      </c>
      <c r="S79" s="152">
        <f>IFERROR(VLOOKUP(R79,AnsFTBL,2,FALSE),0)</f>
        <v>0</v>
      </c>
      <c r="T79" s="122"/>
      <c r="U79" s="613"/>
      <c r="V79" s="262">
        <f>R79</f>
        <v>0</v>
      </c>
      <c r="W79" s="152">
        <f>IFERROR(VLOOKUP(V79,AnsFTBL,2,FALSE),0)</f>
        <v>0</v>
      </c>
      <c r="X79" s="122"/>
      <c r="Y79" s="613"/>
    </row>
    <row r="80" spans="1:25" ht="28" x14ac:dyDescent="0.15">
      <c r="A80" s="142" t="str">
        <f>Interview!A115</f>
        <v>I-SB-B-3-1</v>
      </c>
      <c r="B80" s="631"/>
      <c r="C80" s="284">
        <f>VLOOKUP(A80,'imp-questions'!A:H,5,FALSE)</f>
        <v>3</v>
      </c>
      <c r="D80" s="252" t="str">
        <f>VLOOKUP(A80,'imp-questions'!A:H,6,FALSE)</f>
        <v>Do you prevent build of software if it's affected by vulnerabilities in dependencies?</v>
      </c>
      <c r="E80" s="144" t="str">
        <f>CHAR(65+VLOOKUP(A80,'imp-questions'!A:H,8,FALSE))</f>
        <v>F</v>
      </c>
      <c r="F80" s="169">
        <f>Interview!F115</f>
        <v>0</v>
      </c>
      <c r="G80" s="152">
        <f>IFERROR(VLOOKUP(F80,AnsFTBL,2,FALSE),0)</f>
        <v>0</v>
      </c>
      <c r="H80" s="122"/>
      <c r="I80" s="614"/>
      <c r="J80" s="169">
        <f>Interview!J115</f>
        <v>0</v>
      </c>
      <c r="K80" s="152">
        <f>IFERROR(VLOOKUP(J80,AnsFTBL,2,FALSE),0)</f>
        <v>0</v>
      </c>
      <c r="L80" s="122"/>
      <c r="M80" s="614"/>
      <c r="N80" s="169">
        <f>Interview!M115</f>
        <v>0</v>
      </c>
      <c r="O80" s="152">
        <f>IFERROR(VLOOKUP(N80,AnsFTBL,2,FALSE),0)</f>
        <v>0</v>
      </c>
      <c r="P80" s="122"/>
      <c r="Q80" s="614"/>
      <c r="R80" s="262">
        <f>N80</f>
        <v>0</v>
      </c>
      <c r="S80" s="152">
        <f>IFERROR(VLOOKUP(R80,AnsFTBL,2,FALSE),0)</f>
        <v>0</v>
      </c>
      <c r="T80" s="122"/>
      <c r="U80" s="614"/>
      <c r="V80" s="262">
        <f>R80</f>
        <v>0</v>
      </c>
      <c r="W80" s="152">
        <f>IFERROR(VLOOKUP(V80,AnsFTBL,2,FALSE),0)</f>
        <v>0</v>
      </c>
      <c r="X80" s="122"/>
      <c r="Y80" s="614"/>
    </row>
    <row r="81" spans="1:25" ht="13" x14ac:dyDescent="0.15">
      <c r="A81" s="142"/>
      <c r="B81" s="233"/>
      <c r="C81" s="222"/>
      <c r="D81" s="204"/>
      <c r="E81" s="204"/>
      <c r="F81" s="204"/>
      <c r="G81" s="204"/>
      <c r="H81" s="204"/>
      <c r="I81" s="204"/>
      <c r="J81" s="204"/>
      <c r="K81" s="204"/>
      <c r="L81" s="204"/>
      <c r="M81" s="204"/>
      <c r="N81" s="204"/>
      <c r="O81" s="204"/>
      <c r="P81" s="204"/>
      <c r="Q81" s="204"/>
      <c r="R81" s="204"/>
      <c r="S81" s="204"/>
      <c r="T81" s="204"/>
      <c r="U81" s="204"/>
      <c r="V81" s="204"/>
      <c r="W81" s="204"/>
      <c r="X81" s="204"/>
      <c r="Y81" s="204"/>
    </row>
    <row r="82" spans="1:25" x14ac:dyDescent="0.15">
      <c r="A82" s="142"/>
      <c r="B82" s="282" t="s">
        <v>312</v>
      </c>
      <c r="C82" s="283" t="s">
        <v>313</v>
      </c>
      <c r="D82" s="289" t="s">
        <v>219</v>
      </c>
      <c r="E82" s="290"/>
      <c r="F82" s="291" t="s">
        <v>31</v>
      </c>
      <c r="G82" s="291"/>
      <c r="H82" s="292"/>
      <c r="I82" s="288" t="s">
        <v>29</v>
      </c>
      <c r="J82" s="291" t="s">
        <v>31</v>
      </c>
      <c r="K82" s="291"/>
      <c r="L82" s="292"/>
      <c r="M82" s="288" t="s">
        <v>29</v>
      </c>
      <c r="N82" s="291" t="s">
        <v>31</v>
      </c>
      <c r="O82" s="291"/>
      <c r="P82" s="292"/>
      <c r="Q82" s="288" t="s">
        <v>29</v>
      </c>
      <c r="R82" s="291" t="s">
        <v>31</v>
      </c>
      <c r="S82" s="291"/>
      <c r="T82" s="292"/>
      <c r="U82" s="288" t="s">
        <v>29</v>
      </c>
      <c r="V82" s="291" t="s">
        <v>31</v>
      </c>
      <c r="W82" s="291"/>
      <c r="X82" s="292"/>
      <c r="Y82" s="288" t="s">
        <v>29</v>
      </c>
    </row>
    <row r="83" spans="1:25" x14ac:dyDescent="0.15">
      <c r="A83" s="142" t="str">
        <f>Interview!A118</f>
        <v>I-SD-A-1-1</v>
      </c>
      <c r="B83" s="629" t="str">
        <f>VLOOKUP(A83,'imp-questions'!A:H,4,FALSE)</f>
        <v>Deployment Process</v>
      </c>
      <c r="C83" s="284">
        <f>VLOOKUP(A83,'imp-questions'!A:H,5,FALSE)</f>
        <v>1</v>
      </c>
      <c r="D83" s="176" t="str">
        <f>VLOOKUP(A83,'imp-questions'!A:H,6,FALSE)</f>
        <v>Do you use repeatable deployment processes?</v>
      </c>
      <c r="E83" s="144" t="str">
        <f>CHAR(65+VLOOKUP(A83,'imp-questions'!A:H,8,FALSE))</f>
        <v>F</v>
      </c>
      <c r="F83" s="169">
        <f>Interview!F118</f>
        <v>0</v>
      </c>
      <c r="G83" s="152">
        <f>IFERROR(VLOOKUP(F83,AnsFTBL,2,FALSE),0)</f>
        <v>0</v>
      </c>
      <c r="H83" s="257">
        <f>IFERROR(AVERAGE(G83,G87),0)</f>
        <v>0</v>
      </c>
      <c r="I83" s="612">
        <f>SUM(H83:H85)</f>
        <v>0.625</v>
      </c>
      <c r="J83" s="169">
        <f>Interview!J118</f>
        <v>0.625</v>
      </c>
      <c r="K83" s="152">
        <f>IFERROR(VLOOKUP(J83,AnsFTBL,2,FALSE),0)</f>
        <v>0</v>
      </c>
      <c r="L83" s="257">
        <f>IFERROR(AVERAGE(K83,K87),0)</f>
        <v>0</v>
      </c>
      <c r="M83" s="612">
        <f>SUM(L83:L85)</f>
        <v>0</v>
      </c>
      <c r="N83" s="169">
        <f>Interview!M118</f>
        <v>0</v>
      </c>
      <c r="O83" s="152">
        <f>IFERROR(VLOOKUP(N83,AnsFTBL,2,FALSE),0)</f>
        <v>0</v>
      </c>
      <c r="P83" s="257">
        <f>IFERROR(AVERAGE(O83,O87),0)</f>
        <v>0</v>
      </c>
      <c r="Q83" s="612">
        <f>SUM(P83:P85)</f>
        <v>0</v>
      </c>
      <c r="R83" s="262">
        <f>N83</f>
        <v>0</v>
      </c>
      <c r="S83" s="152">
        <f>IFERROR(VLOOKUP(R83,AnsFTBL,2,FALSE),0)</f>
        <v>0</v>
      </c>
      <c r="T83" s="257">
        <f>IFERROR(AVERAGE(S83,S87),0)</f>
        <v>0</v>
      </c>
      <c r="U83" s="612">
        <f>SUM(T83:T85)</f>
        <v>0</v>
      </c>
      <c r="V83" s="262">
        <f>R83</f>
        <v>0</v>
      </c>
      <c r="W83" s="152">
        <f>IFERROR(VLOOKUP(V83,AnsFTBL,2,FALSE),0)</f>
        <v>0</v>
      </c>
      <c r="X83" s="257">
        <f>IFERROR(AVERAGE(W83,W87),0)</f>
        <v>0</v>
      </c>
      <c r="Y83" s="612">
        <f>SUM(X83:X85)</f>
        <v>0</v>
      </c>
    </row>
    <row r="84" spans="1:25" x14ac:dyDescent="0.15">
      <c r="A84" s="142" t="str">
        <f>Interview!A120</f>
        <v>I-SD-A-2-1</v>
      </c>
      <c r="B84" s="630"/>
      <c r="C84" s="284">
        <f>VLOOKUP(A84,'imp-questions'!A:H,5,FALSE)</f>
        <v>2</v>
      </c>
      <c r="D84" s="176" t="str">
        <f>VLOOKUP(A84,'imp-questions'!A:H,6,FALSE)</f>
        <v>Are deployment processes automated and employing security checks?</v>
      </c>
      <c r="E84" s="144" t="str">
        <f>CHAR(65+VLOOKUP(A84,'imp-questions'!A:H,8,FALSE))</f>
        <v>F</v>
      </c>
      <c r="F84" s="169">
        <f>Interview!F120</f>
        <v>0</v>
      </c>
      <c r="G84" s="152">
        <f>IFERROR(VLOOKUP(F84,AnsFTBL,2,FALSE),0)</f>
        <v>0</v>
      </c>
      <c r="H84" s="257">
        <f>IFERROR(AVERAGE(G84,G88),0)</f>
        <v>0.5</v>
      </c>
      <c r="I84" s="613"/>
      <c r="J84" s="169">
        <f>Interview!J120</f>
        <v>0</v>
      </c>
      <c r="K84" s="152">
        <f>IFERROR(VLOOKUP(J84,AnsFTBL,2,FALSE),0)</f>
        <v>0</v>
      </c>
      <c r="L84" s="257">
        <f>IFERROR(AVERAGE(K84,K88),0)</f>
        <v>0</v>
      </c>
      <c r="M84" s="613"/>
      <c r="N84" s="169">
        <f>Interview!M120</f>
        <v>0</v>
      </c>
      <c r="O84" s="152">
        <f>IFERROR(VLOOKUP(N84,AnsFTBL,2,FALSE),0)</f>
        <v>0</v>
      </c>
      <c r="P84" s="257">
        <f>IFERROR(AVERAGE(O84,O88),0)</f>
        <v>0</v>
      </c>
      <c r="Q84" s="613"/>
      <c r="R84" s="262">
        <f>N84</f>
        <v>0</v>
      </c>
      <c r="S84" s="152">
        <f>IFERROR(VLOOKUP(R84,AnsFTBL,2,FALSE),0)</f>
        <v>0</v>
      </c>
      <c r="T84" s="257">
        <f>IFERROR(AVERAGE(S84,S88),0)</f>
        <v>0</v>
      </c>
      <c r="U84" s="613"/>
      <c r="V84" s="262">
        <f>R84</f>
        <v>0</v>
      </c>
      <c r="W84" s="152">
        <f>IFERROR(VLOOKUP(V84,AnsFTBL,2,FALSE),0)</f>
        <v>0</v>
      </c>
      <c r="X84" s="257">
        <f>IFERROR(AVERAGE(W84,W88),0)</f>
        <v>0</v>
      </c>
      <c r="Y84" s="613"/>
    </row>
    <row r="85" spans="1:25" x14ac:dyDescent="0.15">
      <c r="A85" s="142" t="str">
        <f>Interview!A122</f>
        <v>I-SD-A-3-1</v>
      </c>
      <c r="B85" s="631"/>
      <c r="C85" s="284">
        <f>VLOOKUP(A85,'imp-questions'!A:H,5,FALSE)</f>
        <v>3</v>
      </c>
      <c r="D85" s="252" t="str">
        <f>VLOOKUP(A85,'imp-questions'!A:H,6,FALSE)</f>
        <v>Do you consistently validate the integrity of deployed artifacts?</v>
      </c>
      <c r="E85" s="144" t="str">
        <f>CHAR(65+VLOOKUP(A85,'imp-questions'!A:H,8,FALSE))</f>
        <v>F</v>
      </c>
      <c r="F85" s="169">
        <f>Interview!F122</f>
        <v>0</v>
      </c>
      <c r="G85" s="152">
        <f>IFERROR(VLOOKUP(F85,AnsFTBL,2,FALSE),0)</f>
        <v>0</v>
      </c>
      <c r="H85" s="257">
        <f>IFERROR(AVERAGE(G85,G89),0)</f>
        <v>0.125</v>
      </c>
      <c r="I85" s="613"/>
      <c r="J85" s="169">
        <f>Interview!J122</f>
        <v>0</v>
      </c>
      <c r="K85" s="152">
        <f>IFERROR(VLOOKUP(J85,AnsFTBL,2,FALSE),0)</f>
        <v>0</v>
      </c>
      <c r="L85" s="257">
        <f>IFERROR(AVERAGE(K85,K89),0)</f>
        <v>0</v>
      </c>
      <c r="M85" s="613"/>
      <c r="N85" s="169">
        <f>Interview!M122</f>
        <v>0</v>
      </c>
      <c r="O85" s="152">
        <f>IFERROR(VLOOKUP(N85,AnsFTBL,2,FALSE),0)</f>
        <v>0</v>
      </c>
      <c r="P85" s="257">
        <f>IFERROR(AVERAGE(O85,O89),0)</f>
        <v>0</v>
      </c>
      <c r="Q85" s="613"/>
      <c r="R85" s="262">
        <f>N85</f>
        <v>0</v>
      </c>
      <c r="S85" s="152">
        <f>IFERROR(VLOOKUP(R85,AnsFTBL,2,FALSE),0)</f>
        <v>0</v>
      </c>
      <c r="T85" s="257">
        <f>IFERROR(AVERAGE(S85,S89),0)</f>
        <v>0</v>
      </c>
      <c r="U85" s="613"/>
      <c r="V85" s="262">
        <f>R85</f>
        <v>0</v>
      </c>
      <c r="W85" s="152">
        <f>IFERROR(VLOOKUP(V85,AnsFTBL,2,FALSE),0)</f>
        <v>0</v>
      </c>
      <c r="X85" s="257">
        <f>IFERROR(AVERAGE(W85,W89),0)</f>
        <v>0</v>
      </c>
      <c r="Y85" s="613"/>
    </row>
    <row r="86" spans="1:25" ht="13" x14ac:dyDescent="0.15">
      <c r="A86" s="142"/>
      <c r="B86" s="233"/>
      <c r="C86" s="222"/>
      <c r="D86" s="204"/>
      <c r="E86" s="204"/>
      <c r="F86" s="204"/>
      <c r="G86" s="204"/>
      <c r="H86" s="204"/>
      <c r="I86" s="613"/>
      <c r="J86" s="204"/>
      <c r="K86" s="204"/>
      <c r="L86" s="204"/>
      <c r="M86" s="613"/>
      <c r="N86" s="204"/>
      <c r="O86" s="204"/>
      <c r="P86" s="204"/>
      <c r="Q86" s="613"/>
      <c r="R86" s="204"/>
      <c r="S86" s="204"/>
      <c r="T86" s="204"/>
      <c r="U86" s="613"/>
      <c r="V86" s="204"/>
      <c r="W86" s="204"/>
      <c r="X86" s="204"/>
      <c r="Y86" s="613"/>
    </row>
    <row r="87" spans="1:25" ht="28" x14ac:dyDescent="0.15">
      <c r="A87" s="142" t="str">
        <f>Interview!A125</f>
        <v>I-SD-B-1-1</v>
      </c>
      <c r="B87" s="629" t="str">
        <f>VLOOKUP(A87,'imp-questions'!A:H,4,FALSE)</f>
        <v>Secret Management</v>
      </c>
      <c r="C87" s="284">
        <f>VLOOKUP(A87,'imp-questions'!A:H,5,FALSE)</f>
        <v>1</v>
      </c>
      <c r="D87" s="176" t="str">
        <f>VLOOKUP(A87,'imp-questions'!A:H,6,FALSE)</f>
        <v>Do you limit access to application secrets according to the least privilege principle?</v>
      </c>
      <c r="E87" s="144" t="str">
        <f>CHAR(65+VLOOKUP(A87,'imp-questions'!A:H,8,FALSE))</f>
        <v>F</v>
      </c>
      <c r="F87" s="169">
        <f>Interview!F125</f>
        <v>0</v>
      </c>
      <c r="G87" s="152">
        <f>IFERROR(VLOOKUP(F87,AnsFTBL,2,FALSE),0)</f>
        <v>0</v>
      </c>
      <c r="H87" s="122"/>
      <c r="I87" s="613"/>
      <c r="J87" s="169">
        <f>Interview!J125</f>
        <v>0</v>
      </c>
      <c r="K87" s="152">
        <f>IFERROR(VLOOKUP(J87,AnsFTBL,2,FALSE),0)</f>
        <v>0</v>
      </c>
      <c r="L87" s="122"/>
      <c r="M87" s="613"/>
      <c r="N87" s="169">
        <f>Interview!M125</f>
        <v>0</v>
      </c>
      <c r="O87" s="152">
        <f>IFERROR(VLOOKUP(N87,AnsFTBL,2,FALSE),0)</f>
        <v>0</v>
      </c>
      <c r="P87" s="122"/>
      <c r="Q87" s="613"/>
      <c r="R87" s="262">
        <f>N87</f>
        <v>0</v>
      </c>
      <c r="S87" s="152">
        <f>IFERROR(VLOOKUP(R87,AnsFTBL,2,FALSE),0)</f>
        <v>0</v>
      </c>
      <c r="T87" s="122"/>
      <c r="U87" s="613"/>
      <c r="V87" s="262">
        <f>R87</f>
        <v>0</v>
      </c>
      <c r="W87" s="152">
        <f>IFERROR(VLOOKUP(V87,AnsFTBL,2,FALSE),0)</f>
        <v>0</v>
      </c>
      <c r="X87" s="122"/>
      <c r="Y87" s="613"/>
    </row>
    <row r="88" spans="1:25" x14ac:dyDescent="0.15">
      <c r="A88" s="142" t="str">
        <f>Interview!A127</f>
        <v>I-SD-B-2-1</v>
      </c>
      <c r="B88" s="630"/>
      <c r="C88" s="284">
        <f>VLOOKUP(A88,'imp-questions'!A:H,5,FALSE)</f>
        <v>2</v>
      </c>
      <c r="D88" s="176" t="str">
        <f>VLOOKUP(A88,'imp-questions'!A:H,6,FALSE)</f>
        <v>Do you inject production secrets into configuration files during deployment?</v>
      </c>
      <c r="E88" s="144" t="str">
        <f>CHAR(65+VLOOKUP(A88,'imp-questions'!A:H,8,FALSE))</f>
        <v>F</v>
      </c>
      <c r="F88" s="169" t="str">
        <f>Interview!F127</f>
        <v>Yes, for most or all of the applications</v>
      </c>
      <c r="G88" s="152">
        <f>IFERROR(VLOOKUP(F88,AnsFTBL,2,FALSE),0)</f>
        <v>1</v>
      </c>
      <c r="H88" s="122"/>
      <c r="I88" s="613"/>
      <c r="J88" s="169">
        <f>Interview!J127</f>
        <v>0</v>
      </c>
      <c r="K88" s="152">
        <f>IFERROR(VLOOKUP(J88,AnsFTBL,2,FALSE),0)</f>
        <v>0</v>
      </c>
      <c r="L88" s="122"/>
      <c r="M88" s="613"/>
      <c r="N88" s="169">
        <f>Interview!M127</f>
        <v>0</v>
      </c>
      <c r="O88" s="152">
        <f>IFERROR(VLOOKUP(N88,AnsFTBL,2,FALSE),0)</f>
        <v>0</v>
      </c>
      <c r="P88" s="122"/>
      <c r="Q88" s="613"/>
      <c r="R88" s="262">
        <f>N88</f>
        <v>0</v>
      </c>
      <c r="S88" s="152">
        <f>IFERROR(VLOOKUP(R88,AnsFTBL,2,FALSE),0)</f>
        <v>0</v>
      </c>
      <c r="T88" s="122"/>
      <c r="U88" s="613"/>
      <c r="V88" s="262">
        <f>R88</f>
        <v>0</v>
      </c>
      <c r="W88" s="152">
        <f>IFERROR(VLOOKUP(V88,AnsFTBL,2,FALSE),0)</f>
        <v>0</v>
      </c>
      <c r="X88" s="122"/>
      <c r="Y88" s="613"/>
    </row>
    <row r="89" spans="1:25" x14ac:dyDescent="0.15">
      <c r="A89" s="142" t="str">
        <f>Interview!A129</f>
        <v>I-SD-B-3-1</v>
      </c>
      <c r="B89" s="631"/>
      <c r="C89" s="284">
        <f>VLOOKUP(A89,'imp-questions'!A:H,5,FALSE)</f>
        <v>3</v>
      </c>
      <c r="D89" s="252" t="str">
        <f>VLOOKUP(A89,'imp-questions'!A:H,6,FALSE)</f>
        <v>Do you practice proper lifecycle management for application secrets?</v>
      </c>
      <c r="E89" s="144" t="str">
        <f>CHAR(65+VLOOKUP(A89,'imp-questions'!A:H,8,FALSE))</f>
        <v>F</v>
      </c>
      <c r="F89" s="169" t="str">
        <f>Interview!F129</f>
        <v>Yes, for some applications</v>
      </c>
      <c r="G89" s="152">
        <f>IFERROR(VLOOKUP(F89,AnsFTBL,2,FALSE),0)</f>
        <v>0.25</v>
      </c>
      <c r="H89" s="122"/>
      <c r="I89" s="614"/>
      <c r="J89" s="169">
        <f>Interview!J129</f>
        <v>0</v>
      </c>
      <c r="K89" s="152">
        <f>IFERROR(VLOOKUP(J89,AnsFTBL,2,FALSE),0)</f>
        <v>0</v>
      </c>
      <c r="L89" s="122"/>
      <c r="M89" s="614"/>
      <c r="N89" s="169">
        <f>Interview!M129</f>
        <v>0</v>
      </c>
      <c r="O89" s="152">
        <f>IFERROR(VLOOKUP(N89,AnsFTBL,2,FALSE),0)</f>
        <v>0</v>
      </c>
      <c r="P89" s="122"/>
      <c r="Q89" s="614"/>
      <c r="R89" s="262">
        <f>N89</f>
        <v>0</v>
      </c>
      <c r="S89" s="152">
        <f>IFERROR(VLOOKUP(R89,AnsFTBL,2,FALSE),0)</f>
        <v>0</v>
      </c>
      <c r="T89" s="122"/>
      <c r="U89" s="614"/>
      <c r="V89" s="262">
        <f>R89</f>
        <v>0</v>
      </c>
      <c r="W89" s="152">
        <f>IFERROR(VLOOKUP(V89,AnsFTBL,2,FALSE),0)</f>
        <v>0</v>
      </c>
      <c r="X89" s="122"/>
      <c r="Y89" s="614"/>
    </row>
    <row r="90" spans="1:25" ht="13" x14ac:dyDescent="0.15">
      <c r="A90" s="142"/>
      <c r="B90" s="233"/>
      <c r="C90" s="222"/>
      <c r="D90" s="204"/>
      <c r="E90" s="204"/>
      <c r="F90" s="204"/>
      <c r="G90" s="204"/>
      <c r="H90" s="204"/>
      <c r="I90" s="204"/>
      <c r="J90" s="204"/>
      <c r="K90" s="204"/>
      <c r="L90" s="204"/>
      <c r="M90" s="204"/>
      <c r="N90" s="204"/>
      <c r="O90" s="204"/>
      <c r="P90" s="204"/>
      <c r="Q90" s="204"/>
      <c r="R90" s="204"/>
      <c r="S90" s="204"/>
      <c r="T90" s="204"/>
      <c r="U90" s="204"/>
      <c r="V90" s="204"/>
      <c r="W90" s="204"/>
      <c r="X90" s="204"/>
      <c r="Y90" s="204"/>
    </row>
    <row r="91" spans="1:25" x14ac:dyDescent="0.15">
      <c r="A91" s="142"/>
      <c r="B91" s="282" t="s">
        <v>312</v>
      </c>
      <c r="C91" s="283" t="s">
        <v>313</v>
      </c>
      <c r="D91" s="289" t="s">
        <v>230</v>
      </c>
      <c r="E91" s="290"/>
      <c r="F91" s="291" t="s">
        <v>31</v>
      </c>
      <c r="G91" s="291"/>
      <c r="H91" s="292"/>
      <c r="I91" s="288" t="s">
        <v>29</v>
      </c>
      <c r="J91" s="291" t="s">
        <v>31</v>
      </c>
      <c r="K91" s="291"/>
      <c r="L91" s="292"/>
      <c r="M91" s="288" t="s">
        <v>29</v>
      </c>
      <c r="N91" s="291" t="s">
        <v>31</v>
      </c>
      <c r="O91" s="291"/>
      <c r="P91" s="292"/>
      <c r="Q91" s="288" t="s">
        <v>29</v>
      </c>
      <c r="R91" s="291" t="s">
        <v>31</v>
      </c>
      <c r="S91" s="291"/>
      <c r="T91" s="292"/>
      <c r="U91" s="288" t="s">
        <v>29</v>
      </c>
      <c r="V91" s="291" t="s">
        <v>31</v>
      </c>
      <c r="W91" s="291"/>
      <c r="X91" s="292"/>
      <c r="Y91" s="288" t="s">
        <v>29</v>
      </c>
    </row>
    <row r="92" spans="1:25" x14ac:dyDescent="0.15">
      <c r="A92" s="142" t="str">
        <f>Interview!A132</f>
        <v>I-DM-A-1-1</v>
      </c>
      <c r="B92" s="629" t="str">
        <f>VLOOKUP(A92,'imp-questions'!A:H,4,FALSE)</f>
        <v>Defect Tracking</v>
      </c>
      <c r="C92" s="284">
        <f>VLOOKUP(A92,'imp-questions'!A:H,5,FALSE)</f>
        <v>1</v>
      </c>
      <c r="D92" s="176" t="str">
        <f>VLOOKUP(A92,'imp-questions'!A:H,6,FALSE)</f>
        <v>Do you track all known security defects in accessible locations?</v>
      </c>
      <c r="E92" s="144" t="str">
        <f>CHAR(65+VLOOKUP(A92,'imp-questions'!A:H,8,FALSE))</f>
        <v>F</v>
      </c>
      <c r="F92" s="169">
        <f>Interview!F132</f>
        <v>0</v>
      </c>
      <c r="G92" s="152">
        <f>IFERROR(VLOOKUP(F92,AnsFTBL,2,FALSE),0)</f>
        <v>0</v>
      </c>
      <c r="H92" s="257">
        <f>IFERROR(AVERAGE(G92,G96),0)</f>
        <v>0</v>
      </c>
      <c r="I92" s="612">
        <f>SUM(H92:H94)</f>
        <v>0.5</v>
      </c>
      <c r="J92" s="169">
        <f>Interview!J132</f>
        <v>0.5</v>
      </c>
      <c r="K92" s="152">
        <f>IFERROR(VLOOKUP(J92,AnsFTBL,2,FALSE),0)</f>
        <v>0</v>
      </c>
      <c r="L92" s="257">
        <f>IFERROR(AVERAGE(K92,K96),0)</f>
        <v>0</v>
      </c>
      <c r="M92" s="612">
        <f>SUM(L92:L94)</f>
        <v>0</v>
      </c>
      <c r="N92" s="169">
        <f>Interview!M132</f>
        <v>0</v>
      </c>
      <c r="O92" s="152">
        <f>IFERROR(VLOOKUP(N92,AnsFTBL,2,FALSE),0)</f>
        <v>0</v>
      </c>
      <c r="P92" s="257">
        <f>IFERROR(AVERAGE(O92,O96),0)</f>
        <v>0</v>
      </c>
      <c r="Q92" s="612">
        <f>SUM(P92:P94)</f>
        <v>0</v>
      </c>
      <c r="R92" s="262">
        <f>N92</f>
        <v>0</v>
      </c>
      <c r="S92" s="152">
        <f>IFERROR(VLOOKUP(R92,AnsFTBL,2,FALSE),0)</f>
        <v>0</v>
      </c>
      <c r="T92" s="257">
        <f>IFERROR(AVERAGE(S92,S96),0)</f>
        <v>0</v>
      </c>
      <c r="U92" s="612">
        <f>SUM(T92:T94)</f>
        <v>0</v>
      </c>
      <c r="V92" s="262">
        <f>R92</f>
        <v>0</v>
      </c>
      <c r="W92" s="152">
        <f>IFERROR(VLOOKUP(V92,AnsFTBL,2,FALSE),0)</f>
        <v>0</v>
      </c>
      <c r="X92" s="257">
        <f>IFERROR(AVERAGE(W92,W96),0)</f>
        <v>0</v>
      </c>
      <c r="Y92" s="612">
        <f>SUM(X92:X94)</f>
        <v>0</v>
      </c>
    </row>
    <row r="93" spans="1:25" ht="28" x14ac:dyDescent="0.15">
      <c r="A93" s="142" t="str">
        <f>Interview!A134</f>
        <v>I-DM-A-2-1</v>
      </c>
      <c r="B93" s="630"/>
      <c r="C93" s="284">
        <f>VLOOKUP(A93,'imp-questions'!A:H,5,FALSE)</f>
        <v>2</v>
      </c>
      <c r="D93" s="176" t="str">
        <f>VLOOKUP(A93,'imp-questions'!A:H,6,FALSE)</f>
        <v>Do you keep an overview of the state of security defects across the organization?</v>
      </c>
      <c r="E93" s="144" t="str">
        <f>CHAR(65+VLOOKUP(A93,'imp-questions'!A:H,8,FALSE))</f>
        <v>F</v>
      </c>
      <c r="F93" s="169">
        <f>Interview!F134</f>
        <v>0</v>
      </c>
      <c r="G93" s="152">
        <f>IFERROR(VLOOKUP(F93,AnsFTBL,2,FALSE),0)</f>
        <v>0</v>
      </c>
      <c r="H93" s="257">
        <f>IFERROR(AVERAGE(G93,G97),0)</f>
        <v>0</v>
      </c>
      <c r="I93" s="613"/>
      <c r="J93" s="169">
        <f>Interview!J134</f>
        <v>0</v>
      </c>
      <c r="K93" s="152">
        <f>IFERROR(VLOOKUP(J93,AnsFTBL,2,FALSE),0)</f>
        <v>0</v>
      </c>
      <c r="L93" s="257">
        <f>IFERROR(AVERAGE(K93,K97),0)</f>
        <v>0</v>
      </c>
      <c r="M93" s="613"/>
      <c r="N93" s="169">
        <f>Interview!M134</f>
        <v>0</v>
      </c>
      <c r="O93" s="152">
        <f>IFERROR(VLOOKUP(N93,AnsFTBL,2,FALSE),0)</f>
        <v>0</v>
      </c>
      <c r="P93" s="257">
        <f>IFERROR(AVERAGE(O93,O97),0)</f>
        <v>0</v>
      </c>
      <c r="Q93" s="613"/>
      <c r="R93" s="262">
        <f>N93</f>
        <v>0</v>
      </c>
      <c r="S93" s="152">
        <f>IFERROR(VLOOKUP(R93,AnsFTBL,2,FALSE),0)</f>
        <v>0</v>
      </c>
      <c r="T93" s="257">
        <f>IFERROR(AVERAGE(S93,S97),0)</f>
        <v>0</v>
      </c>
      <c r="U93" s="613"/>
      <c r="V93" s="262">
        <f>R93</f>
        <v>0</v>
      </c>
      <c r="W93" s="152">
        <f>IFERROR(VLOOKUP(V93,AnsFTBL,2,FALSE),0)</f>
        <v>0</v>
      </c>
      <c r="X93" s="257">
        <f>IFERROR(AVERAGE(W93,W97),0)</f>
        <v>0</v>
      </c>
      <c r="Y93" s="613"/>
    </row>
    <row r="94" spans="1:25" x14ac:dyDescent="0.15">
      <c r="A94" s="142" t="str">
        <f>Interview!A136</f>
        <v>I-DM-A-3-1</v>
      </c>
      <c r="B94" s="631"/>
      <c r="C94" s="284">
        <f>VLOOKUP(A94,'imp-questions'!A:H,5,FALSE)</f>
        <v>3</v>
      </c>
      <c r="D94" s="252" t="str">
        <f>VLOOKUP(A94,'imp-questions'!A:H,6,FALSE)</f>
        <v>Do you enforce SLAs for fixing security defects?</v>
      </c>
      <c r="E94" s="144" t="str">
        <f>CHAR(65+VLOOKUP(A94,'imp-questions'!A:H,8,FALSE))</f>
        <v>F</v>
      </c>
      <c r="F94" s="169" t="str">
        <f>Interview!F136</f>
        <v>Yes, for most or all of the applications</v>
      </c>
      <c r="G94" s="152">
        <f>IFERROR(VLOOKUP(F94,AnsFTBL,2,FALSE),0)</f>
        <v>1</v>
      </c>
      <c r="H94" s="257">
        <f>IFERROR(AVERAGE(G94,G98),0)</f>
        <v>0.5</v>
      </c>
      <c r="I94" s="613"/>
      <c r="J94" s="169">
        <f>Interview!J136</f>
        <v>0</v>
      </c>
      <c r="K94" s="152">
        <f>IFERROR(VLOOKUP(J94,AnsFTBL,2,FALSE),0)</f>
        <v>0</v>
      </c>
      <c r="L94" s="257">
        <f>IFERROR(AVERAGE(K94,K98),0)</f>
        <v>0</v>
      </c>
      <c r="M94" s="613"/>
      <c r="N94" s="169">
        <f>Interview!M136</f>
        <v>0</v>
      </c>
      <c r="O94" s="152">
        <f>IFERROR(VLOOKUP(N94,AnsFTBL,2,FALSE),0)</f>
        <v>0</v>
      </c>
      <c r="P94" s="257">
        <f>IFERROR(AVERAGE(O94,O98),0)</f>
        <v>0</v>
      </c>
      <c r="Q94" s="613"/>
      <c r="R94" s="262">
        <f>N94</f>
        <v>0</v>
      </c>
      <c r="S94" s="152">
        <f>IFERROR(VLOOKUP(R94,AnsFTBL,2,FALSE),0)</f>
        <v>0</v>
      </c>
      <c r="T94" s="257">
        <f>IFERROR(AVERAGE(S94,S98),0)</f>
        <v>0</v>
      </c>
      <c r="U94" s="613"/>
      <c r="V94" s="262">
        <f>R94</f>
        <v>0</v>
      </c>
      <c r="W94" s="152">
        <f>IFERROR(VLOOKUP(V94,AnsFTBL,2,FALSE),0)</f>
        <v>0</v>
      </c>
      <c r="X94" s="257">
        <f>IFERROR(AVERAGE(W94,W98),0)</f>
        <v>0</v>
      </c>
      <c r="Y94" s="613"/>
    </row>
    <row r="95" spans="1:25" ht="13" x14ac:dyDescent="0.15">
      <c r="A95" s="142"/>
      <c r="B95" s="233"/>
      <c r="C95" s="222"/>
      <c r="D95" s="204"/>
      <c r="E95" s="204"/>
      <c r="F95" s="204"/>
      <c r="G95" s="204"/>
      <c r="H95" s="204"/>
      <c r="I95" s="613"/>
      <c r="J95" s="204"/>
      <c r="K95" s="204"/>
      <c r="L95" s="204"/>
      <c r="M95" s="613"/>
      <c r="N95" s="204"/>
      <c r="O95" s="204"/>
      <c r="P95" s="204"/>
      <c r="Q95" s="613"/>
      <c r="R95" s="204"/>
      <c r="S95" s="204"/>
      <c r="T95" s="204"/>
      <c r="U95" s="613"/>
      <c r="V95" s="204"/>
      <c r="W95" s="204"/>
      <c r="X95" s="204"/>
      <c r="Y95" s="613"/>
    </row>
    <row r="96" spans="1:25" ht="28" x14ac:dyDescent="0.15">
      <c r="A96" s="142" t="str">
        <f>Interview!A139</f>
        <v>I-DM-B-1-1</v>
      </c>
      <c r="B96" s="629" t="str">
        <f>VLOOKUP(A96,'imp-questions'!A:H,4,FALSE)</f>
        <v>Metrics and Feedback</v>
      </c>
      <c r="C96" s="284">
        <f>VLOOKUP(A96,'imp-questions'!A:H,5,FALSE)</f>
        <v>1</v>
      </c>
      <c r="D96" s="176" t="str">
        <f>VLOOKUP(A96,'imp-questions'!A:H,6,FALSE)</f>
        <v>Do you use basic metrics about recorded security defects to carry out quick win improvement activities?</v>
      </c>
      <c r="E96" s="144" t="str">
        <f>CHAR(65+VLOOKUP(A96,'imp-questions'!A:H,8,FALSE))</f>
        <v>F</v>
      </c>
      <c r="F96" s="169">
        <f>Interview!F139</f>
        <v>0</v>
      </c>
      <c r="G96" s="152">
        <f>IFERROR(VLOOKUP(F96,AnsFTBL,2,FALSE),0)</f>
        <v>0</v>
      </c>
      <c r="H96" s="122"/>
      <c r="I96" s="613"/>
      <c r="J96" s="169">
        <f>Interview!J139</f>
        <v>0</v>
      </c>
      <c r="K96" s="152">
        <f>IFERROR(VLOOKUP(J96,AnsFTBL,2,FALSE),0)</f>
        <v>0</v>
      </c>
      <c r="L96" s="122"/>
      <c r="M96" s="613"/>
      <c r="N96" s="169">
        <f>Interview!M139</f>
        <v>0</v>
      </c>
      <c r="O96" s="152">
        <f>IFERROR(VLOOKUP(N96,AnsFTBL,2,FALSE),0)</f>
        <v>0</v>
      </c>
      <c r="P96" s="122"/>
      <c r="Q96" s="613"/>
      <c r="R96" s="262">
        <f>N96</f>
        <v>0</v>
      </c>
      <c r="S96" s="152">
        <f>IFERROR(VLOOKUP(R96,AnsFTBL,2,FALSE),0)</f>
        <v>0</v>
      </c>
      <c r="T96" s="122"/>
      <c r="U96" s="613"/>
      <c r="V96" s="262">
        <f>R96</f>
        <v>0</v>
      </c>
      <c r="W96" s="152">
        <f>IFERROR(VLOOKUP(V96,AnsFTBL,2,FALSE),0)</f>
        <v>0</v>
      </c>
      <c r="X96" s="122"/>
      <c r="Y96" s="613"/>
    </row>
    <row r="97" spans="1:25" x14ac:dyDescent="0.15">
      <c r="A97" s="142" t="str">
        <f>Interview!A141</f>
        <v>I-DM-B-2-1</v>
      </c>
      <c r="B97" s="630"/>
      <c r="C97" s="284">
        <f>VLOOKUP(A97,'imp-questions'!A:H,5,FALSE)</f>
        <v>2</v>
      </c>
      <c r="D97" s="176" t="str">
        <f>VLOOKUP(A97,'imp-questions'!A:H,6,FALSE)</f>
        <v>Do you improve your security assurance program upon standardized metrics?</v>
      </c>
      <c r="E97" s="144" t="str">
        <f>CHAR(65+VLOOKUP(A97,'imp-questions'!A:H,8,FALSE))</f>
        <v>F</v>
      </c>
      <c r="F97" s="169">
        <f>Interview!F141</f>
        <v>0</v>
      </c>
      <c r="G97" s="152">
        <f>IFERROR(VLOOKUP(F97,AnsFTBL,2,FALSE),0)</f>
        <v>0</v>
      </c>
      <c r="H97" s="122"/>
      <c r="I97" s="613"/>
      <c r="J97" s="169">
        <f>Interview!J141</f>
        <v>0</v>
      </c>
      <c r="K97" s="152">
        <f>IFERROR(VLOOKUP(J97,AnsFTBL,2,FALSE),0)</f>
        <v>0</v>
      </c>
      <c r="L97" s="122"/>
      <c r="M97" s="613"/>
      <c r="N97" s="169">
        <f>Interview!M141</f>
        <v>0</v>
      </c>
      <c r="O97" s="152">
        <f>IFERROR(VLOOKUP(N97,AnsFTBL,2,FALSE),0)</f>
        <v>0</v>
      </c>
      <c r="P97" s="122"/>
      <c r="Q97" s="613"/>
      <c r="R97" s="262">
        <f>N97</f>
        <v>0</v>
      </c>
      <c r="S97" s="152">
        <f>IFERROR(VLOOKUP(R97,AnsFTBL,2,FALSE),0)</f>
        <v>0</v>
      </c>
      <c r="T97" s="122"/>
      <c r="U97" s="613"/>
      <c r="V97" s="262">
        <f>R97</f>
        <v>0</v>
      </c>
      <c r="W97" s="152">
        <f>IFERROR(VLOOKUP(V97,AnsFTBL,2,FALSE),0)</f>
        <v>0</v>
      </c>
      <c r="X97" s="122"/>
      <c r="Y97" s="613"/>
    </row>
    <row r="98" spans="1:25" ht="28" x14ac:dyDescent="0.15">
      <c r="A98" s="142" t="str">
        <f>Interview!A143</f>
        <v>I-DM-B-3-1</v>
      </c>
      <c r="B98" s="631"/>
      <c r="C98" s="284">
        <f>VLOOKUP(A98,'imp-questions'!A:H,5,FALSE)</f>
        <v>3</v>
      </c>
      <c r="D98" s="252" t="str">
        <f>VLOOKUP(A98,'imp-questions'!A:H,6,FALSE)</f>
        <v>Do you regularly evaluate the effectiveness of your security metrics so that its input helps drive your security strategy?</v>
      </c>
      <c r="E98" s="144" t="str">
        <f>CHAR(65+VLOOKUP(A98,'imp-questions'!A:H,8,FALSE))</f>
        <v>F</v>
      </c>
      <c r="F98" s="169">
        <f>Interview!F143</f>
        <v>0</v>
      </c>
      <c r="G98" s="152">
        <f>IFERROR(VLOOKUP(F98,AnsFTBL,2,FALSE),0)</f>
        <v>0</v>
      </c>
      <c r="H98" s="122"/>
      <c r="I98" s="615"/>
      <c r="J98" s="169">
        <f>Interview!J143</f>
        <v>0</v>
      </c>
      <c r="K98" s="152">
        <f>IFERROR(VLOOKUP(J98,AnsFTBL,2,FALSE),0)</f>
        <v>0</v>
      </c>
      <c r="L98" s="122"/>
      <c r="M98" s="615"/>
      <c r="N98" s="169">
        <f>Interview!M143</f>
        <v>0</v>
      </c>
      <c r="O98" s="152">
        <f>IFERROR(VLOOKUP(N98,AnsFTBL,2,FALSE),0)</f>
        <v>0</v>
      </c>
      <c r="P98" s="122"/>
      <c r="Q98" s="615"/>
      <c r="R98" s="262">
        <f>N98</f>
        <v>0</v>
      </c>
      <c r="S98" s="152">
        <f>IFERROR(VLOOKUP(R98,AnsFTBL,2,FALSE),0)</f>
        <v>0</v>
      </c>
      <c r="T98" s="122"/>
      <c r="U98" s="615"/>
      <c r="V98" s="262">
        <f>R98</f>
        <v>0</v>
      </c>
      <c r="W98" s="152">
        <f>IFERROR(VLOOKUP(V98,AnsFTBL,2,FALSE),0)</f>
        <v>0</v>
      </c>
      <c r="X98" s="122"/>
      <c r="Y98" s="615"/>
    </row>
    <row r="99" spans="1:25" ht="13" x14ac:dyDescent="0.15">
      <c r="A99" s="142"/>
      <c r="B99" s="233"/>
      <c r="C99" s="222"/>
      <c r="D99" s="204"/>
      <c r="E99" s="204"/>
      <c r="F99" s="204"/>
      <c r="G99" s="204"/>
      <c r="H99" s="204"/>
      <c r="I99" s="204"/>
      <c r="J99" s="204"/>
      <c r="K99" s="204"/>
      <c r="L99" s="204"/>
      <c r="M99" s="204"/>
      <c r="N99" s="204"/>
      <c r="O99" s="204"/>
      <c r="P99" s="204"/>
      <c r="Q99" s="204"/>
      <c r="R99" s="204"/>
      <c r="S99" s="204"/>
      <c r="T99" s="204"/>
      <c r="U99" s="204"/>
      <c r="V99" s="204"/>
      <c r="W99" s="204"/>
      <c r="X99" s="204"/>
      <c r="Y99" s="204"/>
    </row>
    <row r="100" spans="1:25" x14ac:dyDescent="0.15">
      <c r="A100" s="142"/>
      <c r="B100" s="226" t="s">
        <v>24</v>
      </c>
      <c r="C100" s="226"/>
      <c r="D100" s="207"/>
      <c r="E100" s="207"/>
      <c r="F100" s="621" t="s">
        <v>55</v>
      </c>
      <c r="G100" s="621"/>
      <c r="H100" s="621"/>
      <c r="I100" s="621"/>
      <c r="J100" s="620" t="s">
        <v>314</v>
      </c>
      <c r="K100" s="621"/>
      <c r="L100" s="621"/>
      <c r="M100" s="622"/>
      <c r="N100" s="620" t="s">
        <v>315</v>
      </c>
      <c r="O100" s="621"/>
      <c r="P100" s="621"/>
      <c r="Q100" s="622"/>
      <c r="R100" s="620" t="s">
        <v>316</v>
      </c>
      <c r="S100" s="621"/>
      <c r="T100" s="621"/>
      <c r="U100" s="622"/>
      <c r="V100" s="620" t="s">
        <v>317</v>
      </c>
      <c r="W100" s="621"/>
      <c r="X100" s="621"/>
      <c r="Y100" s="622"/>
    </row>
    <row r="101" spans="1:25" x14ac:dyDescent="0.15">
      <c r="A101" s="142"/>
      <c r="B101" s="237" t="s">
        <v>312</v>
      </c>
      <c r="C101" s="227" t="s">
        <v>313</v>
      </c>
      <c r="D101" s="248" t="s">
        <v>237</v>
      </c>
      <c r="E101" s="196"/>
      <c r="F101" s="71" t="s">
        <v>31</v>
      </c>
      <c r="G101" s="71"/>
      <c r="H101" s="112"/>
      <c r="I101" s="214" t="s">
        <v>29</v>
      </c>
      <c r="J101" s="71" t="s">
        <v>31</v>
      </c>
      <c r="K101" s="71"/>
      <c r="L101" s="112"/>
      <c r="M101" s="214" t="s">
        <v>29</v>
      </c>
      <c r="N101" s="71" t="s">
        <v>31</v>
      </c>
      <c r="O101" s="71"/>
      <c r="P101" s="112"/>
      <c r="Q101" s="214" t="s">
        <v>29</v>
      </c>
      <c r="R101" s="71" t="s">
        <v>31</v>
      </c>
      <c r="S101" s="71"/>
      <c r="T101" s="112"/>
      <c r="U101" s="214" t="s">
        <v>29</v>
      </c>
      <c r="V101" s="71" t="s">
        <v>31</v>
      </c>
      <c r="W101" s="71"/>
      <c r="X101" s="112"/>
      <c r="Y101" s="214" t="s">
        <v>29</v>
      </c>
    </row>
    <row r="102" spans="1:25" ht="28" x14ac:dyDescent="0.15">
      <c r="A102" s="142" t="str">
        <f>Interview!A147</f>
        <v>V-AA-A-1-1</v>
      </c>
      <c r="B102" s="633" t="str">
        <f>VLOOKUP(A102,'imp-questions'!A:H,4,FALSE)</f>
        <v>Architecture Validation</v>
      </c>
      <c r="C102" s="228">
        <f>VLOOKUP(A102,'imp-questions'!A:H,5,FALSE)</f>
        <v>1</v>
      </c>
      <c r="D102" s="176" t="str">
        <f>VLOOKUP(A102,'imp-questions'!A:H,6,FALSE)</f>
        <v>Do you review the application architecture for key security objectives on an ad-hoc basis?</v>
      </c>
      <c r="E102" s="160" t="str">
        <f>CHAR(65+VLOOKUP(A102,'imp-questions'!A:H,8,FALSE))</f>
        <v>F</v>
      </c>
      <c r="F102" s="169">
        <f>Interview!F147</f>
        <v>0</v>
      </c>
      <c r="G102" s="152">
        <f>IFERROR(VLOOKUP(F102,AnsFTBL,2,FALSE),0)</f>
        <v>0</v>
      </c>
      <c r="H102" s="257">
        <f>IFERROR(AVERAGE(G102,G106),0)</f>
        <v>0</v>
      </c>
      <c r="I102" s="616">
        <f>SUM(H102:H104)</f>
        <v>0.125</v>
      </c>
      <c r="J102" s="262">
        <f>F102</f>
        <v>0</v>
      </c>
      <c r="K102" s="152">
        <f>IFERROR(VLOOKUP(J102,AnsFTBL,2,FALSE),0)</f>
        <v>0</v>
      </c>
      <c r="L102" s="257">
        <f>IFERROR(AVERAGE(K102,K106),0)</f>
        <v>0</v>
      </c>
      <c r="M102" s="616">
        <f>SUM(L102:L104)</f>
        <v>0.125</v>
      </c>
      <c r="N102" s="262">
        <f>J102</f>
        <v>0</v>
      </c>
      <c r="O102" s="152">
        <f>IFERROR(VLOOKUP(N102,AnsFTBL,2,FALSE),0)</f>
        <v>0</v>
      </c>
      <c r="P102" s="257">
        <f>IFERROR(AVERAGE(O102,O106),0)</f>
        <v>0</v>
      </c>
      <c r="Q102" s="616">
        <f>SUM(P102:P104)</f>
        <v>0.125</v>
      </c>
      <c r="R102" s="262">
        <f>N102</f>
        <v>0</v>
      </c>
      <c r="S102" s="152">
        <f>IFERROR(VLOOKUP(R102,AnsFTBL,2,FALSE),0)</f>
        <v>0</v>
      </c>
      <c r="T102" s="257">
        <f>IFERROR(AVERAGE(S102,S106),0)</f>
        <v>0</v>
      </c>
      <c r="U102" s="616">
        <f>SUM(T102:T104)</f>
        <v>0.125</v>
      </c>
      <c r="V102" s="262">
        <f>R102</f>
        <v>0</v>
      </c>
      <c r="W102" s="152">
        <f>IFERROR(VLOOKUP(V102,AnsFTBL,2,FALSE),0)</f>
        <v>0</v>
      </c>
      <c r="X102" s="257">
        <f>IFERROR(AVERAGE(W102,W106),0)</f>
        <v>0</v>
      </c>
      <c r="Y102" s="616">
        <f>SUM(X102:X104)</f>
        <v>0.125</v>
      </c>
    </row>
    <row r="103" spans="1:25" x14ac:dyDescent="0.15">
      <c r="A103" s="142" t="str">
        <f>Interview!A149</f>
        <v>V-AA-A-2-1</v>
      </c>
      <c r="B103" s="634"/>
      <c r="C103" s="228">
        <f>VLOOKUP(A103,'imp-questions'!A:H,5,FALSE)</f>
        <v>2</v>
      </c>
      <c r="D103" s="176" t="str">
        <f>VLOOKUP(A103,'imp-questions'!A:H,6,FALSE)</f>
        <v>Do you regularly review the security mechanisms of your architecture?</v>
      </c>
      <c r="E103" s="160" t="str">
        <f>CHAR(65+VLOOKUP(A103,'imp-questions'!A:H,8,FALSE))</f>
        <v>F</v>
      </c>
      <c r="F103" s="169" t="str">
        <f>Interview!F149</f>
        <v>Yes, for some applications</v>
      </c>
      <c r="G103" s="152">
        <f>IFERROR(VLOOKUP(F103,AnsFTBL,2,FALSE),0)</f>
        <v>0.25</v>
      </c>
      <c r="H103" s="257">
        <f>IFERROR(AVERAGE(G103,G107),0)</f>
        <v>0.125</v>
      </c>
      <c r="I103" s="617"/>
      <c r="J103" s="262" t="str">
        <f>F103</f>
        <v>Yes, for some applications</v>
      </c>
      <c r="K103" s="152">
        <f>IFERROR(VLOOKUP(J103,AnsFTBL,2,FALSE),0)</f>
        <v>0.25</v>
      </c>
      <c r="L103" s="257">
        <f>IFERROR(AVERAGE(K103,K107),0)</f>
        <v>0.125</v>
      </c>
      <c r="M103" s="617"/>
      <c r="N103" s="262" t="str">
        <f>J103</f>
        <v>Yes, for some applications</v>
      </c>
      <c r="O103" s="152">
        <f>IFERROR(VLOOKUP(N103,AnsFTBL,2,FALSE),0)</f>
        <v>0.25</v>
      </c>
      <c r="P103" s="257">
        <f>IFERROR(AVERAGE(O103,O107),0)</f>
        <v>0.125</v>
      </c>
      <c r="Q103" s="617"/>
      <c r="R103" s="262" t="str">
        <f>N103</f>
        <v>Yes, for some applications</v>
      </c>
      <c r="S103" s="152">
        <f>IFERROR(VLOOKUP(R103,AnsFTBL,2,FALSE),0)</f>
        <v>0.25</v>
      </c>
      <c r="T103" s="257">
        <f>IFERROR(AVERAGE(S103,S107),0)</f>
        <v>0.125</v>
      </c>
      <c r="U103" s="617"/>
      <c r="V103" s="262" t="str">
        <f>R103</f>
        <v>Yes, for some applications</v>
      </c>
      <c r="W103" s="152">
        <f>IFERROR(VLOOKUP(V103,AnsFTBL,2,FALSE),0)</f>
        <v>0.25</v>
      </c>
      <c r="X103" s="257">
        <f>IFERROR(AVERAGE(W103,W107),0)</f>
        <v>0.125</v>
      </c>
      <c r="Y103" s="617"/>
    </row>
    <row r="104" spans="1:25" x14ac:dyDescent="0.15">
      <c r="A104" s="142" t="str">
        <f>Interview!A151</f>
        <v>V-AA-A-3-1</v>
      </c>
      <c r="B104" s="635"/>
      <c r="C104" s="228">
        <f>VLOOKUP(A104,'imp-questions'!A:H,5,FALSE)</f>
        <v>3</v>
      </c>
      <c r="D104" s="252" t="str">
        <f>VLOOKUP(A104,'imp-questions'!A:H,6,FALSE)</f>
        <v>Do you regularly review the effectiveness of the security controls?</v>
      </c>
      <c r="E104" s="160" t="str">
        <f>CHAR(65+VLOOKUP(A104,'imp-questions'!A:H,8,FALSE))</f>
        <v>F</v>
      </c>
      <c r="F104" s="169">
        <f>Interview!F151</f>
        <v>0</v>
      </c>
      <c r="G104" s="152">
        <f>IFERROR(VLOOKUP(F104,AnsFTBL,2,FALSE),0)</f>
        <v>0</v>
      </c>
      <c r="H104" s="257">
        <f>IFERROR(AVERAGE(G104,G108),0)</f>
        <v>0</v>
      </c>
      <c r="I104" s="617"/>
      <c r="J104" s="262">
        <f>F104</f>
        <v>0</v>
      </c>
      <c r="K104" s="152">
        <f>IFERROR(VLOOKUP(J104,AnsFTBL,2,FALSE),0)</f>
        <v>0</v>
      </c>
      <c r="L104" s="257">
        <f>IFERROR(AVERAGE(K104,K108),0)</f>
        <v>0</v>
      </c>
      <c r="M104" s="617"/>
      <c r="N104" s="262">
        <f>J104</f>
        <v>0</v>
      </c>
      <c r="O104" s="152">
        <f>IFERROR(VLOOKUP(N104,AnsFTBL,2,FALSE),0)</f>
        <v>0</v>
      </c>
      <c r="P104" s="257">
        <f>IFERROR(AVERAGE(O104,O108),0)</f>
        <v>0</v>
      </c>
      <c r="Q104" s="617"/>
      <c r="R104" s="262">
        <f>N104</f>
        <v>0</v>
      </c>
      <c r="S104" s="152">
        <f>IFERROR(VLOOKUP(R104,AnsFTBL,2,FALSE),0)</f>
        <v>0</v>
      </c>
      <c r="T104" s="257">
        <f>IFERROR(AVERAGE(S104,S108),0)</f>
        <v>0</v>
      </c>
      <c r="U104" s="617"/>
      <c r="V104" s="262">
        <f>R104</f>
        <v>0</v>
      </c>
      <c r="W104" s="152">
        <f>IFERROR(VLOOKUP(V104,AnsFTBL,2,FALSE),0)</f>
        <v>0</v>
      </c>
      <c r="X104" s="257">
        <f>IFERROR(AVERAGE(W104,W108),0)</f>
        <v>0</v>
      </c>
      <c r="Y104" s="617"/>
    </row>
    <row r="105" spans="1:25" ht="13" x14ac:dyDescent="0.15">
      <c r="A105" s="142"/>
      <c r="B105" s="233"/>
      <c r="C105" s="222"/>
      <c r="D105" s="206"/>
      <c r="E105" s="206"/>
      <c r="F105" s="206"/>
      <c r="G105" s="206"/>
      <c r="H105" s="206"/>
      <c r="I105" s="617"/>
      <c r="J105" s="206"/>
      <c r="K105" s="206"/>
      <c r="L105" s="206"/>
      <c r="M105" s="617"/>
      <c r="N105" s="206"/>
      <c r="O105" s="206"/>
      <c r="P105" s="206"/>
      <c r="Q105" s="617"/>
      <c r="R105" s="206"/>
      <c r="S105" s="206"/>
      <c r="T105" s="206"/>
      <c r="U105" s="617"/>
      <c r="V105" s="206"/>
      <c r="W105" s="206"/>
      <c r="X105" s="206"/>
      <c r="Y105" s="617"/>
    </row>
    <row r="106" spans="1:25" ht="28" x14ac:dyDescent="0.15">
      <c r="A106" s="142" t="str">
        <f>Interview!A154</f>
        <v>V-AA-B-1-1</v>
      </c>
      <c r="B106" s="633" t="str">
        <f>VLOOKUP(A106,'imp-questions'!A:H,4,FALSE)</f>
        <v>Architecture Mitigation</v>
      </c>
      <c r="C106" s="228">
        <f>VLOOKUP(A106,'imp-questions'!A:H,5,FALSE)</f>
        <v>1</v>
      </c>
      <c r="D106" s="176" t="str">
        <f>VLOOKUP(A106,'imp-questions'!A:H,6,FALSE)</f>
        <v>Do you review the application architecture for mitigations of typical threats on an ad-hoc basis?</v>
      </c>
      <c r="E106" s="160" t="str">
        <f>CHAR(65+VLOOKUP(A106,'imp-questions'!A:H,8,FALSE))</f>
        <v>F</v>
      </c>
      <c r="F106" s="174">
        <f>Interview!F154</f>
        <v>0</v>
      </c>
      <c r="G106" s="152">
        <f>IFERROR(VLOOKUP(F106,AnsFTBL,2,FALSE),0)</f>
        <v>0</v>
      </c>
      <c r="H106" s="258"/>
      <c r="I106" s="617"/>
      <c r="J106" s="262">
        <f>F106</f>
        <v>0</v>
      </c>
      <c r="K106" s="152">
        <f>IFERROR(VLOOKUP(J106,AnsFTBL,2,FALSE),0)</f>
        <v>0</v>
      </c>
      <c r="L106" s="258"/>
      <c r="M106" s="617"/>
      <c r="N106" s="262">
        <f>J106</f>
        <v>0</v>
      </c>
      <c r="O106" s="152">
        <f>IFERROR(VLOOKUP(N106,AnsFTBL,2,FALSE),0)</f>
        <v>0</v>
      </c>
      <c r="P106" s="258"/>
      <c r="Q106" s="617"/>
      <c r="R106" s="262">
        <f>N106</f>
        <v>0</v>
      </c>
      <c r="S106" s="152">
        <f>IFERROR(VLOOKUP(R106,AnsFTBL,2,FALSE),0)</f>
        <v>0</v>
      </c>
      <c r="T106" s="258"/>
      <c r="U106" s="617"/>
      <c r="V106" s="262">
        <f>R106</f>
        <v>0</v>
      </c>
      <c r="W106" s="152">
        <f>IFERROR(VLOOKUP(V106,AnsFTBL,2,FALSE),0)</f>
        <v>0</v>
      </c>
      <c r="X106" s="258"/>
      <c r="Y106" s="617"/>
    </row>
    <row r="107" spans="1:25" x14ac:dyDescent="0.15">
      <c r="A107" s="142" t="str">
        <f>Interview!A156</f>
        <v>V-AA-B-2-1</v>
      </c>
      <c r="B107" s="634"/>
      <c r="C107" s="228">
        <f>VLOOKUP(A107,'imp-questions'!A:H,5,FALSE)</f>
        <v>2</v>
      </c>
      <c r="D107" s="176" t="str">
        <f>VLOOKUP(A107,'imp-questions'!A:H,6,FALSE)</f>
        <v>Do you regularly evaluate the threats to your architecture?</v>
      </c>
      <c r="E107" s="160" t="str">
        <f>CHAR(65+VLOOKUP(A107,'imp-questions'!A:H,8,FALSE))</f>
        <v>F</v>
      </c>
      <c r="F107" s="175">
        <f>Interview!F156</f>
        <v>0</v>
      </c>
      <c r="G107" s="152">
        <f>IFERROR(VLOOKUP(F107,AnsFTBL,2,FALSE),0)</f>
        <v>0</v>
      </c>
      <c r="H107" s="258"/>
      <c r="I107" s="617"/>
      <c r="J107" s="262">
        <f>F107</f>
        <v>0</v>
      </c>
      <c r="K107" s="152">
        <f>IFERROR(VLOOKUP(J107,AnsFTBL,2,FALSE),0)</f>
        <v>0</v>
      </c>
      <c r="L107" s="258"/>
      <c r="M107" s="617"/>
      <c r="N107" s="262">
        <f>J107</f>
        <v>0</v>
      </c>
      <c r="O107" s="152">
        <f>IFERROR(VLOOKUP(N107,AnsFTBL,2,FALSE),0)</f>
        <v>0</v>
      </c>
      <c r="P107" s="258"/>
      <c r="Q107" s="617"/>
      <c r="R107" s="262">
        <f>N107</f>
        <v>0</v>
      </c>
      <c r="S107" s="152">
        <f>IFERROR(VLOOKUP(R107,AnsFTBL,2,FALSE),0)</f>
        <v>0</v>
      </c>
      <c r="T107" s="258"/>
      <c r="U107" s="617"/>
      <c r="V107" s="262">
        <f>R107</f>
        <v>0</v>
      </c>
      <c r="W107" s="152">
        <f>IFERROR(VLOOKUP(V107,AnsFTBL,2,FALSE),0)</f>
        <v>0</v>
      </c>
      <c r="X107" s="258"/>
      <c r="Y107" s="617"/>
    </row>
    <row r="108" spans="1:25" ht="28" x14ac:dyDescent="0.15">
      <c r="A108" s="142" t="str">
        <f>Interview!A158</f>
        <v>V-AA-B-3-1</v>
      </c>
      <c r="B108" s="635"/>
      <c r="C108" s="228">
        <f>VLOOKUP(A108,'imp-questions'!A:H,5,FALSE)</f>
        <v>3</v>
      </c>
      <c r="D108" s="252" t="str">
        <f>VLOOKUP(A108,'imp-questions'!A:H,6,FALSE)</f>
        <v>Do you regularly update your reference architectures based on architecture assessment findings?</v>
      </c>
      <c r="E108" s="160" t="str">
        <f>CHAR(65+VLOOKUP(A108,'imp-questions'!A:H,8,FALSE))</f>
        <v>F</v>
      </c>
      <c r="F108" s="175">
        <f>Interview!F158</f>
        <v>0</v>
      </c>
      <c r="G108" s="152">
        <f>IFERROR(VLOOKUP(F108,AnsFTBL,2,FALSE),0)</f>
        <v>0</v>
      </c>
      <c r="H108" s="258"/>
      <c r="I108" s="618"/>
      <c r="J108" s="262">
        <f>F108</f>
        <v>0</v>
      </c>
      <c r="K108" s="152">
        <f>IFERROR(VLOOKUP(J108,AnsFTBL,2,FALSE),0)</f>
        <v>0</v>
      </c>
      <c r="L108" s="258"/>
      <c r="M108" s="618"/>
      <c r="N108" s="262">
        <f>J108</f>
        <v>0</v>
      </c>
      <c r="O108" s="152">
        <f>IFERROR(VLOOKUP(N108,AnsFTBL,2,FALSE),0)</f>
        <v>0</v>
      </c>
      <c r="P108" s="258"/>
      <c r="Q108" s="618"/>
      <c r="R108" s="262">
        <f>N108</f>
        <v>0</v>
      </c>
      <c r="S108" s="152">
        <f>IFERROR(VLOOKUP(R108,AnsFTBL,2,FALSE),0)</f>
        <v>0</v>
      </c>
      <c r="T108" s="258"/>
      <c r="U108" s="618"/>
      <c r="V108" s="262">
        <f>R108</f>
        <v>0</v>
      </c>
      <c r="W108" s="152">
        <f>IFERROR(VLOOKUP(V108,AnsFTBL,2,FALSE),0)</f>
        <v>0</v>
      </c>
      <c r="X108" s="258"/>
      <c r="Y108" s="618"/>
    </row>
    <row r="109" spans="1:25" ht="13" x14ac:dyDescent="0.15">
      <c r="A109" s="142"/>
      <c r="B109" s="233"/>
      <c r="C109" s="222"/>
      <c r="D109" s="206"/>
      <c r="E109" s="206"/>
      <c r="F109" s="206"/>
      <c r="G109" s="206"/>
      <c r="H109" s="206"/>
      <c r="I109" s="206"/>
      <c r="J109" s="206"/>
      <c r="K109" s="206"/>
      <c r="L109" s="206"/>
      <c r="M109" s="204"/>
      <c r="N109" s="206"/>
      <c r="O109" s="206"/>
      <c r="P109" s="206"/>
      <c r="Q109" s="204"/>
      <c r="R109" s="206"/>
      <c r="S109" s="206"/>
      <c r="T109" s="206"/>
      <c r="U109" s="204"/>
      <c r="V109" s="206"/>
      <c r="W109" s="206"/>
      <c r="X109" s="206"/>
      <c r="Y109" s="204"/>
    </row>
    <row r="110" spans="1:25" x14ac:dyDescent="0.15">
      <c r="A110" s="142"/>
      <c r="B110" s="237" t="s">
        <v>312</v>
      </c>
      <c r="C110" s="227" t="s">
        <v>313</v>
      </c>
      <c r="D110" s="249" t="s">
        <v>438</v>
      </c>
      <c r="E110" s="194"/>
      <c r="F110" s="72" t="s">
        <v>31</v>
      </c>
      <c r="G110" s="72"/>
      <c r="H110" s="113"/>
      <c r="I110" s="214" t="s">
        <v>29</v>
      </c>
      <c r="J110" s="72" t="s">
        <v>31</v>
      </c>
      <c r="K110" s="72"/>
      <c r="L110" s="113"/>
      <c r="M110" s="214" t="s">
        <v>29</v>
      </c>
      <c r="N110" s="72" t="s">
        <v>31</v>
      </c>
      <c r="O110" s="72"/>
      <c r="P110" s="113"/>
      <c r="Q110" s="214" t="s">
        <v>29</v>
      </c>
      <c r="R110" s="72" t="s">
        <v>31</v>
      </c>
      <c r="S110" s="72"/>
      <c r="T110" s="113"/>
      <c r="U110" s="214" t="s">
        <v>29</v>
      </c>
      <c r="V110" s="72" t="s">
        <v>31</v>
      </c>
      <c r="W110" s="72"/>
      <c r="X110" s="113"/>
      <c r="Y110" s="214" t="s">
        <v>29</v>
      </c>
    </row>
    <row r="111" spans="1:25" ht="28" x14ac:dyDescent="0.15">
      <c r="A111" s="142" t="str">
        <f>Interview!A161</f>
        <v>V-RT-A-1-1</v>
      </c>
      <c r="B111" s="633" t="str">
        <f>VLOOKUP(A111,'imp-questions'!A:H,4,FALSE)</f>
        <v>Control Verification</v>
      </c>
      <c r="C111" s="228">
        <f>VLOOKUP(A111,'imp-questions'!A:H,5,FALSE)</f>
        <v>1</v>
      </c>
      <c r="D111" s="176" t="str">
        <f>VLOOKUP(A111,'imp-questions'!A:H,6,FALSE)</f>
        <v>Do you test applications for the correct functioning of standard security controls?</v>
      </c>
      <c r="E111" s="144" t="str">
        <f>CHAR(65+VLOOKUP(A111,'imp-questions'!A:H,8,FALSE))</f>
        <v>C</v>
      </c>
      <c r="F111" s="169">
        <f>Interview!F161</f>
        <v>0</v>
      </c>
      <c r="G111" s="152">
        <f>IFERROR(VLOOKUP(F111,AnsCTBL,2,FALSE),0)</f>
        <v>0</v>
      </c>
      <c r="H111" s="257">
        <f>IFERROR(AVERAGE(G111,G115),0)</f>
        <v>0</v>
      </c>
      <c r="I111" s="616">
        <f>SUM(H111:H113)</f>
        <v>0</v>
      </c>
      <c r="J111" s="262">
        <f>F111</f>
        <v>0</v>
      </c>
      <c r="K111" s="152">
        <f>IFERROR(VLOOKUP(J111,AnsCTBL,2,FALSE),0)</f>
        <v>0</v>
      </c>
      <c r="L111" s="257">
        <f>IFERROR(AVERAGE(K111,K115),0)</f>
        <v>0</v>
      </c>
      <c r="M111" s="616">
        <f>SUM(L111:L113)</f>
        <v>0</v>
      </c>
      <c r="N111" s="262">
        <f>J111</f>
        <v>0</v>
      </c>
      <c r="O111" s="152">
        <f>IFERROR(VLOOKUP(N111,AnsCTBL,2,FALSE),0)</f>
        <v>0</v>
      </c>
      <c r="P111" s="257">
        <f>IFERROR(AVERAGE(O111,O115),0)</f>
        <v>0</v>
      </c>
      <c r="Q111" s="616">
        <f>SUM(P111:P113)</f>
        <v>0</v>
      </c>
      <c r="R111" s="262">
        <f>N111</f>
        <v>0</v>
      </c>
      <c r="S111" s="152">
        <f>IFERROR(VLOOKUP(R111,AnsCTBL,2,FALSE),0)</f>
        <v>0</v>
      </c>
      <c r="T111" s="257">
        <f>IFERROR(AVERAGE(S111,S115),0)</f>
        <v>0</v>
      </c>
      <c r="U111" s="616">
        <f>SUM(T111:T113)</f>
        <v>0</v>
      </c>
      <c r="V111" s="262">
        <f>R111</f>
        <v>0</v>
      </c>
      <c r="W111" s="152">
        <f>IFERROR(VLOOKUP(V111,AnsCTBL,2,FALSE),0)</f>
        <v>0</v>
      </c>
      <c r="X111" s="257">
        <f>IFERROR(AVERAGE(W111,W115),0)</f>
        <v>0</v>
      </c>
      <c r="Y111" s="616">
        <f>SUM(X111:X113)</f>
        <v>0</v>
      </c>
    </row>
    <row r="112" spans="1:25" ht="28" x14ac:dyDescent="0.15">
      <c r="A112" s="142" t="str">
        <f>Interview!A163</f>
        <v>V-RT-A-2-1</v>
      </c>
      <c r="B112" s="634"/>
      <c r="C112" s="228">
        <f>VLOOKUP(A112,'imp-questions'!A:H,5,FALSE)</f>
        <v>2</v>
      </c>
      <c r="D112" s="176" t="str">
        <f>VLOOKUP(A112,'imp-questions'!A:H,6,FALSE)</f>
        <v>Do you consistently write and execute test scripts to verify the functionality of security requirements?</v>
      </c>
      <c r="E112" s="144" t="str">
        <f>CHAR(65+VLOOKUP(A112,'imp-questions'!A:H,8,FALSE))</f>
        <v>C</v>
      </c>
      <c r="F112" s="173">
        <f>Interview!F163</f>
        <v>0</v>
      </c>
      <c r="G112" s="152">
        <f>IFERROR(VLOOKUP(F112,AnsCTBL,2,FALSE),0)</f>
        <v>0</v>
      </c>
      <c r="H112" s="257">
        <f>IFERROR(AVERAGE(G112,G116),0)</f>
        <v>0</v>
      </c>
      <c r="I112" s="617"/>
      <c r="J112" s="262">
        <f>F112</f>
        <v>0</v>
      </c>
      <c r="K112" s="152">
        <f>IFERROR(VLOOKUP(J112,AnsCTBL,2,FALSE),0)</f>
        <v>0</v>
      </c>
      <c r="L112" s="257">
        <f>IFERROR(AVERAGE(K112,K116),0)</f>
        <v>0</v>
      </c>
      <c r="M112" s="617"/>
      <c r="N112" s="262">
        <f>J112</f>
        <v>0</v>
      </c>
      <c r="O112" s="152">
        <f>IFERROR(VLOOKUP(N112,AnsCTBL,2,FALSE),0)</f>
        <v>0</v>
      </c>
      <c r="P112" s="257">
        <f>IFERROR(AVERAGE(O112,O116),0)</f>
        <v>0</v>
      </c>
      <c r="Q112" s="617"/>
      <c r="R112" s="262">
        <f>N112</f>
        <v>0</v>
      </c>
      <c r="S112" s="152">
        <f>IFERROR(VLOOKUP(R112,AnsCTBL,2,FALSE),0)</f>
        <v>0</v>
      </c>
      <c r="T112" s="257">
        <f>IFERROR(AVERAGE(S112,S116),0)</f>
        <v>0</v>
      </c>
      <c r="U112" s="617"/>
      <c r="V112" s="262">
        <f>R112</f>
        <v>0</v>
      </c>
      <c r="W112" s="152">
        <f>IFERROR(VLOOKUP(V112,AnsCTBL,2,FALSE),0)</f>
        <v>0</v>
      </c>
      <c r="X112" s="257">
        <f>IFERROR(AVERAGE(W112,W116),0)</f>
        <v>0</v>
      </c>
      <c r="Y112" s="617"/>
    </row>
    <row r="113" spans="1:25" x14ac:dyDescent="0.15">
      <c r="A113" s="142" t="str">
        <f>Interview!A165</f>
        <v>V-RT-A-3-1</v>
      </c>
      <c r="B113" s="635"/>
      <c r="C113" s="228">
        <f>VLOOKUP(A113,'imp-questions'!A:H,5,FALSE)</f>
        <v>3</v>
      </c>
      <c r="D113" s="252" t="str">
        <f>VLOOKUP(A113,'imp-questions'!A:H,6,FALSE)</f>
        <v>Do you automatically test applications for security regressions?</v>
      </c>
      <c r="E113" s="144" t="str">
        <f>CHAR(65+VLOOKUP(A113,'imp-questions'!A:H,8,FALSE))</f>
        <v>F</v>
      </c>
      <c r="F113" s="173">
        <f>Interview!F165</f>
        <v>0</v>
      </c>
      <c r="G113" s="152">
        <f>IFERROR(VLOOKUP(F113,AnsFTBL,2,FALSE),0)</f>
        <v>0</v>
      </c>
      <c r="H113" s="257">
        <f>IFERROR(AVERAGE(G113,G117),0)</f>
        <v>0</v>
      </c>
      <c r="I113" s="617"/>
      <c r="J113" s="262">
        <f>F113</f>
        <v>0</v>
      </c>
      <c r="K113" s="152">
        <f>IFERROR(VLOOKUP(J113,AnsFTBL,2,FALSE),0)</f>
        <v>0</v>
      </c>
      <c r="L113" s="257">
        <f>IFERROR(AVERAGE(K113,K117),0)</f>
        <v>0</v>
      </c>
      <c r="M113" s="617"/>
      <c r="N113" s="262">
        <f>J113</f>
        <v>0</v>
      </c>
      <c r="O113" s="152">
        <f>IFERROR(VLOOKUP(N113,AnsFTBL,2,FALSE),0)</f>
        <v>0</v>
      </c>
      <c r="P113" s="257">
        <f>IFERROR(AVERAGE(O113,O117),0)</f>
        <v>0</v>
      </c>
      <c r="Q113" s="617"/>
      <c r="R113" s="262">
        <f>N113</f>
        <v>0</v>
      </c>
      <c r="S113" s="152">
        <f>IFERROR(VLOOKUP(R113,AnsFTBL,2,FALSE),0)</f>
        <v>0</v>
      </c>
      <c r="T113" s="257">
        <f>IFERROR(AVERAGE(S113,S117),0)</f>
        <v>0</v>
      </c>
      <c r="U113" s="617"/>
      <c r="V113" s="262">
        <f>R113</f>
        <v>0</v>
      </c>
      <c r="W113" s="152">
        <f>IFERROR(VLOOKUP(V113,AnsFTBL,2,FALSE),0)</f>
        <v>0</v>
      </c>
      <c r="X113" s="257">
        <f>IFERROR(AVERAGE(W113,W117),0)</f>
        <v>0</v>
      </c>
      <c r="Y113" s="617"/>
    </row>
    <row r="114" spans="1:25" ht="13" x14ac:dyDescent="0.15">
      <c r="A114" s="142"/>
      <c r="B114" s="233"/>
      <c r="C114" s="222"/>
      <c r="D114" s="204"/>
      <c r="E114" s="204"/>
      <c r="F114" s="204"/>
      <c r="G114" s="204"/>
      <c r="H114" s="204"/>
      <c r="I114" s="617"/>
      <c r="J114" s="204"/>
      <c r="K114" s="204"/>
      <c r="L114" s="204"/>
      <c r="M114" s="617"/>
      <c r="N114" s="204"/>
      <c r="O114" s="204"/>
      <c r="P114" s="204"/>
      <c r="Q114" s="617"/>
      <c r="R114" s="204"/>
      <c r="S114" s="204"/>
      <c r="T114" s="204"/>
      <c r="U114" s="617"/>
      <c r="V114" s="204"/>
      <c r="W114" s="204"/>
      <c r="X114" s="204"/>
      <c r="Y114" s="617"/>
    </row>
    <row r="115" spans="1:25" x14ac:dyDescent="0.15">
      <c r="A115" s="142" t="str">
        <f>Interview!A168</f>
        <v>V-RT-B-1-1</v>
      </c>
      <c r="B115" s="633" t="str">
        <f>VLOOKUP(A115,'imp-questions'!A:H,4,FALSE)</f>
        <v>Misuse/Abuse Testing</v>
      </c>
      <c r="C115" s="228">
        <f>VLOOKUP(A115,'imp-questions'!A:H,5,FALSE)</f>
        <v>1</v>
      </c>
      <c r="D115" s="176" t="str">
        <f>VLOOKUP(A115,'imp-questions'!A:H,6,FALSE)</f>
        <v>Do you test applications using randomization or fuzzing techniques?</v>
      </c>
      <c r="E115" s="144" t="str">
        <f>CHAR(65+VLOOKUP(A115,'imp-questions'!A:H,8,FALSE))</f>
        <v>F</v>
      </c>
      <c r="F115" s="169">
        <f>Interview!F168</f>
        <v>0</v>
      </c>
      <c r="G115" s="152">
        <f>IFERROR(VLOOKUP(F115,AnsFTBL,2,FALSE),0)</f>
        <v>0</v>
      </c>
      <c r="H115" s="122"/>
      <c r="I115" s="617"/>
      <c r="J115" s="262">
        <f>F115</f>
        <v>0</v>
      </c>
      <c r="K115" s="152">
        <f>IFERROR(VLOOKUP(J115,AnsFTBL,2,FALSE),0)</f>
        <v>0</v>
      </c>
      <c r="L115" s="122"/>
      <c r="M115" s="617"/>
      <c r="N115" s="262">
        <f>J115</f>
        <v>0</v>
      </c>
      <c r="O115" s="152">
        <f>IFERROR(VLOOKUP(N115,AnsFTBL,2,FALSE),0)</f>
        <v>0</v>
      </c>
      <c r="P115" s="122"/>
      <c r="Q115" s="617"/>
      <c r="R115" s="262">
        <f>N115</f>
        <v>0</v>
      </c>
      <c r="S115" s="152">
        <f>IFERROR(VLOOKUP(R115,AnsFTBL,2,FALSE),0)</f>
        <v>0</v>
      </c>
      <c r="T115" s="122"/>
      <c r="U115" s="617"/>
      <c r="V115" s="262">
        <f>R115</f>
        <v>0</v>
      </c>
      <c r="W115" s="152">
        <f>IFERROR(VLOOKUP(V115,AnsFTBL,2,FALSE),0)</f>
        <v>0</v>
      </c>
      <c r="X115" s="122"/>
      <c r="Y115" s="617"/>
    </row>
    <row r="116" spans="1:25" ht="28" x14ac:dyDescent="0.15">
      <c r="A116" s="142" t="str">
        <f>Interview!A170</f>
        <v>V-RT-B-2-1</v>
      </c>
      <c r="B116" s="634"/>
      <c r="C116" s="228">
        <f>VLOOKUP(A116,'imp-questions'!A:H,5,FALSE)</f>
        <v>2</v>
      </c>
      <c r="D116" s="176" t="str">
        <f>VLOOKUP(A116,'imp-questions'!A:H,6,FALSE)</f>
        <v>Do you create abuse cases from functional requirements and use them to drive security tests?</v>
      </c>
      <c r="E116" s="144" t="str">
        <f>CHAR(65+VLOOKUP(A116,'imp-questions'!A:H,8,FALSE))</f>
        <v>H</v>
      </c>
      <c r="F116" s="173">
        <f>Interview!F170</f>
        <v>0</v>
      </c>
      <c r="G116" s="152">
        <f>IFERROR(VLOOKUP(F116,AnsHTBL,2,FALSE),0)</f>
        <v>0</v>
      </c>
      <c r="H116" s="122"/>
      <c r="I116" s="617"/>
      <c r="J116" s="262">
        <f>F116</f>
        <v>0</v>
      </c>
      <c r="K116" s="152">
        <f>IFERROR(VLOOKUP(J116,AnsHTBL,2,FALSE),0)</f>
        <v>0</v>
      </c>
      <c r="L116" s="122"/>
      <c r="M116" s="617"/>
      <c r="N116" s="262">
        <f>J116</f>
        <v>0</v>
      </c>
      <c r="O116" s="152">
        <f>IFERROR(VLOOKUP(N116,AnsHTBL,2,FALSE),0)</f>
        <v>0</v>
      </c>
      <c r="P116" s="122"/>
      <c r="Q116" s="617"/>
      <c r="R116" s="262">
        <f>N116</f>
        <v>0</v>
      </c>
      <c r="S116" s="152">
        <f>IFERROR(VLOOKUP(R116,AnsHTBL,2,FALSE),0)</f>
        <v>0</v>
      </c>
      <c r="T116" s="122"/>
      <c r="U116" s="617"/>
      <c r="V116" s="262">
        <f>R116</f>
        <v>0</v>
      </c>
      <c r="W116" s="152">
        <f>IFERROR(VLOOKUP(V116,AnsHTBL,2,FALSE),0)</f>
        <v>0</v>
      </c>
      <c r="X116" s="122"/>
      <c r="Y116" s="617"/>
    </row>
    <row r="117" spans="1:25" x14ac:dyDescent="0.15">
      <c r="A117" s="142" t="str">
        <f>Interview!A172</f>
        <v>V-RT-B-3-1</v>
      </c>
      <c r="B117" s="635"/>
      <c r="C117" s="228">
        <f>VLOOKUP(A117,'imp-questions'!A:H,5,FALSE)</f>
        <v>3</v>
      </c>
      <c r="D117" s="252" t="str">
        <f>VLOOKUP(A117,'imp-questions'!A:H,6,FALSE)</f>
        <v>Do you perform denial of service and security stress testing?</v>
      </c>
      <c r="E117" s="144" t="str">
        <f>CHAR(65+VLOOKUP(A117,'imp-questions'!A:H,8,FALSE))</f>
        <v>H</v>
      </c>
      <c r="F117" s="173">
        <f>Interview!F172</f>
        <v>0</v>
      </c>
      <c r="G117" s="152">
        <f>IFERROR(VLOOKUP(F117,AnsHTBL,2,FALSE),0)</f>
        <v>0</v>
      </c>
      <c r="H117" s="122"/>
      <c r="I117" s="618"/>
      <c r="J117" s="262">
        <f>F117</f>
        <v>0</v>
      </c>
      <c r="K117" s="152">
        <f>IFERROR(VLOOKUP(J117,AnsHTBL,2,FALSE),0)</f>
        <v>0</v>
      </c>
      <c r="L117" s="122"/>
      <c r="M117" s="618"/>
      <c r="N117" s="262">
        <f>J117</f>
        <v>0</v>
      </c>
      <c r="O117" s="152">
        <f>IFERROR(VLOOKUP(N117,AnsHTBL,2,FALSE),0)</f>
        <v>0</v>
      </c>
      <c r="P117" s="122"/>
      <c r="Q117" s="618"/>
      <c r="R117" s="262">
        <f>N117</f>
        <v>0</v>
      </c>
      <c r="S117" s="152">
        <f>IFERROR(VLOOKUP(R117,AnsHTBL,2,FALSE),0)</f>
        <v>0</v>
      </c>
      <c r="T117" s="122"/>
      <c r="U117" s="618"/>
      <c r="V117" s="262">
        <f>R117</f>
        <v>0</v>
      </c>
      <c r="W117" s="152">
        <f>IFERROR(VLOOKUP(V117,AnsHTBL,2,FALSE),0)</f>
        <v>0</v>
      </c>
      <c r="X117" s="122"/>
      <c r="Y117" s="618"/>
    </row>
    <row r="118" spans="1:25" ht="13" x14ac:dyDescent="0.15">
      <c r="A118" s="142"/>
      <c r="B118" s="233"/>
      <c r="C118" s="222"/>
      <c r="D118" s="206"/>
      <c r="E118" s="206"/>
      <c r="F118" s="206"/>
      <c r="G118" s="206"/>
      <c r="H118" s="206"/>
      <c r="I118" s="204"/>
      <c r="J118" s="206"/>
      <c r="K118" s="206"/>
      <c r="L118" s="206"/>
      <c r="M118" s="204"/>
      <c r="N118" s="206"/>
      <c r="O118" s="206"/>
      <c r="P118" s="206"/>
      <c r="Q118" s="204"/>
      <c r="R118" s="206"/>
      <c r="S118" s="206"/>
      <c r="T118" s="206"/>
      <c r="U118" s="204"/>
      <c r="V118" s="206"/>
      <c r="W118" s="206"/>
      <c r="X118" s="206"/>
      <c r="Y118" s="204"/>
    </row>
    <row r="119" spans="1:25" x14ac:dyDescent="0.15">
      <c r="A119" s="142"/>
      <c r="B119" s="237" t="s">
        <v>312</v>
      </c>
      <c r="C119" s="227" t="s">
        <v>313</v>
      </c>
      <c r="D119" s="249" t="s">
        <v>25</v>
      </c>
      <c r="E119" s="194"/>
      <c r="F119" s="72" t="s">
        <v>31</v>
      </c>
      <c r="G119" s="72"/>
      <c r="H119" s="113"/>
      <c r="I119" s="214" t="s">
        <v>29</v>
      </c>
      <c r="J119" s="72" t="s">
        <v>31</v>
      </c>
      <c r="K119" s="72"/>
      <c r="L119" s="113"/>
      <c r="M119" s="214" t="s">
        <v>29</v>
      </c>
      <c r="N119" s="72" t="s">
        <v>31</v>
      </c>
      <c r="O119" s="72"/>
      <c r="P119" s="113"/>
      <c r="Q119" s="214" t="s">
        <v>29</v>
      </c>
      <c r="R119" s="72" t="s">
        <v>31</v>
      </c>
      <c r="S119" s="72"/>
      <c r="T119" s="113"/>
      <c r="U119" s="214" t="s">
        <v>29</v>
      </c>
      <c r="V119" s="72" t="s">
        <v>31</v>
      </c>
      <c r="W119" s="72"/>
      <c r="X119" s="113"/>
      <c r="Y119" s="214" t="s">
        <v>29</v>
      </c>
    </row>
    <row r="120" spans="1:25" x14ac:dyDescent="0.15">
      <c r="A120" s="142" t="str">
        <f>Interview!A175</f>
        <v>V-ST-A-1-1</v>
      </c>
      <c r="B120" s="633" t="str">
        <f>VLOOKUP(A120,'imp-questions'!A:H,4,FALSE)</f>
        <v>Scalable Baseline</v>
      </c>
      <c r="C120" s="228">
        <f>VLOOKUP(A120,'imp-questions'!A:H,5,FALSE)</f>
        <v>1</v>
      </c>
      <c r="D120" s="176" t="str">
        <f>VLOOKUP(A120,'imp-questions'!A:H,6,FALSE)</f>
        <v>Do you scan applications with automated security testing tools?</v>
      </c>
      <c r="E120" s="144" t="str">
        <f>CHAR(65+VLOOKUP(A120,'imp-questions'!A:H,8,FALSE))</f>
        <v>C</v>
      </c>
      <c r="F120" s="169">
        <f>Interview!F175</f>
        <v>0</v>
      </c>
      <c r="G120" s="152">
        <f>IFERROR(VLOOKUP(F120,AnsCTBL,2,FALSE),0)</f>
        <v>0</v>
      </c>
      <c r="H120" s="257">
        <f>IFERROR(AVERAGE(G120,G124),0)</f>
        <v>0</v>
      </c>
      <c r="I120" s="616">
        <f>SUM(H120:H122)</f>
        <v>0</v>
      </c>
      <c r="J120" s="262">
        <f>F120</f>
        <v>0</v>
      </c>
      <c r="K120" s="152">
        <f>IFERROR(VLOOKUP(J120,AnsCTBL,2,FALSE),0)</f>
        <v>0</v>
      </c>
      <c r="L120" s="257">
        <f>IFERROR(AVERAGE(K120,K124),0)</f>
        <v>0</v>
      </c>
      <c r="M120" s="616">
        <f>SUM(L120:L122)</f>
        <v>0</v>
      </c>
      <c r="N120" s="262">
        <f>J120</f>
        <v>0</v>
      </c>
      <c r="O120" s="152">
        <f>IFERROR(VLOOKUP(N120,AnsCTBL,2,FALSE),0)</f>
        <v>0</v>
      </c>
      <c r="P120" s="257">
        <f>IFERROR(AVERAGE(O120,O124),0)</f>
        <v>0</v>
      </c>
      <c r="Q120" s="616">
        <f>SUM(P120:P122)</f>
        <v>0</v>
      </c>
      <c r="R120" s="262">
        <f>N120</f>
        <v>0</v>
      </c>
      <c r="S120" s="152">
        <f>IFERROR(VLOOKUP(R120,AnsCTBL,2,FALSE),0)</f>
        <v>0</v>
      </c>
      <c r="T120" s="257">
        <f>IFERROR(AVERAGE(S120,S124),0)</f>
        <v>0</v>
      </c>
      <c r="U120" s="616">
        <f>SUM(T120:T122)</f>
        <v>0</v>
      </c>
      <c r="V120" s="262">
        <f>R120</f>
        <v>0</v>
      </c>
      <c r="W120" s="152">
        <f>IFERROR(VLOOKUP(V120,AnsCTBL,2,FALSE),0)</f>
        <v>0</v>
      </c>
      <c r="X120" s="257">
        <f>IFERROR(AVERAGE(W120,W124),0)</f>
        <v>0</v>
      </c>
      <c r="Y120" s="616">
        <f>SUM(X120:X122)</f>
        <v>0</v>
      </c>
    </row>
    <row r="121" spans="1:25" ht="28" x14ac:dyDescent="0.15">
      <c r="A121" s="142" t="str">
        <f>Interview!A177</f>
        <v>V-ST-A-2-1</v>
      </c>
      <c r="B121" s="634"/>
      <c r="C121" s="228">
        <f>VLOOKUP(A121,'imp-questions'!A:H,5,FALSE)</f>
        <v>2</v>
      </c>
      <c r="D121" s="176" t="str">
        <f>VLOOKUP(A121,'imp-questions'!A:H,6,FALSE)</f>
        <v>Do you customize the automated security tools to your applications and technology stacks?</v>
      </c>
      <c r="E121" s="144" t="str">
        <f>CHAR(65+VLOOKUP(A121,'imp-questions'!A:H,8,FALSE))</f>
        <v>C</v>
      </c>
      <c r="F121" s="173">
        <f>Interview!F177</f>
        <v>0</v>
      </c>
      <c r="G121" s="152">
        <f>IFERROR(VLOOKUP(F121,AnsCTBL,2,FALSE),0)</f>
        <v>0</v>
      </c>
      <c r="H121" s="257">
        <f>IFERROR(AVERAGE(G121,G125),0)</f>
        <v>0</v>
      </c>
      <c r="I121" s="617"/>
      <c r="J121" s="262">
        <f>F121</f>
        <v>0</v>
      </c>
      <c r="K121" s="152">
        <f>IFERROR(VLOOKUP(J121,AnsCTBL,2,FALSE),0)</f>
        <v>0</v>
      </c>
      <c r="L121" s="257">
        <f>IFERROR(AVERAGE(K121,K125),0)</f>
        <v>0</v>
      </c>
      <c r="M121" s="617"/>
      <c r="N121" s="262">
        <f>J121</f>
        <v>0</v>
      </c>
      <c r="O121" s="152">
        <f>IFERROR(VLOOKUP(N121,AnsCTBL,2,FALSE),0)</f>
        <v>0</v>
      </c>
      <c r="P121" s="257">
        <f>IFERROR(AVERAGE(O121,O125),0)</f>
        <v>0</v>
      </c>
      <c r="Q121" s="617"/>
      <c r="R121" s="262">
        <f>N121</f>
        <v>0</v>
      </c>
      <c r="S121" s="152">
        <f>IFERROR(VLOOKUP(R121,AnsCTBL,2,FALSE),0)</f>
        <v>0</v>
      </c>
      <c r="T121" s="257">
        <f>IFERROR(AVERAGE(S121,S125),0)</f>
        <v>0</v>
      </c>
      <c r="U121" s="617"/>
      <c r="V121" s="262">
        <f>R121</f>
        <v>0</v>
      </c>
      <c r="W121" s="152">
        <f>IFERROR(VLOOKUP(V121,AnsCTBL,2,FALSE),0)</f>
        <v>0</v>
      </c>
      <c r="X121" s="257">
        <f>IFERROR(AVERAGE(W121,W125),0)</f>
        <v>0</v>
      </c>
      <c r="Y121" s="617"/>
    </row>
    <row r="122" spans="1:25" ht="28" x14ac:dyDescent="0.15">
      <c r="A122" s="142" t="str">
        <f>Interview!A179</f>
        <v>V-ST-A-3-1</v>
      </c>
      <c r="B122" s="635"/>
      <c r="C122" s="228">
        <f>VLOOKUP(A122,'imp-questions'!A:H,5,FALSE)</f>
        <v>3</v>
      </c>
      <c r="D122" s="252" t="str">
        <f>VLOOKUP(A122,'imp-questions'!A:H,6,FALSE)</f>
        <v>Do you integrate automated security testing into the build and deploy process?</v>
      </c>
      <c r="E122" s="144" t="str">
        <f>CHAR(65+VLOOKUP(A122,'imp-questions'!A:H,8,FALSE))</f>
        <v>X</v>
      </c>
      <c r="F122" s="173">
        <f>Interview!F179</f>
        <v>0</v>
      </c>
      <c r="G122" s="152">
        <f>IFERROR(VLOOKUP(F122,AnsXTBL,2,FALSE),0)</f>
        <v>0</v>
      </c>
      <c r="H122" s="257">
        <f>IFERROR(AVERAGE(G122,G126),0)</f>
        <v>0</v>
      </c>
      <c r="I122" s="617"/>
      <c r="J122" s="262">
        <f>F122</f>
        <v>0</v>
      </c>
      <c r="K122" s="152">
        <f>IFERROR(VLOOKUP(J122,AnsXTBL,2,FALSE),0)</f>
        <v>0</v>
      </c>
      <c r="L122" s="257">
        <f>IFERROR(AVERAGE(K122,K126),0)</f>
        <v>0</v>
      </c>
      <c r="M122" s="617"/>
      <c r="N122" s="262">
        <f>J122</f>
        <v>0</v>
      </c>
      <c r="O122" s="152">
        <f>IFERROR(VLOOKUP(N122,AnsXTBL,2,FALSE),0)</f>
        <v>0</v>
      </c>
      <c r="P122" s="257">
        <f>IFERROR(AVERAGE(O122,O126),0)</f>
        <v>0</v>
      </c>
      <c r="Q122" s="617"/>
      <c r="R122" s="262">
        <f>N122</f>
        <v>0</v>
      </c>
      <c r="S122" s="152">
        <f>IFERROR(VLOOKUP(R122,AnsXTBL,2,FALSE),0)</f>
        <v>0</v>
      </c>
      <c r="T122" s="257">
        <f>IFERROR(AVERAGE(S122,S126),0)</f>
        <v>0</v>
      </c>
      <c r="U122" s="617"/>
      <c r="V122" s="262">
        <f>R122</f>
        <v>0</v>
      </c>
      <c r="W122" s="152">
        <f>IFERROR(VLOOKUP(V122,AnsXTBL,2,FALSE),0)</f>
        <v>0</v>
      </c>
      <c r="X122" s="257">
        <f>IFERROR(AVERAGE(W122,W126),0)</f>
        <v>0</v>
      </c>
      <c r="Y122" s="617"/>
    </row>
    <row r="123" spans="1:25" ht="13" x14ac:dyDescent="0.15">
      <c r="A123" s="142"/>
      <c r="B123" s="233"/>
      <c r="C123" s="222"/>
      <c r="D123" s="204"/>
      <c r="E123" s="204"/>
      <c r="F123" s="204"/>
      <c r="G123" s="204"/>
      <c r="H123" s="204"/>
      <c r="I123" s="617"/>
      <c r="J123" s="204"/>
      <c r="K123" s="204"/>
      <c r="L123" s="204"/>
      <c r="M123" s="617"/>
      <c r="N123" s="204"/>
      <c r="O123" s="204"/>
      <c r="P123" s="204"/>
      <c r="Q123" s="617"/>
      <c r="R123" s="204"/>
      <c r="S123" s="204"/>
      <c r="T123" s="204"/>
      <c r="U123" s="617"/>
      <c r="V123" s="204"/>
      <c r="W123" s="204"/>
      <c r="X123" s="204"/>
      <c r="Y123" s="617"/>
    </row>
    <row r="124" spans="1:25" ht="28" x14ac:dyDescent="0.15">
      <c r="A124" s="142" t="str">
        <f>Interview!A182</f>
        <v>V-ST-B-1-1</v>
      </c>
      <c r="B124" s="633" t="str">
        <f>VLOOKUP(A124,'imp-questions'!A:H,4,FALSE)</f>
        <v>Deep Understanding</v>
      </c>
      <c r="C124" s="228">
        <f>VLOOKUP(A124,'imp-questions'!A:H,5,FALSE)</f>
        <v>1</v>
      </c>
      <c r="D124" s="176" t="str">
        <f>VLOOKUP(A124,'imp-questions'!A:H,6,FALSE)</f>
        <v>Do you manually review the security quality of selected high-risk components?</v>
      </c>
      <c r="E124" s="144" t="str">
        <f>CHAR(65+VLOOKUP(A124,'imp-questions'!A:H,8,FALSE))</f>
        <v>M</v>
      </c>
      <c r="F124" s="169">
        <f>Interview!F182</f>
        <v>0</v>
      </c>
      <c r="G124" s="152">
        <f>IFERROR(VLOOKUP(F124,AnsMTBL,2,FALSE),0)</f>
        <v>0</v>
      </c>
      <c r="H124" s="122"/>
      <c r="I124" s="617"/>
      <c r="J124" s="262">
        <f>F124</f>
        <v>0</v>
      </c>
      <c r="K124" s="152">
        <f>IFERROR(VLOOKUP(J124,AnsMTBL,2,FALSE),0)</f>
        <v>0</v>
      </c>
      <c r="L124" s="122"/>
      <c r="M124" s="617"/>
      <c r="N124" s="262">
        <f>J124</f>
        <v>0</v>
      </c>
      <c r="O124" s="152">
        <f>IFERROR(VLOOKUP(N124,AnsMTBL,2,FALSE),0)</f>
        <v>0</v>
      </c>
      <c r="P124" s="122"/>
      <c r="Q124" s="617"/>
      <c r="R124" s="262">
        <f>N124</f>
        <v>0</v>
      </c>
      <c r="S124" s="152">
        <f>IFERROR(VLOOKUP(R124,AnsMTBL,2,FALSE),0)</f>
        <v>0</v>
      </c>
      <c r="T124" s="122"/>
      <c r="U124" s="617"/>
      <c r="V124" s="262">
        <f>R124</f>
        <v>0</v>
      </c>
      <c r="W124" s="152">
        <f>IFERROR(VLOOKUP(V124,AnsMTBL,2,FALSE),0)</f>
        <v>0</v>
      </c>
      <c r="X124" s="122"/>
      <c r="Y124" s="617"/>
    </row>
    <row r="125" spans="1:25" x14ac:dyDescent="0.15">
      <c r="A125" s="142" t="str">
        <f>Interview!A184</f>
        <v>V-ST-B-2-1</v>
      </c>
      <c r="B125" s="634"/>
      <c r="C125" s="228">
        <f>VLOOKUP(A125,'imp-questions'!A:H,5,FALSE)</f>
        <v>2</v>
      </c>
      <c r="D125" s="176" t="str">
        <f>VLOOKUP(A125,'imp-questions'!A:H,6,FALSE)</f>
        <v>Do you perform penetration testing for your applications at regular intervals?</v>
      </c>
      <c r="E125" s="144" t="str">
        <f>CHAR(65+VLOOKUP(A125,'imp-questions'!A:H,8,FALSE))</f>
        <v>F</v>
      </c>
      <c r="F125" s="173">
        <f>Interview!F184</f>
        <v>0</v>
      </c>
      <c r="G125" s="152">
        <f>IFERROR(VLOOKUP(F125,AnsFTBL,2,FALSE),0)</f>
        <v>0</v>
      </c>
      <c r="H125" s="122"/>
      <c r="I125" s="617"/>
      <c r="J125" s="262">
        <f>F125</f>
        <v>0</v>
      </c>
      <c r="K125" s="152">
        <f>IFERROR(VLOOKUP(J125,AnsFTBL,2,FALSE),0)</f>
        <v>0</v>
      </c>
      <c r="L125" s="122"/>
      <c r="M125" s="617"/>
      <c r="N125" s="262">
        <f>J125</f>
        <v>0</v>
      </c>
      <c r="O125" s="152">
        <f>IFERROR(VLOOKUP(N125,AnsFTBL,2,FALSE),0)</f>
        <v>0</v>
      </c>
      <c r="P125" s="122"/>
      <c r="Q125" s="617"/>
      <c r="R125" s="262">
        <f>N125</f>
        <v>0</v>
      </c>
      <c r="S125" s="152">
        <f>IFERROR(VLOOKUP(R125,AnsFTBL,2,FALSE),0)</f>
        <v>0</v>
      </c>
      <c r="T125" s="122"/>
      <c r="U125" s="617"/>
      <c r="V125" s="262">
        <f>R125</f>
        <v>0</v>
      </c>
      <c r="W125" s="152">
        <f>IFERROR(VLOOKUP(V125,AnsFTBL,2,FALSE),0)</f>
        <v>0</v>
      </c>
      <c r="X125" s="122"/>
      <c r="Y125" s="617"/>
    </row>
    <row r="126" spans="1:25" ht="28" x14ac:dyDescent="0.15">
      <c r="A126" s="142" t="str">
        <f>Interview!A186</f>
        <v>V-ST-B-3-1</v>
      </c>
      <c r="B126" s="635"/>
      <c r="C126" s="228">
        <f>VLOOKUP(A126,'imp-questions'!A:H,5,FALSE)</f>
        <v>3</v>
      </c>
      <c r="D126" s="252" t="str">
        <f>VLOOKUP(A126,'imp-questions'!A:H,6,FALSE)</f>
        <v>Do you use the results of security testing to improve the development lifecycle?</v>
      </c>
      <c r="E126" s="144" t="str">
        <f>CHAR(65+VLOOKUP(A126,'imp-questions'!A:H,8,FALSE))</f>
        <v>T</v>
      </c>
      <c r="F126" s="173">
        <f>Interview!F186</f>
        <v>0</v>
      </c>
      <c r="G126" s="152">
        <f>IFERROR(VLOOKUP(F126,AnsTTBL,2,FALSE),0)</f>
        <v>0</v>
      </c>
      <c r="H126" s="122"/>
      <c r="I126" s="619"/>
      <c r="J126" s="262">
        <f>F126</f>
        <v>0</v>
      </c>
      <c r="K126" s="152">
        <f>IFERROR(VLOOKUP(J126,AnsTTBL,2,FALSE),0)</f>
        <v>0</v>
      </c>
      <c r="L126" s="122"/>
      <c r="M126" s="619"/>
      <c r="N126" s="262">
        <f>J126</f>
        <v>0</v>
      </c>
      <c r="O126" s="152">
        <f>IFERROR(VLOOKUP(N126,AnsTTBL,2,FALSE),0)</f>
        <v>0</v>
      </c>
      <c r="P126" s="122"/>
      <c r="Q126" s="619"/>
      <c r="R126" s="262">
        <f>N126</f>
        <v>0</v>
      </c>
      <c r="S126" s="152">
        <f>IFERROR(VLOOKUP(R126,AnsTTBL,2,FALSE),0)</f>
        <v>0</v>
      </c>
      <c r="T126" s="122"/>
      <c r="U126" s="619"/>
      <c r="V126" s="262">
        <f>R126</f>
        <v>0</v>
      </c>
      <c r="W126" s="152">
        <f>IFERROR(VLOOKUP(V126,AnsTTBL,2,FALSE),0)</f>
        <v>0</v>
      </c>
      <c r="X126" s="122"/>
      <c r="Y126" s="619"/>
    </row>
    <row r="127" spans="1:25" ht="13" x14ac:dyDescent="0.15">
      <c r="A127" s="142"/>
      <c r="B127" s="233"/>
      <c r="C127" s="222"/>
      <c r="D127" s="204"/>
      <c r="E127" s="204"/>
      <c r="F127" s="204"/>
      <c r="G127" s="204"/>
      <c r="H127" s="204"/>
      <c r="I127" s="204"/>
      <c r="J127" s="204"/>
      <c r="K127" s="204"/>
      <c r="L127" s="204"/>
      <c r="M127" s="204"/>
      <c r="N127" s="204"/>
      <c r="O127" s="204"/>
      <c r="P127" s="204"/>
      <c r="Q127" s="204"/>
      <c r="R127" s="204"/>
      <c r="S127" s="204"/>
      <c r="T127" s="204"/>
      <c r="U127" s="204"/>
      <c r="V127" s="204"/>
      <c r="W127" s="204"/>
      <c r="X127" s="204"/>
      <c r="Y127" s="204"/>
    </row>
    <row r="128" spans="1:25" x14ac:dyDescent="0.15">
      <c r="A128" s="142"/>
      <c r="B128" s="229" t="s">
        <v>33</v>
      </c>
      <c r="C128" s="229"/>
      <c r="D128" s="205"/>
      <c r="E128" s="205"/>
      <c r="F128" s="624" t="s">
        <v>55</v>
      </c>
      <c r="G128" s="624"/>
      <c r="H128" s="624"/>
      <c r="I128" s="624"/>
      <c r="J128" s="623" t="s">
        <v>314</v>
      </c>
      <c r="K128" s="624"/>
      <c r="L128" s="624"/>
      <c r="M128" s="625"/>
      <c r="N128" s="623" t="s">
        <v>315</v>
      </c>
      <c r="O128" s="624"/>
      <c r="P128" s="624"/>
      <c r="Q128" s="625"/>
      <c r="R128" s="623" t="s">
        <v>316</v>
      </c>
      <c r="S128" s="624"/>
      <c r="T128" s="624"/>
      <c r="U128" s="625"/>
      <c r="V128" s="623" t="s">
        <v>317</v>
      </c>
      <c r="W128" s="624"/>
      <c r="X128" s="624"/>
      <c r="Y128" s="625"/>
    </row>
    <row r="129" spans="1:25" x14ac:dyDescent="0.15">
      <c r="A129" s="142"/>
      <c r="B129" s="238" t="s">
        <v>312</v>
      </c>
      <c r="C129" s="230" t="s">
        <v>313</v>
      </c>
      <c r="D129" s="250" t="s">
        <v>265</v>
      </c>
      <c r="E129" s="195"/>
      <c r="F129" s="75" t="s">
        <v>31</v>
      </c>
      <c r="G129" s="75"/>
      <c r="H129" s="114"/>
      <c r="I129" s="215" t="s">
        <v>29</v>
      </c>
      <c r="J129" s="75" t="s">
        <v>31</v>
      </c>
      <c r="K129" s="75"/>
      <c r="L129" s="114"/>
      <c r="M129" s="215" t="s">
        <v>29</v>
      </c>
      <c r="N129" s="75" t="s">
        <v>31</v>
      </c>
      <c r="O129" s="75"/>
      <c r="P129" s="114"/>
      <c r="Q129" s="215" t="s">
        <v>29</v>
      </c>
      <c r="R129" s="75" t="s">
        <v>31</v>
      </c>
      <c r="S129" s="75"/>
      <c r="T129" s="114"/>
      <c r="U129" s="215" t="s">
        <v>29</v>
      </c>
      <c r="V129" s="75" t="s">
        <v>31</v>
      </c>
      <c r="W129" s="75"/>
      <c r="X129" s="114"/>
      <c r="Y129" s="215" t="s">
        <v>29</v>
      </c>
    </row>
    <row r="130" spans="1:25" x14ac:dyDescent="0.15">
      <c r="A130" s="142" t="str">
        <f>Interview!A190</f>
        <v>O-IM-A-1-1</v>
      </c>
      <c r="B130" s="626" t="str">
        <f>VLOOKUP(A130,'imp-questions'!A:H,4,FALSE)</f>
        <v>Incident Detection</v>
      </c>
      <c r="C130" s="231">
        <f>VLOOKUP(A130,'imp-questions'!A:H,5,FALSE)</f>
        <v>1</v>
      </c>
      <c r="D130" s="176" t="str">
        <f>VLOOKUP(A130,'imp-questions'!A:H,6,FALSE)</f>
        <v>Do you analyze log data for security incidents periodically?</v>
      </c>
      <c r="E130" s="144" t="str">
        <f>CHAR(65+VLOOKUP(A130,'imp-questions'!A:H,8,FALSE))</f>
        <v>F</v>
      </c>
      <c r="F130" s="169">
        <f>Interview!F190</f>
        <v>0</v>
      </c>
      <c r="G130" s="152">
        <f>IFERROR(VLOOKUP(F130,AnsFTBL,2,FALSE),0)</f>
        <v>0</v>
      </c>
      <c r="H130" s="257">
        <f>IFERROR(AVERAGE(G130,G134),0)</f>
        <v>0</v>
      </c>
      <c r="I130" s="596">
        <f>SUM(H130:H132)</f>
        <v>0</v>
      </c>
      <c r="J130" s="262">
        <f>F130</f>
        <v>0</v>
      </c>
      <c r="K130" s="152">
        <f>IFERROR(VLOOKUP(J130,AnsFTBL,2,FALSE),0)</f>
        <v>0</v>
      </c>
      <c r="L130" s="257">
        <f>IFERROR(AVERAGE(K130,K134),0)</f>
        <v>0</v>
      </c>
      <c r="M130" s="596">
        <f>SUM(L130:L132)</f>
        <v>0</v>
      </c>
      <c r="N130" s="262">
        <f>J130</f>
        <v>0</v>
      </c>
      <c r="O130" s="152">
        <f>IFERROR(VLOOKUP(N130,AnsFTBL,2,FALSE),0)</f>
        <v>0</v>
      </c>
      <c r="P130" s="257">
        <f>IFERROR(AVERAGE(O130,O134),0)</f>
        <v>0</v>
      </c>
      <c r="Q130" s="596">
        <f>SUM(P130:P132)</f>
        <v>0</v>
      </c>
      <c r="R130" s="262">
        <f>N130</f>
        <v>0</v>
      </c>
      <c r="S130" s="152">
        <f>IFERROR(VLOOKUP(R130,AnsFTBL,2,FALSE),0)</f>
        <v>0</v>
      </c>
      <c r="T130" s="257">
        <f>IFERROR(AVERAGE(S130,S134),0)</f>
        <v>0</v>
      </c>
      <c r="U130" s="596">
        <f>SUM(T130:T132)</f>
        <v>0</v>
      </c>
      <c r="V130" s="262">
        <f>R130</f>
        <v>0</v>
      </c>
      <c r="W130" s="152">
        <f>IFERROR(VLOOKUP(V130,AnsFTBL,2,FALSE),0)</f>
        <v>0</v>
      </c>
      <c r="X130" s="257">
        <f>IFERROR(AVERAGE(W130,W134),0)</f>
        <v>0</v>
      </c>
      <c r="Y130" s="596">
        <f>SUM(X130:X132)</f>
        <v>0</v>
      </c>
    </row>
    <row r="131" spans="1:25" x14ac:dyDescent="0.15">
      <c r="A131" s="142" t="str">
        <f>Interview!A192</f>
        <v>O-IM-A-2-1</v>
      </c>
      <c r="B131" s="627"/>
      <c r="C131" s="231">
        <f>VLOOKUP(A131,'imp-questions'!A:H,5,FALSE)</f>
        <v>2</v>
      </c>
      <c r="D131" s="176" t="str">
        <f>VLOOKUP(A131,'imp-questions'!A:H,6,FALSE)</f>
        <v>Do you follow a documented process for incident detection?</v>
      </c>
      <c r="E131" s="144" t="str">
        <f>CHAR(65+VLOOKUP(A131,'imp-questions'!A:H,8,FALSE))</f>
        <v>F</v>
      </c>
      <c r="F131" s="169">
        <f>Interview!F192</f>
        <v>0</v>
      </c>
      <c r="G131" s="152">
        <f>IFERROR(VLOOKUP(F131,AnsFTBL,2,FALSE),0)</f>
        <v>0</v>
      </c>
      <c r="H131" s="257">
        <f>IFERROR(AVERAGE(G131,G135),0)</f>
        <v>0</v>
      </c>
      <c r="I131" s="597"/>
      <c r="J131" s="262">
        <f>F131</f>
        <v>0</v>
      </c>
      <c r="K131" s="152">
        <f>IFERROR(VLOOKUP(J131,AnsFTBL,2,FALSE),0)</f>
        <v>0</v>
      </c>
      <c r="L131" s="257">
        <f>IFERROR(AVERAGE(K131,K135),0)</f>
        <v>0</v>
      </c>
      <c r="M131" s="597"/>
      <c r="N131" s="262">
        <f>J131</f>
        <v>0</v>
      </c>
      <c r="O131" s="152">
        <f>IFERROR(VLOOKUP(N131,AnsFTBL,2,FALSE),0)</f>
        <v>0</v>
      </c>
      <c r="P131" s="257">
        <f>IFERROR(AVERAGE(O131,O135),0)</f>
        <v>0</v>
      </c>
      <c r="Q131" s="597"/>
      <c r="R131" s="262">
        <f>N131</f>
        <v>0</v>
      </c>
      <c r="S131" s="152">
        <f>IFERROR(VLOOKUP(R131,AnsFTBL,2,FALSE),0)</f>
        <v>0</v>
      </c>
      <c r="T131" s="257">
        <f>IFERROR(AVERAGE(S131,S135),0)</f>
        <v>0</v>
      </c>
      <c r="U131" s="597"/>
      <c r="V131" s="262">
        <f>R131</f>
        <v>0</v>
      </c>
      <c r="W131" s="152">
        <f>IFERROR(VLOOKUP(V131,AnsFTBL,2,FALSE),0)</f>
        <v>0</v>
      </c>
      <c r="X131" s="257">
        <f>IFERROR(AVERAGE(W131,W135),0)</f>
        <v>0</v>
      </c>
      <c r="Y131" s="597"/>
    </row>
    <row r="132" spans="1:25" x14ac:dyDescent="0.15">
      <c r="A132" s="142" t="str">
        <f>Interview!A194</f>
        <v>O-IM-A-3-1</v>
      </c>
      <c r="B132" s="628"/>
      <c r="C132" s="231">
        <f>VLOOKUP(A132,'imp-questions'!A:H,5,FALSE)</f>
        <v>3</v>
      </c>
      <c r="D132" s="252" t="str">
        <f>VLOOKUP(A132,'imp-questions'!A:H,6,FALSE)</f>
        <v>Do you review and update the incident detection process regularly?</v>
      </c>
      <c r="E132" s="144" t="str">
        <f>CHAR(65+VLOOKUP(A132,'imp-questions'!A:H,8,FALSE))</f>
        <v>F</v>
      </c>
      <c r="F132" s="169">
        <f>Interview!F194</f>
        <v>0</v>
      </c>
      <c r="G132" s="152">
        <f>IFERROR(VLOOKUP(F132,AnsFTBL,2,FALSE),0)</f>
        <v>0</v>
      </c>
      <c r="H132" s="257">
        <f>IFERROR(AVERAGE(G132,G136),0)</f>
        <v>0</v>
      </c>
      <c r="I132" s="597"/>
      <c r="J132" s="262">
        <f>F132</f>
        <v>0</v>
      </c>
      <c r="K132" s="152">
        <f>IFERROR(VLOOKUP(J132,AnsFTBL,2,FALSE),0)</f>
        <v>0</v>
      </c>
      <c r="L132" s="257">
        <f>IFERROR(AVERAGE(K132,K136),0)</f>
        <v>0</v>
      </c>
      <c r="M132" s="597"/>
      <c r="N132" s="262">
        <f>J132</f>
        <v>0</v>
      </c>
      <c r="O132" s="152">
        <f>IFERROR(VLOOKUP(N132,AnsFTBL,2,FALSE),0)</f>
        <v>0</v>
      </c>
      <c r="P132" s="257">
        <f>IFERROR(AVERAGE(O132,O136),0)</f>
        <v>0</v>
      </c>
      <c r="Q132" s="597"/>
      <c r="R132" s="262">
        <f>N132</f>
        <v>0</v>
      </c>
      <c r="S132" s="152">
        <f>IFERROR(VLOOKUP(R132,AnsFTBL,2,FALSE),0)</f>
        <v>0</v>
      </c>
      <c r="T132" s="257">
        <f>IFERROR(AVERAGE(S132,S136),0)</f>
        <v>0</v>
      </c>
      <c r="U132" s="597"/>
      <c r="V132" s="262">
        <f>R132</f>
        <v>0</v>
      </c>
      <c r="W132" s="152">
        <f>IFERROR(VLOOKUP(V132,AnsFTBL,2,FALSE),0)</f>
        <v>0</v>
      </c>
      <c r="X132" s="257">
        <f>IFERROR(AVERAGE(W132,W136),0)</f>
        <v>0</v>
      </c>
      <c r="Y132" s="597"/>
    </row>
    <row r="133" spans="1:25" ht="13" x14ac:dyDescent="0.15">
      <c r="A133" s="142"/>
      <c r="B133" s="236"/>
      <c r="C133" s="222"/>
      <c r="D133" s="204"/>
      <c r="E133" s="204"/>
      <c r="F133" s="204"/>
      <c r="G133" s="204"/>
      <c r="H133" s="204"/>
      <c r="I133" s="597"/>
      <c r="J133" s="204"/>
      <c r="K133" s="204"/>
      <c r="L133" s="204"/>
      <c r="M133" s="597"/>
      <c r="N133" s="204"/>
      <c r="O133" s="204"/>
      <c r="P133" s="204"/>
      <c r="Q133" s="597"/>
      <c r="R133" s="204"/>
      <c r="S133" s="204"/>
      <c r="T133" s="204"/>
      <c r="U133" s="597"/>
      <c r="V133" s="204"/>
      <c r="W133" s="204"/>
      <c r="X133" s="204"/>
      <c r="Y133" s="597"/>
    </row>
    <row r="134" spans="1:25" x14ac:dyDescent="0.15">
      <c r="A134" s="142" t="str">
        <f>Interview!A197</f>
        <v>O-IM-B-1-1</v>
      </c>
      <c r="B134" s="626" t="str">
        <f>VLOOKUP(A134,'imp-questions'!A:H,4,FALSE)</f>
        <v>Incident Response</v>
      </c>
      <c r="C134" s="231">
        <f>VLOOKUP(A134,'imp-questions'!A:H,5,FALSE)</f>
        <v>1</v>
      </c>
      <c r="D134" s="176" t="str">
        <f>VLOOKUP(A134,'imp-questions'!A:H,6,FALSE)</f>
        <v>Do you respond to detected incidents?</v>
      </c>
      <c r="E134" s="144" t="str">
        <f>CHAR(65+VLOOKUP(A134,'imp-questions'!A:H,8,FALSE))</f>
        <v>R</v>
      </c>
      <c r="F134" s="254">
        <f>Interview!F197</f>
        <v>0</v>
      </c>
      <c r="G134" s="152">
        <f>IFERROR(VLOOKUP(F134,AnsRTBL,2,FALSE),0)</f>
        <v>0</v>
      </c>
      <c r="H134" s="122"/>
      <c r="I134" s="597"/>
      <c r="J134" s="262">
        <f>F134</f>
        <v>0</v>
      </c>
      <c r="K134" s="152">
        <f>IFERROR(VLOOKUP(J134,AnsRTBL,2,FALSE),0)</f>
        <v>0</v>
      </c>
      <c r="L134" s="122"/>
      <c r="M134" s="597"/>
      <c r="N134" s="262">
        <f>J134</f>
        <v>0</v>
      </c>
      <c r="O134" s="152">
        <f>IFERROR(VLOOKUP(N134,AnsRTBL,2,FALSE),0)</f>
        <v>0</v>
      </c>
      <c r="P134" s="122"/>
      <c r="Q134" s="597"/>
      <c r="R134" s="262">
        <f>N134</f>
        <v>0</v>
      </c>
      <c r="S134" s="152">
        <f>IFERROR(VLOOKUP(R134,AnsRTBL,2,FALSE),0)</f>
        <v>0</v>
      </c>
      <c r="T134" s="122"/>
      <c r="U134" s="597"/>
      <c r="V134" s="262">
        <f>R134</f>
        <v>0</v>
      </c>
      <c r="W134" s="152">
        <f>IFERROR(VLOOKUP(V134,AnsRTBL,2,FALSE),0)</f>
        <v>0</v>
      </c>
      <c r="X134" s="122"/>
      <c r="Y134" s="597"/>
    </row>
    <row r="135" spans="1:25" x14ac:dyDescent="0.15">
      <c r="A135" s="142" t="str">
        <f>Interview!A199</f>
        <v>O-IM-B-2-1</v>
      </c>
      <c r="B135" s="627"/>
      <c r="C135" s="231">
        <f>VLOOKUP(A135,'imp-questions'!A:H,5,FALSE)</f>
        <v>2</v>
      </c>
      <c r="D135" s="176" t="str">
        <f>VLOOKUP(A135,'imp-questions'!A:H,6,FALSE)</f>
        <v>Do you use a repeatable process for incident handling?</v>
      </c>
      <c r="E135" s="144" t="str">
        <f>CHAR(65+VLOOKUP(A135,'imp-questions'!A:H,8,FALSE))</f>
        <v>Q</v>
      </c>
      <c r="F135" s="173">
        <f>Interview!F199</f>
        <v>0</v>
      </c>
      <c r="G135" s="152">
        <f>IFERROR(VLOOKUP(F135,AnsQTBL,2,FALSE),0)</f>
        <v>0</v>
      </c>
      <c r="H135" s="122"/>
      <c r="I135" s="597"/>
      <c r="J135" s="262">
        <f>F135</f>
        <v>0</v>
      </c>
      <c r="K135" s="152">
        <f>IFERROR(VLOOKUP(J135,AnsQTBL,2,FALSE),0)</f>
        <v>0</v>
      </c>
      <c r="L135" s="122"/>
      <c r="M135" s="597"/>
      <c r="N135" s="262">
        <f>J135</f>
        <v>0</v>
      </c>
      <c r="O135" s="152">
        <f>IFERROR(VLOOKUP(N135,AnsQTBL,2,FALSE),0)</f>
        <v>0</v>
      </c>
      <c r="P135" s="122"/>
      <c r="Q135" s="597"/>
      <c r="R135" s="262">
        <f>N135</f>
        <v>0</v>
      </c>
      <c r="S135" s="152">
        <f>IFERROR(VLOOKUP(R135,AnsQTBL,2,FALSE),0)</f>
        <v>0</v>
      </c>
      <c r="T135" s="122"/>
      <c r="U135" s="597"/>
      <c r="V135" s="262">
        <f>R135</f>
        <v>0</v>
      </c>
      <c r="W135" s="152">
        <f>IFERROR(VLOOKUP(V135,AnsQTBL,2,FALSE),0)</f>
        <v>0</v>
      </c>
      <c r="X135" s="122"/>
      <c r="Y135" s="597"/>
    </row>
    <row r="136" spans="1:25" x14ac:dyDescent="0.15">
      <c r="A136" s="142" t="str">
        <f>Interview!A201</f>
        <v>O-IM-B-3-1</v>
      </c>
      <c r="B136" s="627"/>
      <c r="C136" s="231">
        <f>VLOOKUP(A136,'imp-questions'!A:H,5,FALSE)</f>
        <v>3</v>
      </c>
      <c r="D136" s="252" t="str">
        <f>VLOOKUP(A136,'imp-questions'!A:H,6,FALSE)</f>
        <v>Do you have a dedicated incident response team available?</v>
      </c>
      <c r="E136" s="144" t="str">
        <f>CHAR(65+VLOOKUP(A136,'imp-questions'!A:H,8,FALSE))</f>
        <v>H</v>
      </c>
      <c r="F136" s="173">
        <f>Interview!F201</f>
        <v>0</v>
      </c>
      <c r="G136" s="152">
        <f>IFERROR(VLOOKUP(F136,AnsHTBL,2,FALSE),0)</f>
        <v>0</v>
      </c>
      <c r="H136" s="122"/>
      <c r="I136" s="598"/>
      <c r="J136" s="262">
        <f>F136</f>
        <v>0</v>
      </c>
      <c r="K136" s="152">
        <f>IFERROR(VLOOKUP(J136,AnsHTBL,2,FALSE),0)</f>
        <v>0</v>
      </c>
      <c r="L136" s="122"/>
      <c r="M136" s="598"/>
      <c r="N136" s="262">
        <f>J136</f>
        <v>0</v>
      </c>
      <c r="O136" s="152">
        <f>IFERROR(VLOOKUP(N136,AnsHTBL,2,FALSE),0)</f>
        <v>0</v>
      </c>
      <c r="P136" s="122"/>
      <c r="Q136" s="598"/>
      <c r="R136" s="262">
        <f>N136</f>
        <v>0</v>
      </c>
      <c r="S136" s="152">
        <f>IFERROR(VLOOKUP(R136,AnsHTBL,2,FALSE),0)</f>
        <v>0</v>
      </c>
      <c r="T136" s="122"/>
      <c r="U136" s="598"/>
      <c r="V136" s="262">
        <f>R136</f>
        <v>0</v>
      </c>
      <c r="W136" s="152">
        <f>IFERROR(VLOOKUP(V136,AnsHTBL,2,FALSE),0)</f>
        <v>0</v>
      </c>
      <c r="X136" s="122"/>
      <c r="Y136" s="598"/>
    </row>
    <row r="137" spans="1:25" ht="13" x14ac:dyDescent="0.15">
      <c r="A137" s="142"/>
      <c r="B137" s="236"/>
      <c r="C137" s="222"/>
      <c r="D137" s="204"/>
      <c r="E137" s="204"/>
      <c r="F137" s="204"/>
      <c r="G137" s="204"/>
      <c r="H137" s="204"/>
      <c r="I137" s="204"/>
      <c r="J137" s="204"/>
      <c r="K137" s="204"/>
      <c r="L137" s="204"/>
      <c r="M137" s="204"/>
      <c r="N137" s="204"/>
      <c r="O137" s="204"/>
      <c r="P137" s="204"/>
      <c r="Q137" s="204"/>
      <c r="R137" s="204"/>
      <c r="S137" s="204"/>
      <c r="T137" s="204"/>
      <c r="U137" s="204"/>
      <c r="V137" s="204"/>
      <c r="W137" s="204"/>
      <c r="X137" s="204"/>
      <c r="Y137" s="204"/>
    </row>
    <row r="138" spans="1:25" x14ac:dyDescent="0.15">
      <c r="A138" s="142"/>
      <c r="B138" s="238" t="s">
        <v>312</v>
      </c>
      <c r="C138" s="230" t="s">
        <v>313</v>
      </c>
      <c r="D138" s="251" t="s">
        <v>275</v>
      </c>
      <c r="E138" s="137"/>
      <c r="F138" s="76" t="s">
        <v>31</v>
      </c>
      <c r="G138" s="76"/>
      <c r="H138" s="115"/>
      <c r="I138" s="215" t="s">
        <v>29</v>
      </c>
      <c r="J138" s="76" t="s">
        <v>31</v>
      </c>
      <c r="K138" s="76"/>
      <c r="L138" s="115"/>
      <c r="M138" s="215" t="s">
        <v>29</v>
      </c>
      <c r="N138" s="76" t="s">
        <v>31</v>
      </c>
      <c r="O138" s="76"/>
      <c r="P138" s="115"/>
      <c r="Q138" s="215" t="s">
        <v>29</v>
      </c>
      <c r="R138" s="76" t="s">
        <v>31</v>
      </c>
      <c r="S138" s="76"/>
      <c r="T138" s="115"/>
      <c r="U138" s="215" t="s">
        <v>29</v>
      </c>
      <c r="V138" s="76" t="s">
        <v>31</v>
      </c>
      <c r="W138" s="76"/>
      <c r="X138" s="115"/>
      <c r="Y138" s="215" t="s">
        <v>29</v>
      </c>
    </row>
    <row r="139" spans="1:25" x14ac:dyDescent="0.15">
      <c r="A139" s="142" t="str">
        <f>Interview!A204</f>
        <v>O-EM-A-1-1</v>
      </c>
      <c r="B139" s="626" t="str">
        <f>VLOOKUP(A139,'imp-questions'!A:H,4,FALSE)</f>
        <v>Configuration Hardening</v>
      </c>
      <c r="C139" s="231">
        <f>VLOOKUP(A139,'imp-questions'!A:H,5,FALSE)</f>
        <v>1</v>
      </c>
      <c r="D139" s="176" t="str">
        <f>VLOOKUP(A139,'imp-questions'!A:H,6,FALSE)</f>
        <v>Do you harden configurations for key components of your technology stacks?</v>
      </c>
      <c r="E139" s="144" t="str">
        <f>CHAR(65+VLOOKUP(A139,'imp-questions'!A:H,8,FALSE))</f>
        <v>M</v>
      </c>
      <c r="F139" s="169">
        <f>Interview!F204</f>
        <v>0</v>
      </c>
      <c r="G139" s="152">
        <f>IFERROR(VLOOKUP(F139,AnsMTBL,2,FALSE),0)</f>
        <v>0</v>
      </c>
      <c r="H139" s="257">
        <f>IFERROR(AVERAGE(G139,G143),0)</f>
        <v>0</v>
      </c>
      <c r="I139" s="596">
        <f>SUM(H139:H141)</f>
        <v>1</v>
      </c>
      <c r="J139" s="262">
        <f>F139</f>
        <v>0</v>
      </c>
      <c r="K139" s="152">
        <f>IFERROR(VLOOKUP(J139,AnsMTBL,2,FALSE),0)</f>
        <v>0</v>
      </c>
      <c r="L139" s="257">
        <f>IFERROR(AVERAGE(K139,K143),0)</f>
        <v>0</v>
      </c>
      <c r="M139" s="596">
        <f>SUM(L139:L141)</f>
        <v>1</v>
      </c>
      <c r="N139" s="262">
        <f>J139</f>
        <v>0</v>
      </c>
      <c r="O139" s="152">
        <f>IFERROR(VLOOKUP(N139,AnsMTBL,2,FALSE),0)</f>
        <v>0</v>
      </c>
      <c r="P139" s="257">
        <f>IFERROR(AVERAGE(O139,O143),0)</f>
        <v>0</v>
      </c>
      <c r="Q139" s="596">
        <f>SUM(P139:P141)</f>
        <v>1</v>
      </c>
      <c r="R139" s="262">
        <f>N139</f>
        <v>0</v>
      </c>
      <c r="S139" s="152">
        <f>IFERROR(VLOOKUP(R139,AnsMTBL,2,FALSE),0)</f>
        <v>0</v>
      </c>
      <c r="T139" s="257">
        <f>IFERROR(AVERAGE(S139,S143),0)</f>
        <v>0</v>
      </c>
      <c r="U139" s="596">
        <f>SUM(T139:T141)</f>
        <v>1</v>
      </c>
      <c r="V139" s="262">
        <f>R139</f>
        <v>0</v>
      </c>
      <c r="W139" s="152">
        <f>IFERROR(VLOOKUP(V139,AnsMTBL,2,FALSE),0)</f>
        <v>0</v>
      </c>
      <c r="X139" s="257">
        <f>IFERROR(AVERAGE(W139,W143),0)</f>
        <v>0</v>
      </c>
      <c r="Y139" s="596">
        <f>SUM(X139:X141)</f>
        <v>1</v>
      </c>
    </row>
    <row r="140" spans="1:25" x14ac:dyDescent="0.15">
      <c r="A140" s="142" t="str">
        <f>Interview!A206</f>
        <v>O-EM-A-2-1</v>
      </c>
      <c r="B140" s="627"/>
      <c r="C140" s="231">
        <f>VLOOKUP(A140,'imp-questions'!A:H,5,FALSE)</f>
        <v>2</v>
      </c>
      <c r="D140" s="176" t="str">
        <f>VLOOKUP(A140,'imp-questions'!A:H,6,FALSE)</f>
        <v>Do you have hardening baselines for your components?</v>
      </c>
      <c r="E140" s="144" t="str">
        <f>CHAR(65+VLOOKUP(A140,'imp-questions'!A:H,8,FALSE))</f>
        <v>M</v>
      </c>
      <c r="F140" s="18">
        <f>Interview!F206</f>
        <v>0</v>
      </c>
      <c r="G140" s="152">
        <f>IFERROR(VLOOKUP(F140,AnsMTBL,2,FALSE),0)</f>
        <v>0</v>
      </c>
      <c r="H140" s="257">
        <f>IFERROR(AVERAGE(G140,G144),0)</f>
        <v>0.5</v>
      </c>
      <c r="I140" s="597"/>
      <c r="J140" s="262">
        <f>F140</f>
        <v>0</v>
      </c>
      <c r="K140" s="152">
        <f>IFERROR(VLOOKUP(J140,AnsMTBL,2,FALSE),0)</f>
        <v>0</v>
      </c>
      <c r="L140" s="257">
        <f>IFERROR(AVERAGE(K140,K144),0)</f>
        <v>0.5</v>
      </c>
      <c r="M140" s="597"/>
      <c r="N140" s="262">
        <f>J140</f>
        <v>0</v>
      </c>
      <c r="O140" s="152">
        <f>IFERROR(VLOOKUP(N140,AnsMTBL,2,FALSE),0)</f>
        <v>0</v>
      </c>
      <c r="P140" s="257">
        <f>IFERROR(AVERAGE(O140,O144),0)</f>
        <v>0.5</v>
      </c>
      <c r="Q140" s="597"/>
      <c r="R140" s="262">
        <f>N140</f>
        <v>0</v>
      </c>
      <c r="S140" s="152">
        <f>IFERROR(VLOOKUP(R140,AnsMTBL,2,FALSE),0)</f>
        <v>0</v>
      </c>
      <c r="T140" s="257">
        <f>IFERROR(AVERAGE(S140,S144),0)</f>
        <v>0.5</v>
      </c>
      <c r="U140" s="597"/>
      <c r="V140" s="262">
        <f>R140</f>
        <v>0</v>
      </c>
      <c r="W140" s="152">
        <f>IFERROR(VLOOKUP(V140,AnsMTBL,2,FALSE),0)</f>
        <v>0</v>
      </c>
      <c r="X140" s="257">
        <f>IFERROR(AVERAGE(W140,W144),0)</f>
        <v>0.5</v>
      </c>
      <c r="Y140" s="597"/>
    </row>
    <row r="141" spans="1:25" x14ac:dyDescent="0.15">
      <c r="A141" s="142" t="str">
        <f>Interview!A208</f>
        <v>O-EM-A-3-1</v>
      </c>
      <c r="B141" s="628"/>
      <c r="C141" s="231">
        <f>VLOOKUP(A141,'imp-questions'!A:H,5,FALSE)</f>
        <v>3</v>
      </c>
      <c r="D141" s="252" t="str">
        <f>VLOOKUP(A141,'imp-questions'!A:H,6,FALSE)</f>
        <v>Do you monitor and enforce conformity with hardening baselines?</v>
      </c>
      <c r="E141" s="144" t="str">
        <f>CHAR(65+VLOOKUP(A141,'imp-questions'!A:H,8,FALSE))</f>
        <v>M</v>
      </c>
      <c r="F141" s="169">
        <f>Interview!F208</f>
        <v>0</v>
      </c>
      <c r="G141" s="152">
        <f>IFERROR(VLOOKUP(F141,AnsMTBL,2,FALSE),0)</f>
        <v>0</v>
      </c>
      <c r="H141" s="257">
        <f>IFERROR(AVERAGE(G141,G145),0)</f>
        <v>0.5</v>
      </c>
      <c r="I141" s="597"/>
      <c r="J141" s="262">
        <f>F141</f>
        <v>0</v>
      </c>
      <c r="K141" s="152">
        <f>IFERROR(VLOOKUP(J141,AnsMTBL,2,FALSE),0)</f>
        <v>0</v>
      </c>
      <c r="L141" s="257">
        <f>IFERROR(AVERAGE(K141,K145),0)</f>
        <v>0.5</v>
      </c>
      <c r="M141" s="597"/>
      <c r="N141" s="262">
        <f>J141</f>
        <v>0</v>
      </c>
      <c r="O141" s="152">
        <f>IFERROR(VLOOKUP(N141,AnsMTBL,2,FALSE),0)</f>
        <v>0</v>
      </c>
      <c r="P141" s="257">
        <f>IFERROR(AVERAGE(O141,O145),0)</f>
        <v>0.5</v>
      </c>
      <c r="Q141" s="597"/>
      <c r="R141" s="262">
        <f>N141</f>
        <v>0</v>
      </c>
      <c r="S141" s="152">
        <f>IFERROR(VLOOKUP(R141,AnsMTBL,2,FALSE),0)</f>
        <v>0</v>
      </c>
      <c r="T141" s="257">
        <f>IFERROR(AVERAGE(S141,S145),0)</f>
        <v>0.5</v>
      </c>
      <c r="U141" s="597"/>
      <c r="V141" s="262">
        <f>R141</f>
        <v>0</v>
      </c>
      <c r="W141" s="152">
        <f>IFERROR(VLOOKUP(V141,AnsMTBL,2,FALSE),0)</f>
        <v>0</v>
      </c>
      <c r="X141" s="257">
        <f>IFERROR(AVERAGE(W141,W145),0)</f>
        <v>0.5</v>
      </c>
      <c r="Y141" s="597"/>
    </row>
    <row r="142" spans="1:25" ht="13" x14ac:dyDescent="0.15">
      <c r="A142" s="142"/>
      <c r="B142" s="236"/>
      <c r="C142" s="222"/>
      <c r="D142" s="204"/>
      <c r="E142" s="204"/>
      <c r="F142" s="204"/>
      <c r="G142" s="204"/>
      <c r="H142" s="204"/>
      <c r="I142" s="597"/>
      <c r="J142" s="204"/>
      <c r="K142" s="204"/>
      <c r="L142" s="204"/>
      <c r="M142" s="597"/>
      <c r="N142" s="204"/>
      <c r="O142" s="204"/>
      <c r="P142" s="204"/>
      <c r="Q142" s="597"/>
      <c r="R142" s="204"/>
      <c r="S142" s="204"/>
      <c r="T142" s="204"/>
      <c r="U142" s="597"/>
      <c r="V142" s="204"/>
      <c r="W142" s="204"/>
      <c r="X142" s="204"/>
      <c r="Y142" s="597"/>
    </row>
    <row r="143" spans="1:25" x14ac:dyDescent="0.15">
      <c r="A143" s="142" t="str">
        <f>Interview!A211</f>
        <v>O-EM-B-1-1</v>
      </c>
      <c r="B143" s="626" t="str">
        <f>VLOOKUP(A143,'imp-questions'!A:H,4,FALSE)</f>
        <v>Patching and Updating</v>
      </c>
      <c r="C143" s="231">
        <f>VLOOKUP(A143,'imp-questions'!A:H,5,FALSE)</f>
        <v>1</v>
      </c>
      <c r="D143" s="176" t="str">
        <f>VLOOKUP(A143,'imp-questions'!A:H,6,FALSE)</f>
        <v>Do you identify and patch vulnerable components?</v>
      </c>
      <c r="E143" s="144" t="str">
        <f>CHAR(65+VLOOKUP(A143,'imp-questions'!A:H,8,FALSE))</f>
        <v>M</v>
      </c>
      <c r="F143" s="254">
        <f>Interview!F211</f>
        <v>0</v>
      </c>
      <c r="G143" s="152">
        <f>IFERROR(VLOOKUP(F143,AnsMTBL,2,FALSE),0)</f>
        <v>0</v>
      </c>
      <c r="H143" s="122"/>
      <c r="I143" s="597"/>
      <c r="J143" s="262">
        <f>F143</f>
        <v>0</v>
      </c>
      <c r="K143" s="152">
        <f>IFERROR(VLOOKUP(J143,AnsMTBL,2,FALSE),0)</f>
        <v>0</v>
      </c>
      <c r="L143" s="122"/>
      <c r="M143" s="597"/>
      <c r="N143" s="262">
        <f>J143</f>
        <v>0</v>
      </c>
      <c r="O143" s="152">
        <f>IFERROR(VLOOKUP(N143,AnsMTBL,2,FALSE),0)</f>
        <v>0</v>
      </c>
      <c r="P143" s="122"/>
      <c r="Q143" s="597"/>
      <c r="R143" s="262">
        <f>N143</f>
        <v>0</v>
      </c>
      <c r="S143" s="152">
        <f>IFERROR(VLOOKUP(R143,AnsMTBL,2,FALSE),0)</f>
        <v>0</v>
      </c>
      <c r="T143" s="122"/>
      <c r="U143" s="597"/>
      <c r="V143" s="262">
        <f>R143</f>
        <v>0</v>
      </c>
      <c r="W143" s="152">
        <f>IFERROR(VLOOKUP(V143,AnsMTBL,2,FALSE),0)</f>
        <v>0</v>
      </c>
      <c r="X143" s="122"/>
      <c r="Y143" s="597"/>
    </row>
    <row r="144" spans="1:25" ht="28" x14ac:dyDescent="0.15">
      <c r="A144" s="142" t="str">
        <f>Interview!A213</f>
        <v>O-EM-B-2-1</v>
      </c>
      <c r="B144" s="627"/>
      <c r="C144" s="231">
        <f>VLOOKUP(A144,'imp-questions'!A:H,5,FALSE)</f>
        <v>2</v>
      </c>
      <c r="D144" s="176" t="str">
        <f>VLOOKUP(A144,'imp-questions'!A:H,6,FALSE)</f>
        <v>Do you follow an established process for updating components of your technology stacks?</v>
      </c>
      <c r="E144" s="144" t="str">
        <f>CHAR(65+VLOOKUP(A144,'imp-questions'!A:H,8,FALSE))</f>
        <v>M</v>
      </c>
      <c r="F144" s="173" t="str">
        <f>Interview!F213</f>
        <v>Yes, for most or all of the components</v>
      </c>
      <c r="G144" s="152">
        <f>IFERROR(VLOOKUP(F144,AnsMTBL,2,FALSE),0)</f>
        <v>1</v>
      </c>
      <c r="H144" s="122"/>
      <c r="I144" s="597"/>
      <c r="J144" s="262" t="str">
        <f>F144</f>
        <v>Yes, for most or all of the components</v>
      </c>
      <c r="K144" s="152">
        <f>IFERROR(VLOOKUP(J144,AnsMTBL,2,FALSE),0)</f>
        <v>1</v>
      </c>
      <c r="L144" s="122"/>
      <c r="M144" s="597"/>
      <c r="N144" s="262" t="str">
        <f>J144</f>
        <v>Yes, for most or all of the components</v>
      </c>
      <c r="O144" s="152">
        <f>IFERROR(VLOOKUP(N144,AnsMTBL,2,FALSE),0)</f>
        <v>1</v>
      </c>
      <c r="P144" s="122"/>
      <c r="Q144" s="597"/>
      <c r="R144" s="262" t="str">
        <f>N144</f>
        <v>Yes, for most or all of the components</v>
      </c>
      <c r="S144" s="152">
        <f>IFERROR(VLOOKUP(R144,AnsMTBL,2,FALSE),0)</f>
        <v>1</v>
      </c>
      <c r="T144" s="122"/>
      <c r="U144" s="597"/>
      <c r="V144" s="262" t="str">
        <f>R144</f>
        <v>Yes, for most or all of the components</v>
      </c>
      <c r="W144" s="152">
        <f>IFERROR(VLOOKUP(V144,AnsMTBL,2,FALSE),0)</f>
        <v>1</v>
      </c>
      <c r="X144" s="122"/>
      <c r="Y144" s="597"/>
    </row>
    <row r="145" spans="1:25" x14ac:dyDescent="0.15">
      <c r="A145" s="142" t="str">
        <f>Interview!A215</f>
        <v>O-EM-B-3-1</v>
      </c>
      <c r="B145" s="627"/>
      <c r="C145" s="231">
        <f>VLOOKUP(A145,'imp-questions'!A:H,5,FALSE)</f>
        <v>3</v>
      </c>
      <c r="D145" s="252" t="str">
        <f>VLOOKUP(A145,'imp-questions'!A:H,6,FALSE)</f>
        <v>Do you regularly evaluate components and review patch level status?</v>
      </c>
      <c r="E145" s="144" t="str">
        <f>CHAR(65+VLOOKUP(A145,'imp-questions'!A:H,8,FALSE))</f>
        <v>M</v>
      </c>
      <c r="F145" s="173" t="str">
        <f>Interview!F215</f>
        <v>Yes, for most or all of the components</v>
      </c>
      <c r="G145" s="152">
        <f>IFERROR(VLOOKUP(F145,AnsMTBL,2,FALSE),0)</f>
        <v>1</v>
      </c>
      <c r="H145" s="122"/>
      <c r="I145" s="598"/>
      <c r="J145" s="262" t="str">
        <f>F145</f>
        <v>Yes, for most or all of the components</v>
      </c>
      <c r="K145" s="152">
        <f>IFERROR(VLOOKUP(J145,AnsMTBL,2,FALSE),0)</f>
        <v>1</v>
      </c>
      <c r="L145" s="122"/>
      <c r="M145" s="598"/>
      <c r="N145" s="262" t="str">
        <f>J145</f>
        <v>Yes, for most or all of the components</v>
      </c>
      <c r="O145" s="152">
        <f>IFERROR(VLOOKUP(N145,AnsMTBL,2,FALSE),0)</f>
        <v>1</v>
      </c>
      <c r="P145" s="122"/>
      <c r="Q145" s="598"/>
      <c r="R145" s="262" t="str">
        <f>N145</f>
        <v>Yes, for most or all of the components</v>
      </c>
      <c r="S145" s="152">
        <f>IFERROR(VLOOKUP(R145,AnsMTBL,2,FALSE),0)</f>
        <v>1</v>
      </c>
      <c r="T145" s="122"/>
      <c r="U145" s="598"/>
      <c r="V145" s="262" t="str">
        <f>R145</f>
        <v>Yes, for most or all of the components</v>
      </c>
      <c r="W145" s="152">
        <f>IFERROR(VLOOKUP(V145,AnsMTBL,2,FALSE),0)</f>
        <v>1</v>
      </c>
      <c r="X145" s="122"/>
      <c r="Y145" s="598"/>
    </row>
    <row r="146" spans="1:25" ht="13" x14ac:dyDescent="0.15">
      <c r="A146" s="142"/>
      <c r="B146" s="236"/>
      <c r="C146" s="222"/>
      <c r="D146" s="204"/>
      <c r="E146" s="204"/>
      <c r="F146" s="204"/>
      <c r="G146" s="204"/>
      <c r="H146" s="204"/>
      <c r="I146" s="204"/>
      <c r="J146" s="204"/>
      <c r="K146" s="204"/>
      <c r="L146" s="204"/>
      <c r="M146" s="204"/>
      <c r="N146" s="204"/>
      <c r="O146" s="204"/>
      <c r="P146" s="204"/>
      <c r="Q146" s="204"/>
      <c r="R146" s="204"/>
      <c r="S146" s="204"/>
      <c r="T146" s="204"/>
      <c r="U146" s="204"/>
      <c r="V146" s="204"/>
      <c r="W146" s="204"/>
      <c r="X146" s="204"/>
      <c r="Y146" s="204"/>
    </row>
    <row r="147" spans="1:25" x14ac:dyDescent="0.15">
      <c r="A147" s="142"/>
      <c r="B147" s="238" t="s">
        <v>312</v>
      </c>
      <c r="C147" s="230" t="s">
        <v>313</v>
      </c>
      <c r="D147" s="251" t="s">
        <v>286</v>
      </c>
      <c r="E147" s="137"/>
      <c r="F147" s="76" t="s">
        <v>31</v>
      </c>
      <c r="G147" s="76"/>
      <c r="H147" s="115"/>
      <c r="I147" s="215" t="s">
        <v>29</v>
      </c>
      <c r="J147" s="76" t="s">
        <v>31</v>
      </c>
      <c r="K147" s="76"/>
      <c r="L147" s="115"/>
      <c r="M147" s="215" t="s">
        <v>29</v>
      </c>
      <c r="N147" s="76" t="s">
        <v>31</v>
      </c>
      <c r="O147" s="76"/>
      <c r="P147" s="115"/>
      <c r="Q147" s="215" t="s">
        <v>29</v>
      </c>
      <c r="R147" s="76" t="s">
        <v>31</v>
      </c>
      <c r="S147" s="76"/>
      <c r="T147" s="115"/>
      <c r="U147" s="215" t="s">
        <v>29</v>
      </c>
      <c r="V147" s="76" t="s">
        <v>31</v>
      </c>
      <c r="W147" s="76"/>
      <c r="X147" s="115"/>
      <c r="Y147" s="215" t="s">
        <v>29</v>
      </c>
    </row>
    <row r="148" spans="1:25" ht="28" x14ac:dyDescent="0.15">
      <c r="A148" s="142" t="str">
        <f>Interview!A218</f>
        <v>O-OM-A-1-1</v>
      </c>
      <c r="B148" s="626" t="str">
        <f>VLOOKUP(A148,'imp-questions'!A:H,4,FALSE)</f>
        <v>Data Protection</v>
      </c>
      <c r="C148" s="231">
        <f>VLOOKUP(A148,'imp-questions'!A:H,5,FALSE)</f>
        <v>1</v>
      </c>
      <c r="D148" s="176" t="str">
        <f>VLOOKUP(A148,'imp-questions'!A:H,6,FALSE)</f>
        <v>Do you protect and handle information according to protection requirements for data stored and processed on each application?</v>
      </c>
      <c r="E148" s="144" t="str">
        <f>CHAR(65+VLOOKUP(A148,'imp-questions'!A:H,8,FALSE))</f>
        <v>F</v>
      </c>
      <c r="F148" s="169" t="str">
        <f>Interview!F218</f>
        <v>Yes, for most or all of the applications</v>
      </c>
      <c r="G148" s="152">
        <f>IFERROR(VLOOKUP(F148,AnsFTBL,2,FALSE),0)</f>
        <v>1</v>
      </c>
      <c r="H148" s="257">
        <f>IFERROR(AVERAGE(G148,G152),0)</f>
        <v>0.5</v>
      </c>
      <c r="I148" s="596">
        <f>SUM(H148:H150)</f>
        <v>2.5</v>
      </c>
      <c r="J148" s="262" t="str">
        <f>F148</f>
        <v>Yes, for most or all of the applications</v>
      </c>
      <c r="K148" s="152">
        <f>IFERROR(VLOOKUP(J148,AnsFTBL,2,FALSE),0)</f>
        <v>1</v>
      </c>
      <c r="L148" s="257">
        <f>IFERROR(AVERAGE(K148,K152),0)</f>
        <v>0.5</v>
      </c>
      <c r="M148" s="596">
        <f>SUM(L148:L150)</f>
        <v>2.5</v>
      </c>
      <c r="N148" s="262" t="str">
        <f>J148</f>
        <v>Yes, for most or all of the applications</v>
      </c>
      <c r="O148" s="152">
        <f>IFERROR(VLOOKUP(N148,AnsFTBL,2,FALSE),0)</f>
        <v>1</v>
      </c>
      <c r="P148" s="257">
        <f>IFERROR(AVERAGE(O148,O152),0)</f>
        <v>0.5</v>
      </c>
      <c r="Q148" s="596">
        <f>SUM(P148:P150)</f>
        <v>2.5</v>
      </c>
      <c r="R148" s="262" t="str">
        <f>N148</f>
        <v>Yes, for most or all of the applications</v>
      </c>
      <c r="S148" s="152">
        <f>IFERROR(VLOOKUP(R148,AnsFTBL,2,FALSE),0)</f>
        <v>1</v>
      </c>
      <c r="T148" s="257">
        <f>IFERROR(AVERAGE(S148,S152),0)</f>
        <v>0.5</v>
      </c>
      <c r="U148" s="596">
        <f>SUM(T148:T150)</f>
        <v>2.5</v>
      </c>
      <c r="V148" s="262" t="str">
        <f>R148</f>
        <v>Yes, for most or all of the applications</v>
      </c>
      <c r="W148" s="152">
        <f>IFERROR(VLOOKUP(V148,AnsFTBL,2,FALSE),0)</f>
        <v>1</v>
      </c>
      <c r="X148" s="257">
        <f>IFERROR(AVERAGE(W148,W152),0)</f>
        <v>0.5</v>
      </c>
      <c r="Y148" s="596">
        <f>SUM(X148:X150)</f>
        <v>2.5</v>
      </c>
    </row>
    <row r="149" spans="1:25" ht="28" x14ac:dyDescent="0.15">
      <c r="A149" s="142" t="str">
        <f>Interview!A220</f>
        <v>O-OM-A-2-1</v>
      </c>
      <c r="B149" s="627"/>
      <c r="C149" s="231">
        <f>VLOOKUP(A149,'imp-questions'!A:H,5,FALSE)</f>
        <v>2</v>
      </c>
      <c r="D149" s="176" t="str">
        <f>VLOOKUP(A149,'imp-questions'!A:H,6,FALSE)</f>
        <v>Do you maintain a data catalog, including types, sensitivity levels, and processing and storage locations?</v>
      </c>
      <c r="E149" s="144" t="str">
        <f>CHAR(65+VLOOKUP(A149,'imp-questions'!A:H,8,FALSE))</f>
        <v>O</v>
      </c>
      <c r="F149" s="256" t="str">
        <f>Interview!F220</f>
        <v>Yes, for most or all of our data</v>
      </c>
      <c r="G149" s="152">
        <f>IFERROR(VLOOKUP(F149,AnsOTBL,2,FALSE),0)</f>
        <v>1</v>
      </c>
      <c r="H149" s="257">
        <f>IFERROR(AVERAGE(G149,G153),0)</f>
        <v>1</v>
      </c>
      <c r="I149" s="597"/>
      <c r="J149" s="262" t="str">
        <f>F149</f>
        <v>Yes, for most or all of our data</v>
      </c>
      <c r="K149" s="152">
        <f>IFERROR(VLOOKUP(J149,AnsOTBL,2,FALSE),0)</f>
        <v>1</v>
      </c>
      <c r="L149" s="257">
        <f>IFERROR(AVERAGE(K149,K153),0)</f>
        <v>1</v>
      </c>
      <c r="M149" s="597"/>
      <c r="N149" s="262" t="str">
        <f>J149</f>
        <v>Yes, for most or all of our data</v>
      </c>
      <c r="O149" s="152">
        <f>IFERROR(VLOOKUP(N149,AnsOTBL,2,FALSE),0)</f>
        <v>1</v>
      </c>
      <c r="P149" s="257">
        <f>IFERROR(AVERAGE(O149,O153),0)</f>
        <v>1</v>
      </c>
      <c r="Q149" s="597"/>
      <c r="R149" s="262" t="str">
        <f>N149</f>
        <v>Yes, for most or all of our data</v>
      </c>
      <c r="S149" s="152">
        <f>IFERROR(VLOOKUP(R149,AnsOTBL,2,FALSE),0)</f>
        <v>1</v>
      </c>
      <c r="T149" s="257">
        <f>IFERROR(AVERAGE(S149,S153),0)</f>
        <v>1</v>
      </c>
      <c r="U149" s="597"/>
      <c r="V149" s="262" t="str">
        <f>R149</f>
        <v>Yes, for most or all of our data</v>
      </c>
      <c r="W149" s="152">
        <f>IFERROR(VLOOKUP(V149,AnsOTBL,2,FALSE),0)</f>
        <v>1</v>
      </c>
      <c r="X149" s="257">
        <f>IFERROR(AVERAGE(W149,W153),0)</f>
        <v>1</v>
      </c>
      <c r="Y149" s="597"/>
    </row>
    <row r="150" spans="1:25" ht="28" x14ac:dyDescent="0.15">
      <c r="A150" s="142" t="str">
        <f>Interview!A222</f>
        <v>O-OM-A-3-1</v>
      </c>
      <c r="B150" s="628"/>
      <c r="C150" s="231">
        <f>VLOOKUP(A150,'imp-questions'!A:H,5,FALSE)</f>
        <v>3</v>
      </c>
      <c r="D150" s="252" t="str">
        <f>VLOOKUP(A150,'imp-questions'!A:H,6,FALSE)</f>
        <v>Do you regularly review and update the data catalog and your data protection policies and procedures?</v>
      </c>
      <c r="E150" s="144" t="str">
        <f>CHAR(65+VLOOKUP(A150,'imp-questions'!A:H,8,FALSE))</f>
        <v>P</v>
      </c>
      <c r="F150" s="173" t="str">
        <f>Interview!F222</f>
        <v>Yes, we do it at least annually</v>
      </c>
      <c r="G150" s="152">
        <f>IFERROR(VLOOKUP(F150,AnsPTBL,2,FALSE),0)</f>
        <v>1</v>
      </c>
      <c r="H150" s="257">
        <f>IFERROR(AVERAGE(G150,G154),0)</f>
        <v>1</v>
      </c>
      <c r="I150" s="597"/>
      <c r="J150" s="262" t="str">
        <f>F150</f>
        <v>Yes, we do it at least annually</v>
      </c>
      <c r="K150" s="152">
        <f>IFERROR(VLOOKUP(J150,AnsPTBL,2,FALSE),0)</f>
        <v>1</v>
      </c>
      <c r="L150" s="257">
        <f>IFERROR(AVERAGE(K150,K154),0)</f>
        <v>1</v>
      </c>
      <c r="M150" s="597"/>
      <c r="N150" s="262" t="str">
        <f>J150</f>
        <v>Yes, we do it at least annually</v>
      </c>
      <c r="O150" s="152">
        <f>IFERROR(VLOOKUP(N150,AnsPTBL,2,FALSE),0)</f>
        <v>1</v>
      </c>
      <c r="P150" s="257">
        <f>IFERROR(AVERAGE(O150,O154),0)</f>
        <v>1</v>
      </c>
      <c r="Q150" s="597"/>
      <c r="R150" s="262" t="str">
        <f>N150</f>
        <v>Yes, we do it at least annually</v>
      </c>
      <c r="S150" s="152">
        <f>IFERROR(VLOOKUP(R150,AnsPTBL,2,FALSE),0)</f>
        <v>1</v>
      </c>
      <c r="T150" s="257">
        <f>IFERROR(AVERAGE(S150,S154),0)</f>
        <v>1</v>
      </c>
      <c r="U150" s="597"/>
      <c r="V150" s="262" t="str">
        <f>R150</f>
        <v>Yes, we do it at least annually</v>
      </c>
      <c r="W150" s="152">
        <f>IFERROR(VLOOKUP(V150,AnsPTBL,2,FALSE),0)</f>
        <v>1</v>
      </c>
      <c r="X150" s="257">
        <f>IFERROR(AVERAGE(W150,W154),0)</f>
        <v>1</v>
      </c>
      <c r="Y150" s="597"/>
    </row>
    <row r="151" spans="1:25" ht="13" x14ac:dyDescent="0.15">
      <c r="A151" s="142"/>
      <c r="B151" s="236"/>
      <c r="C151" s="222"/>
      <c r="D151" s="204"/>
      <c r="E151" s="204"/>
      <c r="F151" s="204"/>
      <c r="G151" s="204"/>
      <c r="H151" s="204"/>
      <c r="I151" s="597"/>
      <c r="J151" s="204"/>
      <c r="K151" s="204"/>
      <c r="L151" s="204"/>
      <c r="M151" s="597"/>
      <c r="N151" s="204"/>
      <c r="O151" s="204"/>
      <c r="P151" s="204"/>
      <c r="Q151" s="597"/>
      <c r="R151" s="204"/>
      <c r="S151" s="204"/>
      <c r="T151" s="204"/>
      <c r="U151" s="597"/>
      <c r="V151" s="204"/>
      <c r="W151" s="204"/>
      <c r="X151" s="204"/>
      <c r="Y151" s="597"/>
    </row>
    <row r="152" spans="1:25" ht="42" x14ac:dyDescent="0.15">
      <c r="A152" s="142" t="str">
        <f>Interview!A225</f>
        <v>O-OM-B-1-1</v>
      </c>
      <c r="B152" s="626" t="str">
        <f>VLOOKUP(A152,'imp-questions'!A:H,4,FALSE)</f>
        <v>System Decomissioning / Legacy Management</v>
      </c>
      <c r="C152" s="231">
        <f>VLOOKUP(A152,'imp-questions'!A:H,5,FALSE)</f>
        <v>1</v>
      </c>
      <c r="D152" s="176" t="str">
        <f>VLOOKUP(A152,'imp-questions'!A:H,6,FALSE)</f>
        <v>Do you identify and remove systems, applications, application dependencies, or services that are no longer used, have reached end of life, or are no longer actively developed or supported?</v>
      </c>
      <c r="E152" s="144" t="str">
        <f>CHAR(65+VLOOKUP(A152,'imp-questions'!A:H,8,FALSE))</f>
        <v>F</v>
      </c>
      <c r="F152" s="169" t="str">
        <f>Interview!F225</f>
        <v>No</v>
      </c>
      <c r="G152" s="152">
        <f>IFERROR(VLOOKUP(F152,AnsFTBL,2,FALSE),0)</f>
        <v>0</v>
      </c>
      <c r="H152" s="122"/>
      <c r="I152" s="597"/>
      <c r="J152" s="262" t="str">
        <f>F152</f>
        <v>No</v>
      </c>
      <c r="K152" s="152">
        <f>IFERROR(VLOOKUP(J152,AnsFTBL,2,FALSE),0)</f>
        <v>0</v>
      </c>
      <c r="L152" s="122"/>
      <c r="M152" s="597"/>
      <c r="N152" s="262" t="str">
        <f>J152</f>
        <v>No</v>
      </c>
      <c r="O152" s="152">
        <f>IFERROR(VLOOKUP(N152,AnsFTBL,2,FALSE),0)</f>
        <v>0</v>
      </c>
      <c r="P152" s="122"/>
      <c r="Q152" s="597"/>
      <c r="R152" s="262" t="str">
        <f>N152</f>
        <v>No</v>
      </c>
      <c r="S152" s="152">
        <f>IFERROR(VLOOKUP(R152,AnsFTBL,2,FALSE),0)</f>
        <v>0</v>
      </c>
      <c r="T152" s="122"/>
      <c r="U152" s="597"/>
      <c r="V152" s="262" t="str">
        <f>R152</f>
        <v>No</v>
      </c>
      <c r="W152" s="152">
        <f>IFERROR(VLOOKUP(V152,AnsFTBL,2,FALSE),0)</f>
        <v>0</v>
      </c>
      <c r="X152" s="122"/>
      <c r="Y152" s="597"/>
    </row>
    <row r="153" spans="1:25" ht="42" x14ac:dyDescent="0.15">
      <c r="A153" s="142" t="str">
        <f>Interview!A227</f>
        <v>O-OM-B-2-1</v>
      </c>
      <c r="B153" s="627"/>
      <c r="C153" s="231">
        <f>VLOOKUP(A153,'imp-questions'!A:H,5,FALSE)</f>
        <v>2</v>
      </c>
      <c r="D153" s="176" t="str">
        <f>VLOOKUP(A153,'imp-questions'!A:H,6,FALSE)</f>
        <v>Do you follow an established process for removing all associated resources, as part of decommissioning of unused systems, applications, application dependencies, or services?</v>
      </c>
      <c r="E153" s="144" t="str">
        <f>CHAR(65+VLOOKUP(A153,'imp-questions'!A:H,8,FALSE))</f>
        <v>H</v>
      </c>
      <c r="F153" s="256" t="str">
        <f>Interview!F227</f>
        <v>Yes, most or all of the time</v>
      </c>
      <c r="G153" s="152">
        <f>IFERROR(VLOOKUP(F153,AnsHTBL,2,FALSE),0)</f>
        <v>1</v>
      </c>
      <c r="H153" s="122"/>
      <c r="I153" s="597"/>
      <c r="J153" s="262" t="str">
        <f>F153</f>
        <v>Yes, most or all of the time</v>
      </c>
      <c r="K153" s="152">
        <f>IFERROR(VLOOKUP(J153,AnsHTBL,2,FALSE),0)</f>
        <v>1</v>
      </c>
      <c r="L153" s="122"/>
      <c r="M153" s="597"/>
      <c r="N153" s="262" t="str">
        <f>J153</f>
        <v>Yes, most or all of the time</v>
      </c>
      <c r="O153" s="152">
        <f>IFERROR(VLOOKUP(N153,AnsHTBL,2,FALSE),0)</f>
        <v>1</v>
      </c>
      <c r="P153" s="122"/>
      <c r="Q153" s="597"/>
      <c r="R153" s="262" t="str">
        <f>N153</f>
        <v>Yes, most or all of the time</v>
      </c>
      <c r="S153" s="152">
        <f>IFERROR(VLOOKUP(R153,AnsHTBL,2,FALSE),0)</f>
        <v>1</v>
      </c>
      <c r="T153" s="122"/>
      <c r="U153" s="597"/>
      <c r="V153" s="262" t="str">
        <f>R153</f>
        <v>Yes, most or all of the time</v>
      </c>
      <c r="W153" s="152">
        <f>IFERROR(VLOOKUP(V153,AnsHTBL,2,FALSE),0)</f>
        <v>1</v>
      </c>
      <c r="X153" s="122"/>
      <c r="Y153" s="597"/>
    </row>
    <row r="154" spans="1:25" ht="42" x14ac:dyDescent="0.15">
      <c r="A154" s="142" t="str">
        <f>Interview!A229</f>
        <v>O-OM-B-3-1</v>
      </c>
      <c r="B154" s="632"/>
      <c r="C154" s="231">
        <f>VLOOKUP(A154,'imp-questions'!A:H,5,FALSE)</f>
        <v>3</v>
      </c>
      <c r="D154" s="252" t="str">
        <f>VLOOKUP(A154,'imp-questions'!A:H,6,FALSE)</f>
        <v>Do you regularly evaluate the lifecycle state and support status of every software asset and underlying infrastructure component, and estimate their end of life?</v>
      </c>
      <c r="E154" s="253" t="str">
        <f>CHAR(65+VLOOKUP(A154,'imp-questions'!A:H,8,FALSE))</f>
        <v>S</v>
      </c>
      <c r="F154" s="173" t="str">
        <f>Interview!F229</f>
        <v>Yes, for most or all of the assets</v>
      </c>
      <c r="G154" s="152">
        <f>IFERROR(VLOOKUP(F154,AnsSTBL,2,FALSE),0)</f>
        <v>1</v>
      </c>
      <c r="H154" s="122"/>
      <c r="I154" s="597"/>
      <c r="J154" s="262" t="str">
        <f>F154</f>
        <v>Yes, for most or all of the assets</v>
      </c>
      <c r="K154" s="152">
        <f>IFERROR(VLOOKUP(J154,AnsSTBL,2,FALSE),0)</f>
        <v>1</v>
      </c>
      <c r="L154" s="122"/>
      <c r="M154" s="597"/>
      <c r="N154" s="262" t="str">
        <f>J154</f>
        <v>Yes, for most or all of the assets</v>
      </c>
      <c r="O154" s="152">
        <f>IFERROR(VLOOKUP(N154,AnsSTBL,2,FALSE),0)</f>
        <v>1</v>
      </c>
      <c r="P154" s="122"/>
      <c r="Q154" s="597"/>
      <c r="R154" s="262" t="str">
        <f>N154</f>
        <v>Yes, for most or all of the assets</v>
      </c>
      <c r="S154" s="152">
        <f>IFERROR(VLOOKUP(R154,AnsSTBL,2,FALSE),0)</f>
        <v>1</v>
      </c>
      <c r="T154" s="122"/>
      <c r="U154" s="597"/>
      <c r="V154" s="262" t="str">
        <f>R154</f>
        <v>Yes, for most or all of the assets</v>
      </c>
      <c r="W154" s="152">
        <f>IFERROR(VLOOKUP(V154,AnsSTBL,2,FALSE),0)</f>
        <v>1</v>
      </c>
      <c r="X154" s="122"/>
      <c r="Y154" s="597"/>
    </row>
  </sheetData>
  <mergeCells count="130">
    <mergeCell ref="J16:M16"/>
    <mergeCell ref="N16:Q16"/>
    <mergeCell ref="R16:U16"/>
    <mergeCell ref="V16:Y16"/>
    <mergeCell ref="B46:B48"/>
    <mergeCell ref="B50:B52"/>
    <mergeCell ref="B55:B57"/>
    <mergeCell ref="B83:B85"/>
    <mergeCell ref="F16:I16"/>
    <mergeCell ref="V44:Y44"/>
    <mergeCell ref="V72:Y72"/>
    <mergeCell ref="J72:M72"/>
    <mergeCell ref="B18:B20"/>
    <mergeCell ref="B22:B24"/>
    <mergeCell ref="B27:B29"/>
    <mergeCell ref="B31:B33"/>
    <mergeCell ref="B40:B42"/>
    <mergeCell ref="B36:B38"/>
    <mergeCell ref="M18:M24"/>
    <mergeCell ref="M27:M33"/>
    <mergeCell ref="M36:M42"/>
    <mergeCell ref="J44:M44"/>
    <mergeCell ref="M46:M52"/>
    <mergeCell ref="M55:M61"/>
    <mergeCell ref="M64:M70"/>
    <mergeCell ref="M74:M80"/>
    <mergeCell ref="V100:Y100"/>
    <mergeCell ref="V128:Y128"/>
    <mergeCell ref="R128:U128"/>
    <mergeCell ref="R100:U100"/>
    <mergeCell ref="R72:U72"/>
    <mergeCell ref="R44:U44"/>
    <mergeCell ref="N44:Q44"/>
    <mergeCell ref="N72:Q72"/>
    <mergeCell ref="N100:Q100"/>
    <mergeCell ref="N128:Q128"/>
    <mergeCell ref="F44:I44"/>
    <mergeCell ref="F72:I72"/>
    <mergeCell ref="F100:I100"/>
    <mergeCell ref="F128:I128"/>
    <mergeCell ref="B139:B141"/>
    <mergeCell ref="B143:B145"/>
    <mergeCell ref="I74:I80"/>
    <mergeCell ref="I83:I89"/>
    <mergeCell ref="I92:I98"/>
    <mergeCell ref="I102:I108"/>
    <mergeCell ref="I111:I117"/>
    <mergeCell ref="I120:I126"/>
    <mergeCell ref="B148:B150"/>
    <mergeCell ref="B130:B132"/>
    <mergeCell ref="B134:B136"/>
    <mergeCell ref="B87:B89"/>
    <mergeCell ref="B92:B94"/>
    <mergeCell ref="B96:B98"/>
    <mergeCell ref="B152:B154"/>
    <mergeCell ref="I18:I24"/>
    <mergeCell ref="I27:I33"/>
    <mergeCell ref="I36:I42"/>
    <mergeCell ref="I46:I52"/>
    <mergeCell ref="I55:I61"/>
    <mergeCell ref="I64:I70"/>
    <mergeCell ref="B102:B104"/>
    <mergeCell ref="B106:B108"/>
    <mergeCell ref="B111:B113"/>
    <mergeCell ref="B115:B117"/>
    <mergeCell ref="B120:B122"/>
    <mergeCell ref="B124:B126"/>
    <mergeCell ref="B59:B61"/>
    <mergeCell ref="B64:B66"/>
    <mergeCell ref="B68:B70"/>
    <mergeCell ref="B74:B76"/>
    <mergeCell ref="B78:B80"/>
    <mergeCell ref="M148:M154"/>
    <mergeCell ref="M83:M89"/>
    <mergeCell ref="M92:M98"/>
    <mergeCell ref="M102:M108"/>
    <mergeCell ref="M111:M117"/>
    <mergeCell ref="M120:M126"/>
    <mergeCell ref="M130:M136"/>
    <mergeCell ref="I148:I154"/>
    <mergeCell ref="I139:I145"/>
    <mergeCell ref="I130:I136"/>
    <mergeCell ref="J100:M100"/>
    <mergeCell ref="J128:M128"/>
    <mergeCell ref="M139:M145"/>
    <mergeCell ref="Q139:Q145"/>
    <mergeCell ref="Q148:Q154"/>
    <mergeCell ref="U18:U24"/>
    <mergeCell ref="U27:U33"/>
    <mergeCell ref="U36:U42"/>
    <mergeCell ref="U46:U52"/>
    <mergeCell ref="U55:U61"/>
    <mergeCell ref="U64:U70"/>
    <mergeCell ref="U74:U80"/>
    <mergeCell ref="U83:U89"/>
    <mergeCell ref="Q18:Q24"/>
    <mergeCell ref="Q27:Q33"/>
    <mergeCell ref="Q36:Q42"/>
    <mergeCell ref="Q46:Q52"/>
    <mergeCell ref="Q55:Q61"/>
    <mergeCell ref="Q64:Q70"/>
    <mergeCell ref="Q74:Q80"/>
    <mergeCell ref="Q83:Q89"/>
    <mergeCell ref="Q92:Q98"/>
    <mergeCell ref="Q102:Q108"/>
    <mergeCell ref="Q111:Q117"/>
    <mergeCell ref="Q120:Q126"/>
    <mergeCell ref="Q130:Q136"/>
    <mergeCell ref="Y139:Y145"/>
    <mergeCell ref="Y148:Y154"/>
    <mergeCell ref="U148:U154"/>
    <mergeCell ref="Y18:Y24"/>
    <mergeCell ref="Y27:Y33"/>
    <mergeCell ref="Y36:Y42"/>
    <mergeCell ref="Y46:Y52"/>
    <mergeCell ref="Y55:Y61"/>
    <mergeCell ref="Y64:Y70"/>
    <mergeCell ref="Y74:Y80"/>
    <mergeCell ref="Y83:Y89"/>
    <mergeCell ref="Y92:Y98"/>
    <mergeCell ref="U92:U98"/>
    <mergeCell ref="U102:U108"/>
    <mergeCell ref="U111:U117"/>
    <mergeCell ref="U120:U126"/>
    <mergeCell ref="U130:U136"/>
    <mergeCell ref="U139:U145"/>
    <mergeCell ref="Y102:Y108"/>
    <mergeCell ref="Y111:Y117"/>
    <mergeCell ref="Y120:Y126"/>
    <mergeCell ref="Y130:Y136"/>
  </mergeCells>
  <conditionalFormatting sqref="F15">
    <cfRule type="expression" dxfId="632" priority="1219">
      <formula>$H$22=1</formula>
    </cfRule>
  </conditionalFormatting>
  <conditionalFormatting sqref="J20">
    <cfRule type="expression" dxfId="631" priority="1215">
      <formula>K20&lt;G20</formula>
    </cfRule>
    <cfRule type="expression" dxfId="630" priority="1216">
      <formula>K20&gt;G20</formula>
    </cfRule>
  </conditionalFormatting>
  <conditionalFormatting sqref="J19">
    <cfRule type="expression" dxfId="629" priority="1213">
      <formula>K19&lt;G19</formula>
    </cfRule>
    <cfRule type="expression" dxfId="628" priority="1214">
      <formula>K19&gt;G19</formula>
    </cfRule>
  </conditionalFormatting>
  <conditionalFormatting sqref="J22:J23">
    <cfRule type="expression" dxfId="627" priority="1211">
      <formula>K22&lt;G22</formula>
    </cfRule>
    <cfRule type="expression" dxfId="626" priority="1212">
      <formula>K22&gt;G22</formula>
    </cfRule>
  </conditionalFormatting>
  <conditionalFormatting sqref="J24">
    <cfRule type="expression" dxfId="625" priority="1209">
      <formula>K24&lt;G24</formula>
    </cfRule>
    <cfRule type="expression" dxfId="624" priority="1210">
      <formula>K24&gt;G24</formula>
    </cfRule>
  </conditionalFormatting>
  <conditionalFormatting sqref="J27">
    <cfRule type="expression" dxfId="623" priority="1205">
      <formula>K27&lt;G27</formula>
    </cfRule>
    <cfRule type="expression" dxfId="622" priority="1206">
      <formula>K27&gt;G27</formula>
    </cfRule>
  </conditionalFormatting>
  <conditionalFormatting sqref="J29">
    <cfRule type="expression" dxfId="621" priority="1203">
      <formula>K29&lt;G29</formula>
    </cfRule>
    <cfRule type="expression" dxfId="620" priority="1204">
      <formula>K29&gt;G29</formula>
    </cfRule>
  </conditionalFormatting>
  <conditionalFormatting sqref="J28">
    <cfRule type="expression" dxfId="619" priority="1201">
      <formula>K28&lt;G28</formula>
    </cfRule>
    <cfRule type="expression" dxfId="618" priority="1202">
      <formula>K28&gt;G28</formula>
    </cfRule>
  </conditionalFormatting>
  <conditionalFormatting sqref="J31">
    <cfRule type="expression" dxfId="617" priority="1199">
      <formula>K31&lt;G31</formula>
    </cfRule>
    <cfRule type="expression" dxfId="616" priority="1200">
      <formula>K31&gt;G31</formula>
    </cfRule>
  </conditionalFormatting>
  <conditionalFormatting sqref="J33">
    <cfRule type="expression" dxfId="615" priority="1197">
      <formula>K33&lt;G33</formula>
    </cfRule>
    <cfRule type="expression" dxfId="614" priority="1198">
      <formula>K33&gt;G33</formula>
    </cfRule>
  </conditionalFormatting>
  <conditionalFormatting sqref="J32">
    <cfRule type="expression" dxfId="613" priority="1195">
      <formula>K32&lt;G32</formula>
    </cfRule>
    <cfRule type="expression" dxfId="612" priority="1196">
      <formula>K32&gt;G32</formula>
    </cfRule>
  </conditionalFormatting>
  <conditionalFormatting sqref="J153">
    <cfRule type="expression" dxfId="611" priority="1039">
      <formula>K153&lt;G153</formula>
    </cfRule>
    <cfRule type="expression" dxfId="610" priority="1040">
      <formula>K153&gt;G153</formula>
    </cfRule>
  </conditionalFormatting>
  <conditionalFormatting sqref="J36">
    <cfRule type="expression" dxfId="609" priority="1193">
      <formula>K36&lt;G36</formula>
    </cfRule>
    <cfRule type="expression" dxfId="608" priority="1194">
      <formula>K36&gt;G36</formula>
    </cfRule>
  </conditionalFormatting>
  <conditionalFormatting sqref="J38">
    <cfRule type="expression" dxfId="607" priority="1191">
      <formula>K38&lt;G38</formula>
    </cfRule>
    <cfRule type="expression" dxfId="606" priority="1192">
      <formula>K38&gt;G38</formula>
    </cfRule>
  </conditionalFormatting>
  <conditionalFormatting sqref="J37">
    <cfRule type="expression" dxfId="605" priority="1189">
      <formula>K37&lt;G37</formula>
    </cfRule>
    <cfRule type="expression" dxfId="604" priority="1190">
      <formula>K37&gt;G37</formula>
    </cfRule>
  </conditionalFormatting>
  <conditionalFormatting sqref="J40">
    <cfRule type="expression" dxfId="603" priority="1187">
      <formula>K40&lt;G40</formula>
    </cfRule>
    <cfRule type="expression" dxfId="602" priority="1188">
      <formula>K40&gt;G40</formula>
    </cfRule>
  </conditionalFormatting>
  <conditionalFormatting sqref="J42">
    <cfRule type="expression" dxfId="601" priority="1185">
      <formula>K42&lt;G42</formula>
    </cfRule>
    <cfRule type="expression" dxfId="600" priority="1186">
      <formula>K42&gt;G42</formula>
    </cfRule>
  </conditionalFormatting>
  <conditionalFormatting sqref="J41">
    <cfRule type="expression" dxfId="599" priority="1183">
      <formula>K41&lt;G41</formula>
    </cfRule>
    <cfRule type="expression" dxfId="598" priority="1184">
      <formula>K41&gt;G41</formula>
    </cfRule>
  </conditionalFormatting>
  <conditionalFormatting sqref="J46">
    <cfRule type="expression" dxfId="597" priority="1181">
      <formula>K46&lt;G46</formula>
    </cfRule>
    <cfRule type="expression" dxfId="596" priority="1182">
      <formula>K46&gt;G46</formula>
    </cfRule>
  </conditionalFormatting>
  <conditionalFormatting sqref="J48">
    <cfRule type="expression" dxfId="595" priority="1179">
      <formula>K48&lt;G48</formula>
    </cfRule>
    <cfRule type="expression" dxfId="594" priority="1180">
      <formula>K48&gt;G48</formula>
    </cfRule>
  </conditionalFormatting>
  <conditionalFormatting sqref="J47">
    <cfRule type="expression" dxfId="593" priority="1177">
      <formula>K47&lt;G47</formula>
    </cfRule>
    <cfRule type="expression" dxfId="592" priority="1178">
      <formula>K47&gt;G47</formula>
    </cfRule>
  </conditionalFormatting>
  <conditionalFormatting sqref="J50">
    <cfRule type="expression" dxfId="591" priority="1175">
      <formula>K50&lt;G50</formula>
    </cfRule>
    <cfRule type="expression" dxfId="590" priority="1176">
      <formula>K50&gt;G50</formula>
    </cfRule>
  </conditionalFormatting>
  <conditionalFormatting sqref="J52">
    <cfRule type="expression" dxfId="589" priority="1173">
      <formula>K52&lt;G52</formula>
    </cfRule>
    <cfRule type="expression" dxfId="588" priority="1174">
      <formula>K52&gt;G52</formula>
    </cfRule>
  </conditionalFormatting>
  <conditionalFormatting sqref="J51">
    <cfRule type="expression" dxfId="587" priority="1171">
      <formula>K51&lt;G51</formula>
    </cfRule>
    <cfRule type="expression" dxfId="586" priority="1172">
      <formula>K51&gt;G51</formula>
    </cfRule>
  </conditionalFormatting>
  <conditionalFormatting sqref="J55:J56">
    <cfRule type="expression" dxfId="585" priority="1169">
      <formula>K55&lt;G55</formula>
    </cfRule>
    <cfRule type="expression" dxfId="584" priority="1170">
      <formula>K55&gt;G55</formula>
    </cfRule>
  </conditionalFormatting>
  <conditionalFormatting sqref="J57">
    <cfRule type="expression" dxfId="583" priority="1167">
      <formula>K57&lt;G57</formula>
    </cfRule>
    <cfRule type="expression" dxfId="582" priority="1168">
      <formula>K57&gt;G57</formula>
    </cfRule>
  </conditionalFormatting>
  <conditionalFormatting sqref="J59">
    <cfRule type="expression" dxfId="581" priority="1163">
      <formula>K59&lt;G59</formula>
    </cfRule>
    <cfRule type="expression" dxfId="580" priority="1164">
      <formula>K59&gt;G59</formula>
    </cfRule>
  </conditionalFormatting>
  <conditionalFormatting sqref="J61">
    <cfRule type="expression" dxfId="579" priority="1161">
      <formula>K61&lt;G61</formula>
    </cfRule>
    <cfRule type="expression" dxfId="578" priority="1162">
      <formula>K61&gt;G61</formula>
    </cfRule>
  </conditionalFormatting>
  <conditionalFormatting sqref="J60">
    <cfRule type="expression" dxfId="577" priority="1159">
      <formula>K60&lt;G60</formula>
    </cfRule>
    <cfRule type="expression" dxfId="576" priority="1160">
      <formula>K60&gt;G60</formula>
    </cfRule>
  </conditionalFormatting>
  <conditionalFormatting sqref="J64">
    <cfRule type="expression" dxfId="575" priority="1157">
      <formula>K64&lt;G64</formula>
    </cfRule>
    <cfRule type="expression" dxfId="574" priority="1158">
      <formula>K64&gt;G64</formula>
    </cfRule>
  </conditionalFormatting>
  <conditionalFormatting sqref="J66">
    <cfRule type="expression" dxfId="573" priority="1155">
      <formula>K66&lt;G66</formula>
    </cfRule>
    <cfRule type="expression" dxfId="572" priority="1156">
      <formula>K66&gt;G66</formula>
    </cfRule>
  </conditionalFormatting>
  <conditionalFormatting sqref="J65">
    <cfRule type="expression" dxfId="571" priority="1153">
      <formula>K65&lt;G65</formula>
    </cfRule>
    <cfRule type="expression" dxfId="570" priority="1154">
      <formula>K65&gt;G65</formula>
    </cfRule>
  </conditionalFormatting>
  <conditionalFormatting sqref="J68">
    <cfRule type="expression" dxfId="569" priority="1151">
      <formula>K68&lt;G68</formula>
    </cfRule>
    <cfRule type="expression" dxfId="568" priority="1152">
      <formula>K68&gt;G68</formula>
    </cfRule>
  </conditionalFormatting>
  <conditionalFormatting sqref="J70">
    <cfRule type="expression" dxfId="567" priority="1149">
      <formula>K70&lt;G70</formula>
    </cfRule>
    <cfRule type="expression" dxfId="566" priority="1150">
      <formula>K70&gt;G70</formula>
    </cfRule>
  </conditionalFormatting>
  <conditionalFormatting sqref="J69">
    <cfRule type="expression" dxfId="565" priority="1147">
      <formula>K69&lt;G69</formula>
    </cfRule>
    <cfRule type="expression" dxfId="564" priority="1148">
      <formula>K69&gt;G69</formula>
    </cfRule>
  </conditionalFormatting>
  <conditionalFormatting sqref="J102">
    <cfRule type="expression" dxfId="563" priority="1109">
      <formula>K102&lt;G102</formula>
    </cfRule>
    <cfRule type="expression" dxfId="562" priority="1110">
      <formula>K102&gt;G102</formula>
    </cfRule>
  </conditionalFormatting>
  <conditionalFormatting sqref="J104">
    <cfRule type="expression" dxfId="561" priority="1107">
      <formula>K104&lt;G104</formula>
    </cfRule>
    <cfRule type="expression" dxfId="560" priority="1108">
      <formula>K104&gt;G104</formula>
    </cfRule>
  </conditionalFormatting>
  <conditionalFormatting sqref="J103">
    <cfRule type="expression" dxfId="559" priority="1105">
      <formula>K103&lt;G103</formula>
    </cfRule>
    <cfRule type="expression" dxfId="558" priority="1106">
      <formula>K103&gt;G103</formula>
    </cfRule>
  </conditionalFormatting>
  <conditionalFormatting sqref="J106">
    <cfRule type="expression" dxfId="557" priority="1103">
      <formula>K106&lt;G106</formula>
    </cfRule>
    <cfRule type="expression" dxfId="556" priority="1104">
      <formula>K106&gt;G106</formula>
    </cfRule>
  </conditionalFormatting>
  <conditionalFormatting sqref="J108">
    <cfRule type="expression" dxfId="555" priority="1101">
      <formula>K108&lt;G108</formula>
    </cfRule>
    <cfRule type="expression" dxfId="554" priority="1102">
      <formula>K108&gt;G108</formula>
    </cfRule>
  </conditionalFormatting>
  <conditionalFormatting sqref="J107">
    <cfRule type="expression" dxfId="553" priority="1099">
      <formula>K107&lt;G107</formula>
    </cfRule>
    <cfRule type="expression" dxfId="552" priority="1100">
      <formula>K107&gt;G107</formula>
    </cfRule>
  </conditionalFormatting>
  <conditionalFormatting sqref="J111">
    <cfRule type="expression" dxfId="551" priority="1097">
      <formula>K111&lt;G111</formula>
    </cfRule>
    <cfRule type="expression" dxfId="550" priority="1098">
      <formula>K111&gt;G111</formula>
    </cfRule>
  </conditionalFormatting>
  <conditionalFormatting sqref="J113">
    <cfRule type="expression" dxfId="549" priority="1095">
      <formula>K113&lt;G113</formula>
    </cfRule>
    <cfRule type="expression" dxfId="548" priority="1096">
      <formula>K113&gt;G113</formula>
    </cfRule>
  </conditionalFormatting>
  <conditionalFormatting sqref="J112">
    <cfRule type="expression" dxfId="547" priority="1093">
      <formula>K112&lt;G112</formula>
    </cfRule>
    <cfRule type="expression" dxfId="546" priority="1094">
      <formula>K112&gt;G112</formula>
    </cfRule>
  </conditionalFormatting>
  <conditionalFormatting sqref="J115">
    <cfRule type="expression" dxfId="545" priority="1091">
      <formula>K115&lt;G115</formula>
    </cfRule>
    <cfRule type="expression" dxfId="544" priority="1092">
      <formula>K115&gt;G115</formula>
    </cfRule>
  </conditionalFormatting>
  <conditionalFormatting sqref="J117">
    <cfRule type="expression" dxfId="543" priority="1089">
      <formula>K117&lt;G117</formula>
    </cfRule>
    <cfRule type="expression" dxfId="542" priority="1090">
      <formula>K117&gt;G117</formula>
    </cfRule>
  </conditionalFormatting>
  <conditionalFormatting sqref="J116">
    <cfRule type="expression" dxfId="541" priority="1087">
      <formula>K116&lt;G116</formula>
    </cfRule>
    <cfRule type="expression" dxfId="540" priority="1088">
      <formula>K116&gt;G116</formula>
    </cfRule>
  </conditionalFormatting>
  <conditionalFormatting sqref="J120">
    <cfRule type="expression" dxfId="539" priority="1085">
      <formula>K120&lt;G120</formula>
    </cfRule>
    <cfRule type="expression" dxfId="538" priority="1086">
      <formula>K120&gt;G120</formula>
    </cfRule>
  </conditionalFormatting>
  <conditionalFormatting sqref="J122">
    <cfRule type="expression" dxfId="537" priority="1083">
      <formula>K122&lt;G122</formula>
    </cfRule>
    <cfRule type="expression" dxfId="536" priority="1084">
      <formula>K122&gt;G122</formula>
    </cfRule>
  </conditionalFormatting>
  <conditionalFormatting sqref="J121">
    <cfRule type="expression" dxfId="535" priority="1081">
      <formula>K121&lt;G121</formula>
    </cfRule>
    <cfRule type="expression" dxfId="534" priority="1082">
      <formula>K121&gt;G121</formula>
    </cfRule>
  </conditionalFormatting>
  <conditionalFormatting sqref="J124">
    <cfRule type="expression" dxfId="533" priority="1079">
      <formula>K124&lt;G124</formula>
    </cfRule>
    <cfRule type="expression" dxfId="532" priority="1080">
      <formula>K124&gt;G124</formula>
    </cfRule>
  </conditionalFormatting>
  <conditionalFormatting sqref="J126">
    <cfRule type="expression" dxfId="531" priority="1077">
      <formula>K126&lt;G126</formula>
    </cfRule>
    <cfRule type="expression" dxfId="530" priority="1078">
      <formula>K126&gt;G126</formula>
    </cfRule>
  </conditionalFormatting>
  <conditionalFormatting sqref="J125">
    <cfRule type="expression" dxfId="529" priority="1075">
      <formula>K125&lt;G125</formula>
    </cfRule>
    <cfRule type="expression" dxfId="528" priority="1076">
      <formula>K125&gt;G125</formula>
    </cfRule>
  </conditionalFormatting>
  <conditionalFormatting sqref="J130">
    <cfRule type="expression" dxfId="527" priority="1073">
      <formula>K130&lt;G130</formula>
    </cfRule>
    <cfRule type="expression" dxfId="526" priority="1074">
      <formula>K130&gt;G130</formula>
    </cfRule>
  </conditionalFormatting>
  <conditionalFormatting sqref="J132">
    <cfRule type="expression" dxfId="525" priority="1071">
      <formula>K132&lt;G132</formula>
    </cfRule>
    <cfRule type="expression" dxfId="524" priority="1072">
      <formula>K132&gt;G132</formula>
    </cfRule>
  </conditionalFormatting>
  <conditionalFormatting sqref="J131">
    <cfRule type="expression" dxfId="523" priority="1069">
      <formula>K131&lt;G131</formula>
    </cfRule>
    <cfRule type="expression" dxfId="522" priority="1070">
      <formula>K131&gt;G131</formula>
    </cfRule>
  </conditionalFormatting>
  <conditionalFormatting sqref="J134">
    <cfRule type="expression" dxfId="521" priority="1067">
      <formula>K134&lt;G134</formula>
    </cfRule>
    <cfRule type="expression" dxfId="520" priority="1068">
      <formula>K134&gt;G134</formula>
    </cfRule>
  </conditionalFormatting>
  <conditionalFormatting sqref="J136">
    <cfRule type="expression" dxfId="519" priority="1065">
      <formula>K136&lt;G136</formula>
    </cfRule>
    <cfRule type="expression" dxfId="518" priority="1066">
      <formula>K136&gt;G136</formula>
    </cfRule>
  </conditionalFormatting>
  <conditionalFormatting sqref="J135">
    <cfRule type="expression" dxfId="517" priority="1063">
      <formula>K135&lt;G135</formula>
    </cfRule>
    <cfRule type="expression" dxfId="516" priority="1064">
      <formula>K135&gt;G135</formula>
    </cfRule>
  </conditionalFormatting>
  <conditionalFormatting sqref="J139">
    <cfRule type="expression" dxfId="515" priority="1061">
      <formula>K139&lt;G139</formula>
    </cfRule>
    <cfRule type="expression" dxfId="514" priority="1062">
      <formula>K139&gt;G139</formula>
    </cfRule>
  </conditionalFormatting>
  <conditionalFormatting sqref="J141">
    <cfRule type="expression" dxfId="513" priority="1059">
      <formula>K141&lt;G141</formula>
    </cfRule>
    <cfRule type="expression" dxfId="512" priority="1060">
      <formula>K141&gt;G141</formula>
    </cfRule>
  </conditionalFormatting>
  <conditionalFormatting sqref="J140">
    <cfRule type="expression" dxfId="511" priority="1057">
      <formula>K140&lt;G140</formula>
    </cfRule>
    <cfRule type="expression" dxfId="510" priority="1058">
      <formula>K140&gt;G140</formula>
    </cfRule>
  </conditionalFormatting>
  <conditionalFormatting sqref="J143">
    <cfRule type="expression" dxfId="509" priority="1055">
      <formula>K143&lt;G143</formula>
    </cfRule>
    <cfRule type="expression" dxfId="508" priority="1056">
      <formula>K143&gt;G143</formula>
    </cfRule>
  </conditionalFormatting>
  <conditionalFormatting sqref="J145">
    <cfRule type="expression" dxfId="507" priority="1053">
      <formula>K145&lt;G145</formula>
    </cfRule>
    <cfRule type="expression" dxfId="506" priority="1054">
      <formula>K145&gt;G145</formula>
    </cfRule>
  </conditionalFormatting>
  <conditionalFormatting sqref="J144">
    <cfRule type="expression" dxfId="505" priority="1051">
      <formula>K144&lt;G144</formula>
    </cfRule>
    <cfRule type="expression" dxfId="504" priority="1052">
      <formula>K144&gt;G144</formula>
    </cfRule>
  </conditionalFormatting>
  <conditionalFormatting sqref="J148">
    <cfRule type="expression" dxfId="503" priority="1049">
      <formula>K148&lt;G148</formula>
    </cfRule>
    <cfRule type="expression" dxfId="502" priority="1050">
      <formula>K148&gt;G148</formula>
    </cfRule>
  </conditionalFormatting>
  <conditionalFormatting sqref="J150">
    <cfRule type="expression" dxfId="501" priority="1047">
      <formula>K150&lt;G150</formula>
    </cfRule>
    <cfRule type="expression" dxfId="500" priority="1048">
      <formula>K150&gt;G150</formula>
    </cfRule>
  </conditionalFormatting>
  <conditionalFormatting sqref="J149">
    <cfRule type="expression" dxfId="499" priority="1045">
      <formula>K149&lt;G149</formula>
    </cfRule>
    <cfRule type="expression" dxfId="498" priority="1046">
      <formula>K149&gt;G149</formula>
    </cfRule>
  </conditionalFormatting>
  <conditionalFormatting sqref="J152">
    <cfRule type="expression" dxfId="497" priority="1043">
      <formula>K152&lt;G152</formula>
    </cfRule>
    <cfRule type="expression" dxfId="496" priority="1044">
      <formula>K152&gt;G152</formula>
    </cfRule>
  </conditionalFormatting>
  <conditionalFormatting sqref="J154">
    <cfRule type="expression" dxfId="495" priority="1041">
      <formula>K154&lt;G154</formula>
    </cfRule>
    <cfRule type="expression" dxfId="494" priority="1042">
      <formula>K154&gt;G154</formula>
    </cfRule>
  </conditionalFormatting>
  <conditionalFormatting sqref="R74">
    <cfRule type="expression" dxfId="493" priority="785">
      <formula>S74&lt;O74</formula>
    </cfRule>
    <cfRule type="expression" dxfId="492" priority="786">
      <formula>S74&gt;O74</formula>
    </cfRule>
  </conditionalFormatting>
  <conditionalFormatting sqref="R76">
    <cfRule type="expression" dxfId="491" priority="783">
      <formula>S76&lt;O76</formula>
    </cfRule>
    <cfRule type="expression" dxfId="490" priority="784">
      <formula>S76&gt;O76</formula>
    </cfRule>
  </conditionalFormatting>
  <conditionalFormatting sqref="R75">
    <cfRule type="expression" dxfId="489" priority="781">
      <formula>S75&lt;O75</formula>
    </cfRule>
    <cfRule type="expression" dxfId="488" priority="782">
      <formula>S75&gt;O75</formula>
    </cfRule>
  </conditionalFormatting>
  <conditionalFormatting sqref="R78">
    <cfRule type="expression" dxfId="487" priority="779">
      <formula>S78&lt;O78</formula>
    </cfRule>
    <cfRule type="expression" dxfId="486" priority="780">
      <formula>S78&gt;O78</formula>
    </cfRule>
  </conditionalFormatting>
  <conditionalFormatting sqref="R79">
    <cfRule type="expression" dxfId="485" priority="775">
      <formula>S79&lt;O79</formula>
    </cfRule>
    <cfRule type="expression" dxfId="484" priority="776">
      <formula>S79&gt;O79</formula>
    </cfRule>
  </conditionalFormatting>
  <conditionalFormatting sqref="R83">
    <cfRule type="expression" dxfId="483" priority="773">
      <formula>S83&lt;O83</formula>
    </cfRule>
    <cfRule type="expression" dxfId="482" priority="774">
      <formula>S83&gt;O83</formula>
    </cfRule>
  </conditionalFormatting>
  <conditionalFormatting sqref="R85">
    <cfRule type="expression" dxfId="481" priority="771">
      <formula>S85&lt;O85</formula>
    </cfRule>
    <cfRule type="expression" dxfId="480" priority="772">
      <formula>S85&gt;O85</formula>
    </cfRule>
  </conditionalFormatting>
  <conditionalFormatting sqref="R84">
    <cfRule type="expression" dxfId="479" priority="769">
      <formula>S84&lt;O84</formula>
    </cfRule>
    <cfRule type="expression" dxfId="478" priority="770">
      <formula>S84&gt;O84</formula>
    </cfRule>
  </conditionalFormatting>
  <conditionalFormatting sqref="R87">
    <cfRule type="expression" dxfId="477" priority="767">
      <formula>S87&lt;O87</formula>
    </cfRule>
    <cfRule type="expression" dxfId="476" priority="768">
      <formula>S87&gt;O87</formula>
    </cfRule>
  </conditionalFormatting>
  <conditionalFormatting sqref="R89">
    <cfRule type="expression" dxfId="475" priority="765">
      <formula>S89&lt;O89</formula>
    </cfRule>
    <cfRule type="expression" dxfId="474" priority="766">
      <formula>S89&gt;O89</formula>
    </cfRule>
  </conditionalFormatting>
  <conditionalFormatting sqref="R88">
    <cfRule type="expression" dxfId="473" priority="763">
      <formula>S88&lt;O88</formula>
    </cfRule>
    <cfRule type="expression" dxfId="472" priority="764">
      <formula>S88&gt;O88</formula>
    </cfRule>
  </conditionalFormatting>
  <conditionalFormatting sqref="R92">
    <cfRule type="expression" dxfId="471" priority="761">
      <formula>S92&lt;O92</formula>
    </cfRule>
    <cfRule type="expression" dxfId="470" priority="762">
      <formula>S92&gt;O92</formula>
    </cfRule>
  </conditionalFormatting>
  <conditionalFormatting sqref="R94">
    <cfRule type="expression" dxfId="469" priority="759">
      <formula>S94&lt;O94</formula>
    </cfRule>
    <cfRule type="expression" dxfId="468" priority="760">
      <formula>S94&gt;O94</formula>
    </cfRule>
  </conditionalFormatting>
  <conditionalFormatting sqref="R93">
    <cfRule type="expression" dxfId="467" priority="757">
      <formula>S93&lt;O93</formula>
    </cfRule>
    <cfRule type="expression" dxfId="466" priority="758">
      <formula>S93&gt;O93</formula>
    </cfRule>
  </conditionalFormatting>
  <conditionalFormatting sqref="R96">
    <cfRule type="expression" dxfId="465" priority="755">
      <formula>S96&lt;O96</formula>
    </cfRule>
    <cfRule type="expression" dxfId="464" priority="756">
      <formula>S96&gt;O96</formula>
    </cfRule>
  </conditionalFormatting>
  <conditionalFormatting sqref="R97">
    <cfRule type="expression" dxfId="463" priority="751">
      <formula>S97&lt;O97</formula>
    </cfRule>
    <cfRule type="expression" dxfId="462" priority="752">
      <formula>S97&gt;O97</formula>
    </cfRule>
  </conditionalFormatting>
  <conditionalFormatting sqref="R80">
    <cfRule type="expression" dxfId="461" priority="467">
      <formula>S80&lt;O80</formula>
    </cfRule>
    <cfRule type="expression" dxfId="460" priority="468">
      <formula>S80&gt;O80</formula>
    </cfRule>
  </conditionalFormatting>
  <conditionalFormatting sqref="R98">
    <cfRule type="expression" dxfId="459" priority="461">
      <formula>S98&lt;O98</formula>
    </cfRule>
    <cfRule type="expression" dxfId="458" priority="462">
      <formula>S98&gt;O98</formula>
    </cfRule>
  </conditionalFormatting>
  <conditionalFormatting sqref="J18">
    <cfRule type="expression" dxfId="457" priority="457">
      <formula>K18&lt;G18</formula>
    </cfRule>
    <cfRule type="expression" dxfId="456" priority="458">
      <formula>K18&gt;G18</formula>
    </cfRule>
  </conditionalFormatting>
  <conditionalFormatting sqref="N153">
    <cfRule type="expression" dxfId="455" priority="421">
      <formula>O153&lt;K153</formula>
    </cfRule>
    <cfRule type="expression" dxfId="454" priority="422">
      <formula>O153&gt;K153</formula>
    </cfRule>
  </conditionalFormatting>
  <conditionalFormatting sqref="N130">
    <cfRule type="expression" dxfId="453" priority="455">
      <formula>O130&lt;K130</formula>
    </cfRule>
    <cfRule type="expression" dxfId="452" priority="456">
      <formula>O130&gt;K130</formula>
    </cfRule>
  </conditionalFormatting>
  <conditionalFormatting sqref="N132">
    <cfRule type="expression" dxfId="451" priority="453">
      <formula>O132&lt;K132</formula>
    </cfRule>
    <cfRule type="expression" dxfId="450" priority="454">
      <formula>O132&gt;K132</formula>
    </cfRule>
  </conditionalFormatting>
  <conditionalFormatting sqref="N131">
    <cfRule type="expression" dxfId="449" priority="451">
      <formula>O131&lt;K131</formula>
    </cfRule>
    <cfRule type="expression" dxfId="448" priority="452">
      <formula>O131&gt;K131</formula>
    </cfRule>
  </conditionalFormatting>
  <conditionalFormatting sqref="N134">
    <cfRule type="expression" dxfId="447" priority="449">
      <formula>O134&lt;K134</formula>
    </cfRule>
    <cfRule type="expression" dxfId="446" priority="450">
      <formula>O134&gt;K134</formula>
    </cfRule>
  </conditionalFormatting>
  <conditionalFormatting sqref="N136">
    <cfRule type="expression" dxfId="445" priority="447">
      <formula>O136&lt;K136</formula>
    </cfRule>
    <cfRule type="expression" dxfId="444" priority="448">
      <formula>O136&gt;K136</formula>
    </cfRule>
  </conditionalFormatting>
  <conditionalFormatting sqref="N135">
    <cfRule type="expression" dxfId="443" priority="445">
      <formula>O135&lt;K135</formula>
    </cfRule>
    <cfRule type="expression" dxfId="442" priority="446">
      <formula>O135&gt;K135</formula>
    </cfRule>
  </conditionalFormatting>
  <conditionalFormatting sqref="N139">
    <cfRule type="expression" dxfId="441" priority="443">
      <formula>O139&lt;K139</formula>
    </cfRule>
    <cfRule type="expression" dxfId="440" priority="444">
      <formula>O139&gt;K139</formula>
    </cfRule>
  </conditionalFormatting>
  <conditionalFormatting sqref="N141">
    <cfRule type="expression" dxfId="439" priority="441">
      <formula>O141&lt;K141</formula>
    </cfRule>
    <cfRule type="expression" dxfId="438" priority="442">
      <formula>O141&gt;K141</formula>
    </cfRule>
  </conditionalFormatting>
  <conditionalFormatting sqref="N140">
    <cfRule type="expression" dxfId="437" priority="439">
      <formula>O140&lt;K140</formula>
    </cfRule>
    <cfRule type="expression" dxfId="436" priority="440">
      <formula>O140&gt;K140</formula>
    </cfRule>
  </conditionalFormatting>
  <conditionalFormatting sqref="N143">
    <cfRule type="expression" dxfId="435" priority="437">
      <formula>O143&lt;K143</formula>
    </cfRule>
    <cfRule type="expression" dxfId="434" priority="438">
      <formula>O143&gt;K143</formula>
    </cfRule>
  </conditionalFormatting>
  <conditionalFormatting sqref="N145">
    <cfRule type="expression" dxfId="433" priority="435">
      <formula>O145&lt;K145</formula>
    </cfRule>
    <cfRule type="expression" dxfId="432" priority="436">
      <formula>O145&gt;K145</formula>
    </cfRule>
  </conditionalFormatting>
  <conditionalFormatting sqref="N144">
    <cfRule type="expression" dxfId="431" priority="433">
      <formula>O144&lt;K144</formula>
    </cfRule>
    <cfRule type="expression" dxfId="430" priority="434">
      <formula>O144&gt;K144</formula>
    </cfRule>
  </conditionalFormatting>
  <conditionalFormatting sqref="N148">
    <cfRule type="expression" dxfId="429" priority="431">
      <formula>O148&lt;K148</formula>
    </cfRule>
    <cfRule type="expression" dxfId="428" priority="432">
      <formula>O148&gt;K148</formula>
    </cfRule>
  </conditionalFormatting>
  <conditionalFormatting sqref="N150">
    <cfRule type="expression" dxfId="427" priority="429">
      <formula>O150&lt;K150</formula>
    </cfRule>
    <cfRule type="expression" dxfId="426" priority="430">
      <formula>O150&gt;K150</formula>
    </cfRule>
  </conditionalFormatting>
  <conditionalFormatting sqref="N149">
    <cfRule type="expression" dxfId="425" priority="427">
      <formula>O149&lt;K149</formula>
    </cfRule>
    <cfRule type="expression" dxfId="424" priority="428">
      <formula>O149&gt;K149</formula>
    </cfRule>
  </conditionalFormatting>
  <conditionalFormatting sqref="N152">
    <cfRule type="expression" dxfId="423" priority="425">
      <formula>O152&lt;K152</formula>
    </cfRule>
    <cfRule type="expression" dxfId="422" priority="426">
      <formula>O152&gt;K152</formula>
    </cfRule>
  </conditionalFormatting>
  <conditionalFormatting sqref="N154">
    <cfRule type="expression" dxfId="421" priority="423">
      <formula>O154&lt;K154</formula>
    </cfRule>
    <cfRule type="expression" dxfId="420" priority="424">
      <formula>O154&gt;K154</formula>
    </cfRule>
  </conditionalFormatting>
  <conditionalFormatting sqref="R153">
    <cfRule type="expression" dxfId="419" priority="385">
      <formula>S153&lt;O153</formula>
    </cfRule>
    <cfRule type="expression" dxfId="418" priority="386">
      <formula>S153&gt;O153</formula>
    </cfRule>
  </conditionalFormatting>
  <conditionalFormatting sqref="R130">
    <cfRule type="expression" dxfId="417" priority="419">
      <formula>S130&lt;O130</formula>
    </cfRule>
    <cfRule type="expression" dxfId="416" priority="420">
      <formula>S130&gt;O130</formula>
    </cfRule>
  </conditionalFormatting>
  <conditionalFormatting sqref="R132">
    <cfRule type="expression" dxfId="415" priority="417">
      <formula>S132&lt;O132</formula>
    </cfRule>
    <cfRule type="expression" dxfId="414" priority="418">
      <formula>S132&gt;O132</formula>
    </cfRule>
  </conditionalFormatting>
  <conditionalFormatting sqref="R131">
    <cfRule type="expression" dxfId="413" priority="415">
      <formula>S131&lt;O131</formula>
    </cfRule>
    <cfRule type="expression" dxfId="412" priority="416">
      <formula>S131&gt;O131</formula>
    </cfRule>
  </conditionalFormatting>
  <conditionalFormatting sqref="R134">
    <cfRule type="expression" dxfId="411" priority="413">
      <formula>S134&lt;O134</formula>
    </cfRule>
    <cfRule type="expression" dxfId="410" priority="414">
      <formula>S134&gt;O134</formula>
    </cfRule>
  </conditionalFormatting>
  <conditionalFormatting sqref="R136">
    <cfRule type="expression" dxfId="409" priority="411">
      <formula>S136&lt;O136</formula>
    </cfRule>
    <cfRule type="expression" dxfId="408" priority="412">
      <formula>S136&gt;O136</formula>
    </cfRule>
  </conditionalFormatting>
  <conditionalFormatting sqref="R135">
    <cfRule type="expression" dxfId="407" priority="409">
      <formula>S135&lt;O135</formula>
    </cfRule>
    <cfRule type="expression" dxfId="406" priority="410">
      <formula>S135&gt;O135</formula>
    </cfRule>
  </conditionalFormatting>
  <conditionalFormatting sqref="R139">
    <cfRule type="expression" dxfId="405" priority="407">
      <formula>S139&lt;O139</formula>
    </cfRule>
    <cfRule type="expression" dxfId="404" priority="408">
      <formula>S139&gt;O139</formula>
    </cfRule>
  </conditionalFormatting>
  <conditionalFormatting sqref="R141">
    <cfRule type="expression" dxfId="403" priority="405">
      <formula>S141&lt;O141</formula>
    </cfRule>
    <cfRule type="expression" dxfId="402" priority="406">
      <formula>S141&gt;O141</formula>
    </cfRule>
  </conditionalFormatting>
  <conditionalFormatting sqref="R140">
    <cfRule type="expression" dxfId="401" priority="403">
      <formula>S140&lt;O140</formula>
    </cfRule>
    <cfRule type="expression" dxfId="400" priority="404">
      <formula>S140&gt;O140</formula>
    </cfRule>
  </conditionalFormatting>
  <conditionalFormatting sqref="R143">
    <cfRule type="expression" dxfId="399" priority="401">
      <formula>S143&lt;O143</formula>
    </cfRule>
    <cfRule type="expression" dxfId="398" priority="402">
      <formula>S143&gt;O143</formula>
    </cfRule>
  </conditionalFormatting>
  <conditionalFormatting sqref="R145">
    <cfRule type="expression" dxfId="397" priority="399">
      <formula>S145&lt;O145</formula>
    </cfRule>
    <cfRule type="expression" dxfId="396" priority="400">
      <formula>S145&gt;O145</formula>
    </cfRule>
  </conditionalFormatting>
  <conditionalFormatting sqref="R144">
    <cfRule type="expression" dxfId="395" priority="397">
      <formula>S144&lt;O144</formula>
    </cfRule>
    <cfRule type="expression" dxfId="394" priority="398">
      <formula>S144&gt;O144</formula>
    </cfRule>
  </conditionalFormatting>
  <conditionalFormatting sqref="R148">
    <cfRule type="expression" dxfId="393" priority="395">
      <formula>S148&lt;O148</formula>
    </cfRule>
    <cfRule type="expression" dxfId="392" priority="396">
      <formula>S148&gt;O148</formula>
    </cfRule>
  </conditionalFormatting>
  <conditionalFormatting sqref="R150">
    <cfRule type="expression" dxfId="391" priority="393">
      <formula>S150&lt;O150</formula>
    </cfRule>
    <cfRule type="expression" dxfId="390" priority="394">
      <formula>S150&gt;O150</formula>
    </cfRule>
  </conditionalFormatting>
  <conditionalFormatting sqref="R149">
    <cfRule type="expression" dxfId="389" priority="391">
      <formula>S149&lt;O149</formula>
    </cfRule>
    <cfRule type="expression" dxfId="388" priority="392">
      <formula>S149&gt;O149</formula>
    </cfRule>
  </conditionalFormatting>
  <conditionalFormatting sqref="R152">
    <cfRule type="expression" dxfId="387" priority="389">
      <formula>S152&lt;O152</formula>
    </cfRule>
    <cfRule type="expression" dxfId="386" priority="390">
      <formula>S152&gt;O152</formula>
    </cfRule>
  </conditionalFormatting>
  <conditionalFormatting sqref="R154">
    <cfRule type="expression" dxfId="385" priority="387">
      <formula>S154&lt;O154</formula>
    </cfRule>
    <cfRule type="expression" dxfId="384" priority="388">
      <formula>S154&gt;O154</formula>
    </cfRule>
  </conditionalFormatting>
  <conditionalFormatting sqref="V153">
    <cfRule type="expression" dxfId="383" priority="349">
      <formula>W153&lt;S153</formula>
    </cfRule>
    <cfRule type="expression" dxfId="382" priority="350">
      <formula>W153&gt;S153</formula>
    </cfRule>
  </conditionalFormatting>
  <conditionalFormatting sqref="V130">
    <cfRule type="expression" dxfId="381" priority="383">
      <formula>W130&lt;S130</formula>
    </cfRule>
    <cfRule type="expression" dxfId="380" priority="384">
      <formula>W130&gt;S130</formula>
    </cfRule>
  </conditionalFormatting>
  <conditionalFormatting sqref="V132">
    <cfRule type="expression" dxfId="379" priority="381">
      <formula>W132&lt;S132</formula>
    </cfRule>
    <cfRule type="expression" dxfId="378" priority="382">
      <formula>W132&gt;S132</formula>
    </cfRule>
  </conditionalFormatting>
  <conditionalFormatting sqref="V131">
    <cfRule type="expression" dxfId="377" priority="379">
      <formula>W131&lt;S131</formula>
    </cfRule>
    <cfRule type="expression" dxfId="376" priority="380">
      <formula>W131&gt;S131</formula>
    </cfRule>
  </conditionalFormatting>
  <conditionalFormatting sqref="V134">
    <cfRule type="expression" dxfId="375" priority="377">
      <formula>W134&lt;S134</formula>
    </cfRule>
    <cfRule type="expression" dxfId="374" priority="378">
      <formula>W134&gt;S134</formula>
    </cfRule>
  </conditionalFormatting>
  <conditionalFormatting sqref="V136">
    <cfRule type="expression" dxfId="373" priority="375">
      <formula>W136&lt;S136</formula>
    </cfRule>
    <cfRule type="expression" dxfId="372" priority="376">
      <formula>W136&gt;S136</formula>
    </cfRule>
  </conditionalFormatting>
  <conditionalFormatting sqref="V135">
    <cfRule type="expression" dxfId="371" priority="373">
      <formula>W135&lt;S135</formula>
    </cfRule>
    <cfRule type="expression" dxfId="370" priority="374">
      <formula>W135&gt;S135</formula>
    </cfRule>
  </conditionalFormatting>
  <conditionalFormatting sqref="V139">
    <cfRule type="expression" dxfId="369" priority="371">
      <formula>W139&lt;S139</formula>
    </cfRule>
    <cfRule type="expression" dxfId="368" priority="372">
      <formula>W139&gt;S139</formula>
    </cfRule>
  </conditionalFormatting>
  <conditionalFormatting sqref="V141">
    <cfRule type="expression" dxfId="367" priority="369">
      <formula>W141&lt;S141</formula>
    </cfRule>
    <cfRule type="expression" dxfId="366" priority="370">
      <formula>W141&gt;S141</formula>
    </cfRule>
  </conditionalFormatting>
  <conditionalFormatting sqref="V140">
    <cfRule type="expression" dxfId="365" priority="367">
      <formula>W140&lt;S140</formula>
    </cfRule>
    <cfRule type="expression" dxfId="364" priority="368">
      <formula>W140&gt;S140</formula>
    </cfRule>
  </conditionalFormatting>
  <conditionalFormatting sqref="V143">
    <cfRule type="expression" dxfId="363" priority="365">
      <formula>W143&lt;S143</formula>
    </cfRule>
    <cfRule type="expression" dxfId="362" priority="366">
      <formula>W143&gt;S143</formula>
    </cfRule>
  </conditionalFormatting>
  <conditionalFormatting sqref="V145">
    <cfRule type="expression" dxfId="361" priority="363">
      <formula>W145&lt;S145</formula>
    </cfRule>
    <cfRule type="expression" dxfId="360" priority="364">
      <formula>W145&gt;S145</formula>
    </cfRule>
  </conditionalFormatting>
  <conditionalFormatting sqref="V144">
    <cfRule type="expression" dxfId="359" priority="361">
      <formula>W144&lt;S144</formula>
    </cfRule>
    <cfRule type="expression" dxfId="358" priority="362">
      <formula>W144&gt;S144</formula>
    </cfRule>
  </conditionalFormatting>
  <conditionalFormatting sqref="V148">
    <cfRule type="expression" dxfId="357" priority="359">
      <formula>W148&lt;S148</formula>
    </cfRule>
    <cfRule type="expression" dxfId="356" priority="360">
      <formula>W148&gt;S148</formula>
    </cfRule>
  </conditionalFormatting>
  <conditionalFormatting sqref="V150">
    <cfRule type="expression" dxfId="355" priority="357">
      <formula>W150&lt;S150</formula>
    </cfRule>
    <cfRule type="expression" dxfId="354" priority="358">
      <formula>W150&gt;S150</formula>
    </cfRule>
  </conditionalFormatting>
  <conditionalFormatting sqref="V149">
    <cfRule type="expression" dxfId="353" priority="355">
      <formula>W149&lt;S149</formula>
    </cfRule>
    <cfRule type="expression" dxfId="352" priority="356">
      <formula>W149&gt;S149</formula>
    </cfRule>
  </conditionalFormatting>
  <conditionalFormatting sqref="V152">
    <cfRule type="expression" dxfId="351" priority="353">
      <formula>W152&lt;S152</formula>
    </cfRule>
    <cfRule type="expression" dxfId="350" priority="354">
      <formula>W152&gt;S152</formula>
    </cfRule>
  </conditionalFormatting>
  <conditionalFormatting sqref="V154">
    <cfRule type="expression" dxfId="349" priority="351">
      <formula>W154&lt;S154</formula>
    </cfRule>
    <cfRule type="expression" dxfId="348" priority="352">
      <formula>W154&gt;S154</formula>
    </cfRule>
  </conditionalFormatting>
  <conditionalFormatting sqref="N102">
    <cfRule type="expression" dxfId="347" priority="347">
      <formula>O102&lt;K102</formula>
    </cfRule>
    <cfRule type="expression" dxfId="346" priority="348">
      <formula>O102&gt;K102</formula>
    </cfRule>
  </conditionalFormatting>
  <conditionalFormatting sqref="N104">
    <cfRule type="expression" dxfId="345" priority="345">
      <formula>O104&lt;K104</formula>
    </cfRule>
    <cfRule type="expression" dxfId="344" priority="346">
      <formula>O104&gt;K104</formula>
    </cfRule>
  </conditionalFormatting>
  <conditionalFormatting sqref="N103">
    <cfRule type="expression" dxfId="343" priority="343">
      <formula>O103&lt;K103</formula>
    </cfRule>
    <cfRule type="expression" dxfId="342" priority="344">
      <formula>O103&gt;K103</formula>
    </cfRule>
  </conditionalFormatting>
  <conditionalFormatting sqref="N106">
    <cfRule type="expression" dxfId="341" priority="341">
      <formula>O106&lt;K106</formula>
    </cfRule>
    <cfRule type="expression" dxfId="340" priority="342">
      <formula>O106&gt;K106</formula>
    </cfRule>
  </conditionalFormatting>
  <conditionalFormatting sqref="N108">
    <cfRule type="expression" dxfId="339" priority="339">
      <formula>O108&lt;K108</formula>
    </cfRule>
    <cfRule type="expression" dxfId="338" priority="340">
      <formula>O108&gt;K108</formula>
    </cfRule>
  </conditionalFormatting>
  <conditionalFormatting sqref="N107">
    <cfRule type="expression" dxfId="337" priority="337">
      <formula>O107&lt;K107</formula>
    </cfRule>
    <cfRule type="expression" dxfId="336" priority="338">
      <formula>O107&gt;K107</formula>
    </cfRule>
  </conditionalFormatting>
  <conditionalFormatting sqref="N111">
    <cfRule type="expression" dxfId="335" priority="335">
      <formula>O111&lt;K111</formula>
    </cfRule>
    <cfRule type="expression" dxfId="334" priority="336">
      <formula>O111&gt;K111</formula>
    </cfRule>
  </conditionalFormatting>
  <conditionalFormatting sqref="N113">
    <cfRule type="expression" dxfId="333" priority="333">
      <formula>O113&lt;K113</formula>
    </cfRule>
    <cfRule type="expression" dxfId="332" priority="334">
      <formula>O113&gt;K113</formula>
    </cfRule>
  </conditionalFormatting>
  <conditionalFormatting sqref="N112">
    <cfRule type="expression" dxfId="331" priority="331">
      <formula>O112&lt;K112</formula>
    </cfRule>
    <cfRule type="expression" dxfId="330" priority="332">
      <formula>O112&gt;K112</formula>
    </cfRule>
  </conditionalFormatting>
  <conditionalFormatting sqref="N115">
    <cfRule type="expression" dxfId="329" priority="329">
      <formula>O115&lt;K115</formula>
    </cfRule>
    <cfRule type="expression" dxfId="328" priority="330">
      <formula>O115&gt;K115</formula>
    </cfRule>
  </conditionalFormatting>
  <conditionalFormatting sqref="N117">
    <cfRule type="expression" dxfId="327" priority="327">
      <formula>O117&lt;K117</formula>
    </cfRule>
    <cfRule type="expression" dxfId="326" priority="328">
      <formula>O117&gt;K117</formula>
    </cfRule>
  </conditionalFormatting>
  <conditionalFormatting sqref="N116">
    <cfRule type="expression" dxfId="325" priority="325">
      <formula>O116&lt;K116</formula>
    </cfRule>
    <cfRule type="expression" dxfId="324" priority="326">
      <formula>O116&gt;K116</formula>
    </cfRule>
  </conditionalFormatting>
  <conditionalFormatting sqref="N120">
    <cfRule type="expression" dxfId="323" priority="323">
      <formula>O120&lt;K120</formula>
    </cfRule>
    <cfRule type="expression" dxfId="322" priority="324">
      <formula>O120&gt;K120</formula>
    </cfRule>
  </conditionalFormatting>
  <conditionalFormatting sqref="N122">
    <cfRule type="expression" dxfId="321" priority="321">
      <formula>O122&lt;K122</formula>
    </cfRule>
    <cfRule type="expression" dxfId="320" priority="322">
      <formula>O122&gt;K122</formula>
    </cfRule>
  </conditionalFormatting>
  <conditionalFormatting sqref="N121">
    <cfRule type="expression" dxfId="319" priority="319">
      <formula>O121&lt;K121</formula>
    </cfRule>
    <cfRule type="expression" dxfId="318" priority="320">
      <formula>O121&gt;K121</formula>
    </cfRule>
  </conditionalFormatting>
  <conditionalFormatting sqref="N124">
    <cfRule type="expression" dxfId="317" priority="317">
      <formula>O124&lt;K124</formula>
    </cfRule>
    <cfRule type="expression" dxfId="316" priority="318">
      <formula>O124&gt;K124</formula>
    </cfRule>
  </conditionalFormatting>
  <conditionalFormatting sqref="N126">
    <cfRule type="expression" dxfId="315" priority="315">
      <formula>O126&lt;K126</formula>
    </cfRule>
    <cfRule type="expression" dxfId="314" priority="316">
      <formula>O126&gt;K126</formula>
    </cfRule>
  </conditionalFormatting>
  <conditionalFormatting sqref="N125">
    <cfRule type="expression" dxfId="313" priority="313">
      <formula>O125&lt;K125</formula>
    </cfRule>
    <cfRule type="expression" dxfId="312" priority="314">
      <formula>O125&gt;K125</formula>
    </cfRule>
  </conditionalFormatting>
  <conditionalFormatting sqref="R102">
    <cfRule type="expression" dxfId="311" priority="311">
      <formula>S102&lt;O102</formula>
    </cfRule>
    <cfRule type="expression" dxfId="310" priority="312">
      <formula>S102&gt;O102</formula>
    </cfRule>
  </conditionalFormatting>
  <conditionalFormatting sqref="R104">
    <cfRule type="expression" dxfId="309" priority="309">
      <formula>S104&lt;O104</formula>
    </cfRule>
    <cfRule type="expression" dxfId="308" priority="310">
      <formula>S104&gt;O104</formula>
    </cfRule>
  </conditionalFormatting>
  <conditionalFormatting sqref="R103">
    <cfRule type="expression" dxfId="307" priority="307">
      <formula>S103&lt;O103</formula>
    </cfRule>
    <cfRule type="expression" dxfId="306" priority="308">
      <formula>S103&gt;O103</formula>
    </cfRule>
  </conditionalFormatting>
  <conditionalFormatting sqref="R106">
    <cfRule type="expression" dxfId="305" priority="305">
      <formula>S106&lt;O106</formula>
    </cfRule>
    <cfRule type="expression" dxfId="304" priority="306">
      <formula>S106&gt;O106</formula>
    </cfRule>
  </conditionalFormatting>
  <conditionalFormatting sqref="R108">
    <cfRule type="expression" dxfId="303" priority="303">
      <formula>S108&lt;O108</formula>
    </cfRule>
    <cfRule type="expression" dxfId="302" priority="304">
      <formula>S108&gt;O108</formula>
    </cfRule>
  </conditionalFormatting>
  <conditionalFormatting sqref="R107">
    <cfRule type="expression" dxfId="301" priority="301">
      <formula>S107&lt;O107</formula>
    </cfRule>
    <cfRule type="expression" dxfId="300" priority="302">
      <formula>S107&gt;O107</formula>
    </cfRule>
  </conditionalFormatting>
  <conditionalFormatting sqref="R111">
    <cfRule type="expression" dxfId="299" priority="299">
      <formula>S111&lt;O111</formula>
    </cfRule>
    <cfRule type="expression" dxfId="298" priority="300">
      <formula>S111&gt;O111</formula>
    </cfRule>
  </conditionalFormatting>
  <conditionalFormatting sqref="R113">
    <cfRule type="expression" dxfId="297" priority="297">
      <formula>S113&lt;O113</formula>
    </cfRule>
    <cfRule type="expression" dxfId="296" priority="298">
      <formula>S113&gt;O113</formula>
    </cfRule>
  </conditionalFormatting>
  <conditionalFormatting sqref="R112">
    <cfRule type="expression" dxfId="295" priority="295">
      <formula>S112&lt;O112</formula>
    </cfRule>
    <cfRule type="expression" dxfId="294" priority="296">
      <formula>S112&gt;O112</formula>
    </cfRule>
  </conditionalFormatting>
  <conditionalFormatting sqref="R115">
    <cfRule type="expression" dxfId="293" priority="293">
      <formula>S115&lt;O115</formula>
    </cfRule>
    <cfRule type="expression" dxfId="292" priority="294">
      <formula>S115&gt;O115</formula>
    </cfRule>
  </conditionalFormatting>
  <conditionalFormatting sqref="R117">
    <cfRule type="expression" dxfId="291" priority="291">
      <formula>S117&lt;O117</formula>
    </cfRule>
    <cfRule type="expression" dxfId="290" priority="292">
      <formula>S117&gt;O117</formula>
    </cfRule>
  </conditionalFormatting>
  <conditionalFormatting sqref="R116">
    <cfRule type="expression" dxfId="289" priority="289">
      <formula>S116&lt;O116</formula>
    </cfRule>
    <cfRule type="expression" dxfId="288" priority="290">
      <formula>S116&gt;O116</formula>
    </cfRule>
  </conditionalFormatting>
  <conditionalFormatting sqref="R120">
    <cfRule type="expression" dxfId="287" priority="287">
      <formula>S120&lt;O120</formula>
    </cfRule>
    <cfRule type="expression" dxfId="286" priority="288">
      <formula>S120&gt;O120</formula>
    </cfRule>
  </conditionalFormatting>
  <conditionalFormatting sqref="R122">
    <cfRule type="expression" dxfId="285" priority="285">
      <formula>S122&lt;O122</formula>
    </cfRule>
    <cfRule type="expression" dxfId="284" priority="286">
      <formula>S122&gt;O122</formula>
    </cfRule>
  </conditionalFormatting>
  <conditionalFormatting sqref="R121">
    <cfRule type="expression" dxfId="283" priority="283">
      <formula>S121&lt;O121</formula>
    </cfRule>
    <cfRule type="expression" dxfId="282" priority="284">
      <formula>S121&gt;O121</formula>
    </cfRule>
  </conditionalFormatting>
  <conditionalFormatting sqref="R124">
    <cfRule type="expression" dxfId="281" priority="281">
      <formula>S124&lt;O124</formula>
    </cfRule>
    <cfRule type="expression" dxfId="280" priority="282">
      <formula>S124&gt;O124</formula>
    </cfRule>
  </conditionalFormatting>
  <conditionalFormatting sqref="R126">
    <cfRule type="expression" dxfId="279" priority="279">
      <formula>S126&lt;O126</formula>
    </cfRule>
    <cfRule type="expression" dxfId="278" priority="280">
      <formula>S126&gt;O126</formula>
    </cfRule>
  </conditionalFormatting>
  <conditionalFormatting sqref="R125">
    <cfRule type="expression" dxfId="277" priority="277">
      <formula>S125&lt;O125</formula>
    </cfRule>
    <cfRule type="expression" dxfId="276" priority="278">
      <formula>S125&gt;O125</formula>
    </cfRule>
  </conditionalFormatting>
  <conditionalFormatting sqref="V102">
    <cfRule type="expression" dxfId="275" priority="275">
      <formula>W102&lt;S102</formula>
    </cfRule>
    <cfRule type="expression" dxfId="274" priority="276">
      <formula>W102&gt;S102</formula>
    </cfRule>
  </conditionalFormatting>
  <conditionalFormatting sqref="V104">
    <cfRule type="expression" dxfId="273" priority="273">
      <formula>W104&lt;S104</formula>
    </cfRule>
    <cfRule type="expression" dxfId="272" priority="274">
      <formula>W104&gt;S104</formula>
    </cfRule>
  </conditionalFormatting>
  <conditionalFormatting sqref="V103">
    <cfRule type="expression" dxfId="271" priority="271">
      <formula>W103&lt;S103</formula>
    </cfRule>
    <cfRule type="expression" dxfId="270" priority="272">
      <formula>W103&gt;S103</formula>
    </cfRule>
  </conditionalFormatting>
  <conditionalFormatting sqref="V106">
    <cfRule type="expression" dxfId="269" priority="269">
      <formula>W106&lt;S106</formula>
    </cfRule>
    <cfRule type="expression" dxfId="268" priority="270">
      <formula>W106&gt;S106</formula>
    </cfRule>
  </conditionalFormatting>
  <conditionalFormatting sqref="V108">
    <cfRule type="expression" dxfId="267" priority="267">
      <formula>W108&lt;S108</formula>
    </cfRule>
    <cfRule type="expression" dxfId="266" priority="268">
      <formula>W108&gt;S108</formula>
    </cfRule>
  </conditionalFormatting>
  <conditionalFormatting sqref="V107">
    <cfRule type="expression" dxfId="265" priority="265">
      <formula>W107&lt;S107</formula>
    </cfRule>
    <cfRule type="expression" dxfId="264" priority="266">
      <formula>W107&gt;S107</formula>
    </cfRule>
  </conditionalFormatting>
  <conditionalFormatting sqref="V111">
    <cfRule type="expression" dxfId="263" priority="263">
      <formula>W111&lt;S111</formula>
    </cfRule>
    <cfRule type="expression" dxfId="262" priority="264">
      <formula>W111&gt;S111</formula>
    </cfRule>
  </conditionalFormatting>
  <conditionalFormatting sqref="V113">
    <cfRule type="expression" dxfId="261" priority="261">
      <formula>W113&lt;S113</formula>
    </cfRule>
    <cfRule type="expression" dxfId="260" priority="262">
      <formula>W113&gt;S113</formula>
    </cfRule>
  </conditionalFormatting>
  <conditionalFormatting sqref="V112">
    <cfRule type="expression" dxfId="259" priority="259">
      <formula>W112&lt;S112</formula>
    </cfRule>
    <cfRule type="expression" dxfId="258" priority="260">
      <formula>W112&gt;S112</formula>
    </cfRule>
  </conditionalFormatting>
  <conditionalFormatting sqref="V115">
    <cfRule type="expression" dxfId="257" priority="257">
      <formula>W115&lt;S115</formula>
    </cfRule>
    <cfRule type="expression" dxfId="256" priority="258">
      <formula>W115&gt;S115</formula>
    </cfRule>
  </conditionalFormatting>
  <conditionalFormatting sqref="V117">
    <cfRule type="expression" dxfId="255" priority="255">
      <formula>W117&lt;S117</formula>
    </cfRule>
    <cfRule type="expression" dxfId="254" priority="256">
      <formula>W117&gt;S117</formula>
    </cfRule>
  </conditionalFormatting>
  <conditionalFormatting sqref="V116">
    <cfRule type="expression" dxfId="253" priority="253">
      <formula>W116&lt;S116</formula>
    </cfRule>
    <cfRule type="expression" dxfId="252" priority="254">
      <formula>W116&gt;S116</formula>
    </cfRule>
  </conditionalFormatting>
  <conditionalFormatting sqref="V120">
    <cfRule type="expression" dxfId="251" priority="251">
      <formula>W120&lt;S120</formula>
    </cfRule>
    <cfRule type="expression" dxfId="250" priority="252">
      <formula>W120&gt;S120</formula>
    </cfRule>
  </conditionalFormatting>
  <conditionalFormatting sqref="V122">
    <cfRule type="expression" dxfId="249" priority="249">
      <formula>W122&lt;S122</formula>
    </cfRule>
    <cfRule type="expression" dxfId="248" priority="250">
      <formula>W122&gt;S122</formula>
    </cfRule>
  </conditionalFormatting>
  <conditionalFormatting sqref="V121">
    <cfRule type="expression" dxfId="247" priority="247">
      <formula>W121&lt;S121</formula>
    </cfRule>
    <cfRule type="expression" dxfId="246" priority="248">
      <formula>W121&gt;S121</formula>
    </cfRule>
  </conditionalFormatting>
  <conditionalFormatting sqref="V124">
    <cfRule type="expression" dxfId="245" priority="245">
      <formula>W124&lt;S124</formula>
    </cfRule>
    <cfRule type="expression" dxfId="244" priority="246">
      <formula>W124&gt;S124</formula>
    </cfRule>
  </conditionalFormatting>
  <conditionalFormatting sqref="V126">
    <cfRule type="expression" dxfId="243" priority="243">
      <formula>W126&lt;S126</formula>
    </cfRule>
    <cfRule type="expression" dxfId="242" priority="244">
      <formula>W126&gt;S126</formula>
    </cfRule>
  </conditionalFormatting>
  <conditionalFormatting sqref="V125">
    <cfRule type="expression" dxfId="241" priority="241">
      <formula>W125&lt;S125</formula>
    </cfRule>
    <cfRule type="expression" dxfId="240" priority="242">
      <formula>W125&gt;S125</formula>
    </cfRule>
  </conditionalFormatting>
  <conditionalFormatting sqref="V74">
    <cfRule type="expression" dxfId="239" priority="239">
      <formula>W74&lt;S74</formula>
    </cfRule>
    <cfRule type="expression" dxfId="238" priority="240">
      <formula>W74&gt;S74</formula>
    </cfRule>
  </conditionalFormatting>
  <conditionalFormatting sqref="V76">
    <cfRule type="expression" dxfId="237" priority="237">
      <formula>W76&lt;S76</formula>
    </cfRule>
    <cfRule type="expression" dxfId="236" priority="238">
      <formula>W76&gt;S76</formula>
    </cfRule>
  </conditionalFormatting>
  <conditionalFormatting sqref="V75">
    <cfRule type="expression" dxfId="235" priority="235">
      <formula>W75&lt;S75</formula>
    </cfRule>
    <cfRule type="expression" dxfId="234" priority="236">
      <formula>W75&gt;S75</formula>
    </cfRule>
  </conditionalFormatting>
  <conditionalFormatting sqref="V78">
    <cfRule type="expression" dxfId="233" priority="233">
      <formula>W78&lt;S78</formula>
    </cfRule>
    <cfRule type="expression" dxfId="232" priority="234">
      <formula>W78&gt;S78</formula>
    </cfRule>
  </conditionalFormatting>
  <conditionalFormatting sqref="V79">
    <cfRule type="expression" dxfId="231" priority="231">
      <formula>W79&lt;S79</formula>
    </cfRule>
    <cfRule type="expression" dxfId="230" priority="232">
      <formula>W79&gt;S79</formula>
    </cfRule>
  </conditionalFormatting>
  <conditionalFormatting sqref="V83">
    <cfRule type="expression" dxfId="229" priority="229">
      <formula>W83&lt;S83</formula>
    </cfRule>
    <cfRule type="expression" dxfId="228" priority="230">
      <formula>W83&gt;S83</formula>
    </cfRule>
  </conditionalFormatting>
  <conditionalFormatting sqref="V85">
    <cfRule type="expression" dxfId="227" priority="227">
      <formula>W85&lt;S85</formula>
    </cfRule>
    <cfRule type="expression" dxfId="226" priority="228">
      <formula>W85&gt;S85</formula>
    </cfRule>
  </conditionalFormatting>
  <conditionalFormatting sqref="V84">
    <cfRule type="expression" dxfId="225" priority="225">
      <formula>W84&lt;S84</formula>
    </cfRule>
    <cfRule type="expression" dxfId="224" priority="226">
      <formula>W84&gt;S84</formula>
    </cfRule>
  </conditionalFormatting>
  <conditionalFormatting sqref="V87">
    <cfRule type="expression" dxfId="223" priority="223">
      <formula>W87&lt;S87</formula>
    </cfRule>
    <cfRule type="expression" dxfId="222" priority="224">
      <formula>W87&gt;S87</formula>
    </cfRule>
  </conditionalFormatting>
  <conditionalFormatting sqref="V89">
    <cfRule type="expression" dxfId="221" priority="221">
      <formula>W89&lt;S89</formula>
    </cfRule>
    <cfRule type="expression" dxfId="220" priority="222">
      <formula>W89&gt;S89</formula>
    </cfRule>
  </conditionalFormatting>
  <conditionalFormatting sqref="V88">
    <cfRule type="expression" dxfId="219" priority="219">
      <formula>W88&lt;S88</formula>
    </cfRule>
    <cfRule type="expression" dxfId="218" priority="220">
      <formula>W88&gt;S88</formula>
    </cfRule>
  </conditionalFormatting>
  <conditionalFormatting sqref="V92">
    <cfRule type="expression" dxfId="217" priority="217">
      <formula>W92&lt;S92</formula>
    </cfRule>
    <cfRule type="expression" dxfId="216" priority="218">
      <formula>W92&gt;S92</formula>
    </cfRule>
  </conditionalFormatting>
  <conditionalFormatting sqref="V94">
    <cfRule type="expression" dxfId="215" priority="215">
      <formula>W94&lt;S94</formula>
    </cfRule>
    <cfRule type="expression" dxfId="214" priority="216">
      <formula>W94&gt;S94</formula>
    </cfRule>
  </conditionalFormatting>
  <conditionalFormatting sqref="V93">
    <cfRule type="expression" dxfId="213" priority="213">
      <formula>W93&lt;S93</formula>
    </cfRule>
    <cfRule type="expression" dxfId="212" priority="214">
      <formula>W93&gt;S93</formula>
    </cfRule>
  </conditionalFormatting>
  <conditionalFormatting sqref="V96">
    <cfRule type="expression" dxfId="211" priority="211">
      <formula>W96&lt;S96</formula>
    </cfRule>
    <cfRule type="expression" dxfId="210" priority="212">
      <formula>W96&gt;S96</formula>
    </cfRule>
  </conditionalFormatting>
  <conditionalFormatting sqref="V97">
    <cfRule type="expression" dxfId="209" priority="209">
      <formula>W97&lt;S97</formula>
    </cfRule>
    <cfRule type="expression" dxfId="208" priority="210">
      <formula>W97&gt;S97</formula>
    </cfRule>
  </conditionalFormatting>
  <conditionalFormatting sqref="V80">
    <cfRule type="expression" dxfId="207" priority="207">
      <formula>W80&lt;S80</formula>
    </cfRule>
    <cfRule type="expression" dxfId="206" priority="208">
      <formula>W80&gt;S80</formula>
    </cfRule>
  </conditionalFormatting>
  <conditionalFormatting sqref="V98">
    <cfRule type="expression" dxfId="205" priority="205">
      <formula>W98&lt;S98</formula>
    </cfRule>
    <cfRule type="expression" dxfId="204" priority="206">
      <formula>W98&gt;S98</formula>
    </cfRule>
  </conditionalFormatting>
  <conditionalFormatting sqref="N46">
    <cfRule type="expression" dxfId="203" priority="203">
      <formula>O46&lt;K46</formula>
    </cfRule>
    <cfRule type="expression" dxfId="202" priority="204">
      <formula>O46&gt;K46</formula>
    </cfRule>
  </conditionalFormatting>
  <conditionalFormatting sqref="N48">
    <cfRule type="expression" dxfId="201" priority="201">
      <formula>O48&lt;K48</formula>
    </cfRule>
    <cfRule type="expression" dxfId="200" priority="202">
      <formula>O48&gt;K48</formula>
    </cfRule>
  </conditionalFormatting>
  <conditionalFormatting sqref="N47">
    <cfRule type="expression" dxfId="199" priority="199">
      <formula>O47&lt;K47</formula>
    </cfRule>
    <cfRule type="expression" dxfId="198" priority="200">
      <formula>O47&gt;K47</formula>
    </cfRule>
  </conditionalFormatting>
  <conditionalFormatting sqref="N50">
    <cfRule type="expression" dxfId="197" priority="197">
      <formula>O50&lt;K50</formula>
    </cfRule>
    <cfRule type="expression" dxfId="196" priority="198">
      <formula>O50&gt;K50</formula>
    </cfRule>
  </conditionalFormatting>
  <conditionalFormatting sqref="N52">
    <cfRule type="expression" dxfId="195" priority="195">
      <formula>O52&lt;K52</formula>
    </cfRule>
    <cfRule type="expression" dxfId="194" priority="196">
      <formula>O52&gt;K52</formula>
    </cfRule>
  </conditionalFormatting>
  <conditionalFormatting sqref="N51">
    <cfRule type="expression" dxfId="193" priority="193">
      <formula>O51&lt;K51</formula>
    </cfRule>
    <cfRule type="expression" dxfId="192" priority="194">
      <formula>O51&gt;K51</formula>
    </cfRule>
  </conditionalFormatting>
  <conditionalFormatting sqref="N55:N56">
    <cfRule type="expression" dxfId="191" priority="191">
      <formula>O55&lt;K55</formula>
    </cfRule>
    <cfRule type="expression" dxfId="190" priority="192">
      <formula>O55&gt;K55</formula>
    </cfRule>
  </conditionalFormatting>
  <conditionalFormatting sqref="N57">
    <cfRule type="expression" dxfId="189" priority="189">
      <formula>O57&lt;K57</formula>
    </cfRule>
    <cfRule type="expression" dxfId="188" priority="190">
      <formula>O57&gt;K57</formula>
    </cfRule>
  </conditionalFormatting>
  <conditionalFormatting sqref="N59">
    <cfRule type="expression" dxfId="187" priority="187">
      <formula>O59&lt;K59</formula>
    </cfRule>
    <cfRule type="expression" dxfId="186" priority="188">
      <formula>O59&gt;K59</formula>
    </cfRule>
  </conditionalFormatting>
  <conditionalFormatting sqref="N61">
    <cfRule type="expression" dxfId="185" priority="185">
      <formula>O61&lt;K61</formula>
    </cfRule>
    <cfRule type="expression" dxfId="184" priority="186">
      <formula>O61&gt;K61</formula>
    </cfRule>
  </conditionalFormatting>
  <conditionalFormatting sqref="N60">
    <cfRule type="expression" dxfId="183" priority="183">
      <formula>O60&lt;K60</formula>
    </cfRule>
    <cfRule type="expression" dxfId="182" priority="184">
      <formula>O60&gt;K60</formula>
    </cfRule>
  </conditionalFormatting>
  <conditionalFormatting sqref="N64">
    <cfRule type="expression" dxfId="181" priority="181">
      <formula>O64&lt;K64</formula>
    </cfRule>
    <cfRule type="expression" dxfId="180" priority="182">
      <formula>O64&gt;K64</formula>
    </cfRule>
  </conditionalFormatting>
  <conditionalFormatting sqref="N66">
    <cfRule type="expression" dxfId="179" priority="179">
      <formula>O66&lt;K66</formula>
    </cfRule>
    <cfRule type="expression" dxfId="178" priority="180">
      <formula>O66&gt;K66</formula>
    </cfRule>
  </conditionalFormatting>
  <conditionalFormatting sqref="N65">
    <cfRule type="expression" dxfId="177" priority="177">
      <formula>O65&lt;K65</formula>
    </cfRule>
    <cfRule type="expression" dxfId="176" priority="178">
      <formula>O65&gt;K65</formula>
    </cfRule>
  </conditionalFormatting>
  <conditionalFormatting sqref="N68">
    <cfRule type="expression" dxfId="175" priority="175">
      <formula>O68&lt;K68</formula>
    </cfRule>
    <cfRule type="expression" dxfId="174" priority="176">
      <formula>O68&gt;K68</formula>
    </cfRule>
  </conditionalFormatting>
  <conditionalFormatting sqref="N70">
    <cfRule type="expression" dxfId="173" priority="173">
      <formula>O70&lt;K70</formula>
    </cfRule>
    <cfRule type="expression" dxfId="172" priority="174">
      <formula>O70&gt;K70</formula>
    </cfRule>
  </conditionalFormatting>
  <conditionalFormatting sqref="N69">
    <cfRule type="expression" dxfId="171" priority="171">
      <formula>O69&lt;K69</formula>
    </cfRule>
    <cfRule type="expression" dxfId="170" priority="172">
      <formula>O69&gt;K69</formula>
    </cfRule>
  </conditionalFormatting>
  <conditionalFormatting sqref="R46">
    <cfRule type="expression" dxfId="169" priority="169">
      <formula>S46&lt;O46</formula>
    </cfRule>
    <cfRule type="expression" dxfId="168" priority="170">
      <formula>S46&gt;O46</formula>
    </cfRule>
  </conditionalFormatting>
  <conditionalFormatting sqref="R48">
    <cfRule type="expression" dxfId="167" priority="167">
      <formula>S48&lt;O48</formula>
    </cfRule>
    <cfRule type="expression" dxfId="166" priority="168">
      <formula>S48&gt;O48</formula>
    </cfRule>
  </conditionalFormatting>
  <conditionalFormatting sqref="R47">
    <cfRule type="expression" dxfId="165" priority="165">
      <formula>S47&lt;O47</formula>
    </cfRule>
    <cfRule type="expression" dxfId="164" priority="166">
      <formula>S47&gt;O47</formula>
    </cfRule>
  </conditionalFormatting>
  <conditionalFormatting sqref="R50">
    <cfRule type="expression" dxfId="163" priority="163">
      <formula>S50&lt;O50</formula>
    </cfRule>
    <cfRule type="expression" dxfId="162" priority="164">
      <formula>S50&gt;O50</formula>
    </cfRule>
  </conditionalFormatting>
  <conditionalFormatting sqref="R52">
    <cfRule type="expression" dxfId="161" priority="161">
      <formula>S52&lt;O52</formula>
    </cfRule>
    <cfRule type="expression" dxfId="160" priority="162">
      <formula>S52&gt;O52</formula>
    </cfRule>
  </conditionalFormatting>
  <conditionalFormatting sqref="R51">
    <cfRule type="expression" dxfId="159" priority="159">
      <formula>S51&lt;O51</formula>
    </cfRule>
    <cfRule type="expression" dxfId="158" priority="160">
      <formula>S51&gt;O51</formula>
    </cfRule>
  </conditionalFormatting>
  <conditionalFormatting sqref="R55:R56">
    <cfRule type="expression" dxfId="157" priority="157">
      <formula>S55&lt;O55</formula>
    </cfRule>
    <cfRule type="expression" dxfId="156" priority="158">
      <formula>S55&gt;O55</formula>
    </cfRule>
  </conditionalFormatting>
  <conditionalFormatting sqref="R57">
    <cfRule type="expression" dxfId="155" priority="155">
      <formula>S57&lt;O57</formula>
    </cfRule>
    <cfRule type="expression" dxfId="154" priority="156">
      <formula>S57&gt;O57</formula>
    </cfRule>
  </conditionalFormatting>
  <conditionalFormatting sqref="R59">
    <cfRule type="expression" dxfId="153" priority="153">
      <formula>S59&lt;O59</formula>
    </cfRule>
    <cfRule type="expression" dxfId="152" priority="154">
      <formula>S59&gt;O59</formula>
    </cfRule>
  </conditionalFormatting>
  <conditionalFormatting sqref="R61">
    <cfRule type="expression" dxfId="151" priority="151">
      <formula>S61&lt;O61</formula>
    </cfRule>
    <cfRule type="expression" dxfId="150" priority="152">
      <formula>S61&gt;O61</formula>
    </cfRule>
  </conditionalFormatting>
  <conditionalFormatting sqref="R60">
    <cfRule type="expression" dxfId="149" priority="149">
      <formula>S60&lt;O60</formula>
    </cfRule>
    <cfRule type="expression" dxfId="148" priority="150">
      <formula>S60&gt;O60</formula>
    </cfRule>
  </conditionalFormatting>
  <conditionalFormatting sqref="R64">
    <cfRule type="expression" dxfId="147" priority="147">
      <formula>S64&lt;O64</formula>
    </cfRule>
    <cfRule type="expression" dxfId="146" priority="148">
      <formula>S64&gt;O64</formula>
    </cfRule>
  </conditionalFormatting>
  <conditionalFormatting sqref="R66">
    <cfRule type="expression" dxfId="145" priority="145">
      <formula>S66&lt;O66</formula>
    </cfRule>
    <cfRule type="expression" dxfId="144" priority="146">
      <formula>S66&gt;O66</formula>
    </cfRule>
  </conditionalFormatting>
  <conditionalFormatting sqref="R65">
    <cfRule type="expression" dxfId="143" priority="143">
      <formula>S65&lt;O65</formula>
    </cfRule>
    <cfRule type="expression" dxfId="142" priority="144">
      <formula>S65&gt;O65</formula>
    </cfRule>
  </conditionalFormatting>
  <conditionalFormatting sqref="R68">
    <cfRule type="expression" dxfId="141" priority="141">
      <formula>S68&lt;O68</formula>
    </cfRule>
    <cfRule type="expression" dxfId="140" priority="142">
      <formula>S68&gt;O68</formula>
    </cfRule>
  </conditionalFormatting>
  <conditionalFormatting sqref="R70">
    <cfRule type="expression" dxfId="139" priority="139">
      <formula>S70&lt;O70</formula>
    </cfRule>
    <cfRule type="expression" dxfId="138" priority="140">
      <formula>S70&gt;O70</formula>
    </cfRule>
  </conditionalFormatting>
  <conditionalFormatting sqref="R69">
    <cfRule type="expression" dxfId="137" priority="137">
      <formula>S69&lt;O69</formula>
    </cfRule>
    <cfRule type="expression" dxfId="136" priority="138">
      <formula>S69&gt;O69</formula>
    </cfRule>
  </conditionalFormatting>
  <conditionalFormatting sqref="V46">
    <cfRule type="expression" dxfId="135" priority="135">
      <formula>W46&lt;S46</formula>
    </cfRule>
    <cfRule type="expression" dxfId="134" priority="136">
      <formula>W46&gt;S46</formula>
    </cfRule>
  </conditionalFormatting>
  <conditionalFormatting sqref="V48">
    <cfRule type="expression" dxfId="133" priority="133">
      <formula>W48&lt;S48</formula>
    </cfRule>
    <cfRule type="expression" dxfId="132" priority="134">
      <formula>W48&gt;S48</formula>
    </cfRule>
  </conditionalFormatting>
  <conditionalFormatting sqref="V47">
    <cfRule type="expression" dxfId="131" priority="131">
      <formula>W47&lt;S47</formula>
    </cfRule>
    <cfRule type="expression" dxfId="130" priority="132">
      <formula>W47&gt;S47</formula>
    </cfRule>
  </conditionalFormatting>
  <conditionalFormatting sqref="V50">
    <cfRule type="expression" dxfId="129" priority="129">
      <formula>W50&lt;S50</formula>
    </cfRule>
    <cfRule type="expression" dxfId="128" priority="130">
      <formula>W50&gt;S50</formula>
    </cfRule>
  </conditionalFormatting>
  <conditionalFormatting sqref="V52">
    <cfRule type="expression" dxfId="127" priority="127">
      <formula>W52&lt;S52</formula>
    </cfRule>
    <cfRule type="expression" dxfId="126" priority="128">
      <formula>W52&gt;S52</formula>
    </cfRule>
  </conditionalFormatting>
  <conditionalFormatting sqref="V51">
    <cfRule type="expression" dxfId="125" priority="125">
      <formula>W51&lt;S51</formula>
    </cfRule>
    <cfRule type="expression" dxfId="124" priority="126">
      <formula>W51&gt;S51</formula>
    </cfRule>
  </conditionalFormatting>
  <conditionalFormatting sqref="V55:V56">
    <cfRule type="expression" dxfId="123" priority="123">
      <formula>W55&lt;S55</formula>
    </cfRule>
    <cfRule type="expression" dxfId="122" priority="124">
      <formula>W55&gt;S55</formula>
    </cfRule>
  </conditionalFormatting>
  <conditionalFormatting sqref="V57">
    <cfRule type="expression" dxfId="121" priority="121">
      <formula>W57&lt;S57</formula>
    </cfRule>
    <cfRule type="expression" dxfId="120" priority="122">
      <formula>W57&gt;S57</formula>
    </cfRule>
  </conditionalFormatting>
  <conditionalFormatting sqref="V59">
    <cfRule type="expression" dxfId="119" priority="119">
      <formula>W59&lt;S59</formula>
    </cfRule>
    <cfRule type="expression" dxfId="118" priority="120">
      <formula>W59&gt;S59</formula>
    </cfRule>
  </conditionalFormatting>
  <conditionalFormatting sqref="V61">
    <cfRule type="expression" dxfId="117" priority="117">
      <formula>W61&lt;S61</formula>
    </cfRule>
    <cfRule type="expression" dxfId="116" priority="118">
      <formula>W61&gt;S61</formula>
    </cfRule>
  </conditionalFormatting>
  <conditionalFormatting sqref="V60">
    <cfRule type="expression" dxfId="115" priority="115">
      <formula>W60&lt;S60</formula>
    </cfRule>
    <cfRule type="expression" dxfId="114" priority="116">
      <formula>W60&gt;S60</formula>
    </cfRule>
  </conditionalFormatting>
  <conditionalFormatting sqref="V64">
    <cfRule type="expression" dxfId="113" priority="113">
      <formula>W64&lt;S64</formula>
    </cfRule>
    <cfRule type="expression" dxfId="112" priority="114">
      <formula>W64&gt;S64</formula>
    </cfRule>
  </conditionalFormatting>
  <conditionalFormatting sqref="V66">
    <cfRule type="expression" dxfId="111" priority="111">
      <formula>W66&lt;S66</formula>
    </cfRule>
    <cfRule type="expression" dxfId="110" priority="112">
      <formula>W66&gt;S66</formula>
    </cfRule>
  </conditionalFormatting>
  <conditionalFormatting sqref="V65">
    <cfRule type="expression" dxfId="109" priority="109">
      <formula>W65&lt;S65</formula>
    </cfRule>
    <cfRule type="expression" dxfId="108" priority="110">
      <formula>W65&gt;S65</formula>
    </cfRule>
  </conditionalFormatting>
  <conditionalFormatting sqref="V68">
    <cfRule type="expression" dxfId="107" priority="107">
      <formula>W68&lt;S68</formula>
    </cfRule>
    <cfRule type="expression" dxfId="106" priority="108">
      <formula>W68&gt;S68</formula>
    </cfRule>
  </conditionalFormatting>
  <conditionalFormatting sqref="V70">
    <cfRule type="expression" dxfId="105" priority="105">
      <formula>W70&lt;S70</formula>
    </cfRule>
    <cfRule type="expression" dxfId="104" priority="106">
      <formula>W70&gt;S70</formula>
    </cfRule>
  </conditionalFormatting>
  <conditionalFormatting sqref="V69">
    <cfRule type="expression" dxfId="103" priority="103">
      <formula>W69&lt;S69</formula>
    </cfRule>
    <cfRule type="expression" dxfId="102" priority="104">
      <formula>W69&gt;S69</formula>
    </cfRule>
  </conditionalFormatting>
  <conditionalFormatting sqref="N20">
    <cfRule type="expression" dxfId="101" priority="101">
      <formula>O20&lt;K20</formula>
    </cfRule>
    <cfRule type="expression" dxfId="100" priority="102">
      <formula>O20&gt;K20</formula>
    </cfRule>
  </conditionalFormatting>
  <conditionalFormatting sqref="N19">
    <cfRule type="expression" dxfId="99" priority="99">
      <formula>O19&lt;K19</formula>
    </cfRule>
    <cfRule type="expression" dxfId="98" priority="100">
      <formula>O19&gt;K19</formula>
    </cfRule>
  </conditionalFormatting>
  <conditionalFormatting sqref="N22:N23">
    <cfRule type="expression" dxfId="97" priority="97">
      <formula>O22&lt;K22</formula>
    </cfRule>
    <cfRule type="expression" dxfId="96" priority="98">
      <formula>O22&gt;K22</formula>
    </cfRule>
  </conditionalFormatting>
  <conditionalFormatting sqref="N24">
    <cfRule type="expression" dxfId="95" priority="95">
      <formula>O24&lt;K24</formula>
    </cfRule>
    <cfRule type="expression" dxfId="94" priority="96">
      <formula>O24&gt;K24</formula>
    </cfRule>
  </conditionalFormatting>
  <conditionalFormatting sqref="N27">
    <cfRule type="expression" dxfId="93" priority="93">
      <formula>O27&lt;K27</formula>
    </cfRule>
    <cfRule type="expression" dxfId="92" priority="94">
      <formula>O27&gt;K27</formula>
    </cfRule>
  </conditionalFormatting>
  <conditionalFormatting sqref="N29">
    <cfRule type="expression" dxfId="91" priority="91">
      <formula>O29&lt;K29</formula>
    </cfRule>
    <cfRule type="expression" dxfId="90" priority="92">
      <formula>O29&gt;K29</formula>
    </cfRule>
  </conditionalFormatting>
  <conditionalFormatting sqref="N28">
    <cfRule type="expression" dxfId="89" priority="89">
      <formula>O28&lt;K28</formula>
    </cfRule>
    <cfRule type="expression" dxfId="88" priority="90">
      <formula>O28&gt;K28</formula>
    </cfRule>
  </conditionalFormatting>
  <conditionalFormatting sqref="N31">
    <cfRule type="expression" dxfId="87" priority="87">
      <formula>O31&lt;K31</formula>
    </cfRule>
    <cfRule type="expression" dxfId="86" priority="88">
      <formula>O31&gt;K31</formula>
    </cfRule>
  </conditionalFormatting>
  <conditionalFormatting sqref="N33">
    <cfRule type="expression" dxfId="85" priority="85">
      <formula>O33&lt;K33</formula>
    </cfRule>
    <cfRule type="expression" dxfId="84" priority="86">
      <formula>O33&gt;K33</formula>
    </cfRule>
  </conditionalFormatting>
  <conditionalFormatting sqref="N32">
    <cfRule type="expression" dxfId="83" priority="83">
      <formula>O32&lt;K32</formula>
    </cfRule>
    <cfRule type="expression" dxfId="82" priority="84">
      <formula>O32&gt;K32</formula>
    </cfRule>
  </conditionalFormatting>
  <conditionalFormatting sqref="N36">
    <cfRule type="expression" dxfId="81" priority="81">
      <formula>O36&lt;K36</formula>
    </cfRule>
    <cfRule type="expression" dxfId="80" priority="82">
      <formula>O36&gt;K36</formula>
    </cfRule>
  </conditionalFormatting>
  <conditionalFormatting sqref="N38">
    <cfRule type="expression" dxfId="79" priority="79">
      <formula>O38&lt;K38</formula>
    </cfRule>
    <cfRule type="expression" dxfId="78" priority="80">
      <formula>O38&gt;K38</formula>
    </cfRule>
  </conditionalFormatting>
  <conditionalFormatting sqref="N37">
    <cfRule type="expression" dxfId="77" priority="77">
      <formula>O37&lt;K37</formula>
    </cfRule>
    <cfRule type="expression" dxfId="76" priority="78">
      <formula>O37&gt;K37</formula>
    </cfRule>
  </conditionalFormatting>
  <conditionalFormatting sqref="N40">
    <cfRule type="expression" dxfId="75" priority="75">
      <formula>O40&lt;K40</formula>
    </cfRule>
    <cfRule type="expression" dxfId="74" priority="76">
      <formula>O40&gt;K40</formula>
    </cfRule>
  </conditionalFormatting>
  <conditionalFormatting sqref="N42">
    <cfRule type="expression" dxfId="73" priority="73">
      <formula>O42&lt;K42</formula>
    </cfRule>
    <cfRule type="expression" dxfId="72" priority="74">
      <formula>O42&gt;K42</formula>
    </cfRule>
  </conditionalFormatting>
  <conditionalFormatting sqref="N41">
    <cfRule type="expression" dxfId="71" priority="71">
      <formula>O41&lt;K41</formula>
    </cfRule>
    <cfRule type="expression" dxfId="70" priority="72">
      <formula>O41&gt;K41</formula>
    </cfRule>
  </conditionalFormatting>
  <conditionalFormatting sqref="N18">
    <cfRule type="expression" dxfId="69" priority="69">
      <formula>O18&lt;K18</formula>
    </cfRule>
    <cfRule type="expression" dxfId="68" priority="70">
      <formula>O18&gt;K18</formula>
    </cfRule>
  </conditionalFormatting>
  <conditionalFormatting sqref="R20">
    <cfRule type="expression" dxfId="67" priority="67">
      <formula>S20&lt;O20</formula>
    </cfRule>
    <cfRule type="expression" dxfId="66" priority="68">
      <formula>S20&gt;O20</formula>
    </cfRule>
  </conditionalFormatting>
  <conditionalFormatting sqref="R19">
    <cfRule type="expression" dxfId="65" priority="65">
      <formula>S19&lt;O19</formula>
    </cfRule>
    <cfRule type="expression" dxfId="64" priority="66">
      <formula>S19&gt;O19</formula>
    </cfRule>
  </conditionalFormatting>
  <conditionalFormatting sqref="R22:R23">
    <cfRule type="expression" dxfId="63" priority="63">
      <formula>S22&lt;O22</formula>
    </cfRule>
    <cfRule type="expression" dxfId="62" priority="64">
      <formula>S22&gt;O22</formula>
    </cfRule>
  </conditionalFormatting>
  <conditionalFormatting sqref="R24">
    <cfRule type="expression" dxfId="61" priority="61">
      <formula>S24&lt;O24</formula>
    </cfRule>
    <cfRule type="expression" dxfId="60" priority="62">
      <formula>S24&gt;O24</formula>
    </cfRule>
  </conditionalFormatting>
  <conditionalFormatting sqref="R27">
    <cfRule type="expression" dxfId="59" priority="59">
      <formula>S27&lt;O27</formula>
    </cfRule>
    <cfRule type="expression" dxfId="58" priority="60">
      <formula>S27&gt;O27</formula>
    </cfRule>
  </conditionalFormatting>
  <conditionalFormatting sqref="R29">
    <cfRule type="expression" dxfId="57" priority="57">
      <formula>S29&lt;O29</formula>
    </cfRule>
    <cfRule type="expression" dxfId="56" priority="58">
      <formula>S29&gt;O29</formula>
    </cfRule>
  </conditionalFormatting>
  <conditionalFormatting sqref="R28">
    <cfRule type="expression" dxfId="55" priority="55">
      <formula>S28&lt;O28</formula>
    </cfRule>
    <cfRule type="expression" dxfId="54" priority="56">
      <formula>S28&gt;O28</formula>
    </cfRule>
  </conditionalFormatting>
  <conditionalFormatting sqref="R31">
    <cfRule type="expression" dxfId="53" priority="53">
      <formula>S31&lt;O31</formula>
    </cfRule>
    <cfRule type="expression" dxfId="52" priority="54">
      <formula>S31&gt;O31</formula>
    </cfRule>
  </conditionalFormatting>
  <conditionalFormatting sqref="R33">
    <cfRule type="expression" dxfId="51" priority="51">
      <formula>S33&lt;O33</formula>
    </cfRule>
    <cfRule type="expression" dxfId="50" priority="52">
      <formula>S33&gt;O33</formula>
    </cfRule>
  </conditionalFormatting>
  <conditionalFormatting sqref="R32">
    <cfRule type="expression" dxfId="49" priority="49">
      <formula>S32&lt;O32</formula>
    </cfRule>
    <cfRule type="expression" dxfId="48" priority="50">
      <formula>S32&gt;O32</formula>
    </cfRule>
  </conditionalFormatting>
  <conditionalFormatting sqref="R36">
    <cfRule type="expression" dxfId="47" priority="47">
      <formula>S36&lt;O36</formula>
    </cfRule>
    <cfRule type="expression" dxfId="46" priority="48">
      <formula>S36&gt;O36</formula>
    </cfRule>
  </conditionalFormatting>
  <conditionalFormatting sqref="R38">
    <cfRule type="expression" dxfId="45" priority="45">
      <formula>S38&lt;O38</formula>
    </cfRule>
    <cfRule type="expression" dxfId="44" priority="46">
      <formula>S38&gt;O38</formula>
    </cfRule>
  </conditionalFormatting>
  <conditionalFormatting sqref="R37">
    <cfRule type="expression" dxfId="43" priority="43">
      <formula>S37&lt;O37</formula>
    </cfRule>
    <cfRule type="expression" dxfId="42" priority="44">
      <formula>S37&gt;O37</formula>
    </cfRule>
  </conditionalFormatting>
  <conditionalFormatting sqref="R40">
    <cfRule type="expression" dxfId="41" priority="41">
      <formula>S40&lt;O40</formula>
    </cfRule>
    <cfRule type="expression" dxfId="40" priority="42">
      <formula>S40&gt;O40</formula>
    </cfRule>
  </conditionalFormatting>
  <conditionalFormatting sqref="R42">
    <cfRule type="expression" dxfId="39" priority="39">
      <formula>S42&lt;O42</formula>
    </cfRule>
    <cfRule type="expression" dxfId="38" priority="40">
      <formula>S42&gt;O42</formula>
    </cfRule>
  </conditionalFormatting>
  <conditionalFormatting sqref="R41">
    <cfRule type="expression" dxfId="37" priority="37">
      <formula>S41&lt;O41</formula>
    </cfRule>
    <cfRule type="expression" dxfId="36" priority="38">
      <formula>S41&gt;O41</formula>
    </cfRule>
  </conditionalFormatting>
  <conditionalFormatting sqref="R18">
    <cfRule type="expression" dxfId="35" priority="35">
      <formula>S18&lt;O18</formula>
    </cfRule>
    <cfRule type="expression" dxfId="34" priority="36">
      <formula>S18&gt;O18</formula>
    </cfRule>
  </conditionalFormatting>
  <conditionalFormatting sqref="V20">
    <cfRule type="expression" dxfId="33" priority="33">
      <formula>W20&lt;S20</formula>
    </cfRule>
    <cfRule type="expression" dxfId="32" priority="34">
      <formula>W20&gt;S20</formula>
    </cfRule>
  </conditionalFormatting>
  <conditionalFormatting sqref="V19">
    <cfRule type="expression" dxfId="31" priority="31">
      <formula>W19&lt;S19</formula>
    </cfRule>
    <cfRule type="expression" dxfId="30" priority="32">
      <formula>W19&gt;S19</formula>
    </cfRule>
  </conditionalFormatting>
  <conditionalFormatting sqref="V22:V23">
    <cfRule type="expression" dxfId="29" priority="29">
      <formula>W22&lt;S22</formula>
    </cfRule>
    <cfRule type="expression" dxfId="28" priority="30">
      <formula>W22&gt;S22</formula>
    </cfRule>
  </conditionalFormatting>
  <conditionalFormatting sqref="V24">
    <cfRule type="expression" dxfId="27" priority="27">
      <formula>W24&lt;S24</formula>
    </cfRule>
    <cfRule type="expression" dxfId="26" priority="28">
      <formula>W24&gt;S24</formula>
    </cfRule>
  </conditionalFormatting>
  <conditionalFormatting sqref="V27">
    <cfRule type="expression" dxfId="25" priority="25">
      <formula>W27&lt;S27</formula>
    </cfRule>
    <cfRule type="expression" dxfId="24" priority="26">
      <formula>W27&gt;S27</formula>
    </cfRule>
  </conditionalFormatting>
  <conditionalFormatting sqref="V29">
    <cfRule type="expression" dxfId="23" priority="23">
      <formula>W29&lt;S29</formula>
    </cfRule>
    <cfRule type="expression" dxfId="22" priority="24">
      <formula>W29&gt;S29</formula>
    </cfRule>
  </conditionalFormatting>
  <conditionalFormatting sqref="V28">
    <cfRule type="expression" dxfId="21" priority="21">
      <formula>W28&lt;S28</formula>
    </cfRule>
    <cfRule type="expression" dxfId="20" priority="22">
      <formula>W28&gt;S28</formula>
    </cfRule>
  </conditionalFormatting>
  <conditionalFormatting sqref="V31">
    <cfRule type="expression" dxfId="19" priority="19">
      <formula>W31&lt;S31</formula>
    </cfRule>
    <cfRule type="expression" dxfId="18" priority="20">
      <formula>W31&gt;S31</formula>
    </cfRule>
  </conditionalFormatting>
  <conditionalFormatting sqref="V33">
    <cfRule type="expression" dxfId="17" priority="17">
      <formula>W33&lt;S33</formula>
    </cfRule>
    <cfRule type="expression" dxfId="16" priority="18">
      <formula>W33&gt;S33</formula>
    </cfRule>
  </conditionalFormatting>
  <conditionalFormatting sqref="V32">
    <cfRule type="expression" dxfId="15" priority="15">
      <formula>W32&lt;S32</formula>
    </cfRule>
    <cfRule type="expression" dxfId="14" priority="16">
      <formula>W32&gt;S32</formula>
    </cfRule>
  </conditionalFormatting>
  <conditionalFormatting sqref="V36">
    <cfRule type="expression" dxfId="13" priority="13">
      <formula>W36&lt;S36</formula>
    </cfRule>
    <cfRule type="expression" dxfId="12" priority="14">
      <formula>W36&gt;S36</formula>
    </cfRule>
  </conditionalFormatting>
  <conditionalFormatting sqref="V38">
    <cfRule type="expression" dxfId="11" priority="11">
      <formula>W38&lt;S38</formula>
    </cfRule>
    <cfRule type="expression" dxfId="10" priority="12">
      <formula>W38&gt;S38</formula>
    </cfRule>
  </conditionalFormatting>
  <conditionalFormatting sqref="V37">
    <cfRule type="expression" dxfId="9" priority="9">
      <formula>W37&lt;S37</formula>
    </cfRule>
    <cfRule type="expression" dxfId="8" priority="10">
      <formula>W37&gt;S37</formula>
    </cfRule>
  </conditionalFormatting>
  <conditionalFormatting sqref="V40">
    <cfRule type="expression" dxfId="7" priority="7">
      <formula>W40&lt;S40</formula>
    </cfRule>
    <cfRule type="expression" dxfId="6" priority="8">
      <formula>W40&gt;S40</formula>
    </cfRule>
  </conditionalFormatting>
  <conditionalFormatting sqref="V42">
    <cfRule type="expression" dxfId="5" priority="5">
      <formula>W42&lt;S42</formula>
    </cfRule>
    <cfRule type="expression" dxfId="4" priority="6">
      <formula>W42&gt;S42</formula>
    </cfRule>
  </conditionalFormatting>
  <conditionalFormatting sqref="V41">
    <cfRule type="expression" dxfId="3" priority="3">
      <formula>W41&lt;S41</formula>
    </cfRule>
    <cfRule type="expression" dxfId="2" priority="4">
      <formula>W41&gt;S41</formula>
    </cfRule>
  </conditionalFormatting>
  <conditionalFormatting sqref="V18">
    <cfRule type="expression" dxfId="1" priority="1">
      <formula>W18&lt;S18</formula>
    </cfRule>
    <cfRule type="expression" dxfId="0" priority="2">
      <formula>W18&gt;S18</formula>
    </cfRule>
  </conditionalFormatting>
  <dataValidations count="24">
    <dataValidation type="list" allowBlank="1" showInputMessage="1" showErrorMessage="1" sqref="F41:F42 J41:J42 N41:N42 R41:R42 V41:V42" xr:uid="{00000000-0002-0000-0300-000000000000}">
      <formula1>AnsL</formula1>
    </dataValidation>
    <dataValidation type="list" allowBlank="1" showInputMessage="1" showErrorMessage="1" sqref="J22 F22 N22 R22 V22" xr:uid="{00000000-0002-0000-0300-000001000000}">
      <formula1>AnsK</formula1>
    </dataValidation>
    <dataValidation type="list" allowBlank="1" showInputMessage="1" showErrorMessage="1" sqref="F33 J33 J29 F29 N33 N29 R33 R29 V33 V29" xr:uid="{00000000-0002-0000-0300-000002000000}">
      <formula1>AnsE</formula1>
    </dataValidation>
    <dataValidation type="list" allowBlank="1" showInputMessage="1" showErrorMessage="1" sqref="V92:V94 R78:R80 V74:V76 R92:R94 V78:V80 J32 V96:V98 R83:R85 N32 R74:R76 V87:V89 R96:R98 R87:R89 V83:V85 R32 F32 V32" xr:uid="{00000000-0002-0000-0300-000003000000}">
      <formula1>AnsD</formula1>
    </dataValidation>
    <dataValidation type="list" allowBlank="1" showInputMessage="1" showErrorMessage="1" sqref="R37:R38 F37:F38 J37:J38 N37:N38 V37:V38" xr:uid="{00000000-0002-0000-0300-000004000000}">
      <formula1>AnsI</formula1>
    </dataValidation>
    <dataValidation type="list" allowBlank="1" showInputMessage="1" showErrorMessage="1" sqref="N48 V48 R48 F48 J48" xr:uid="{00000000-0002-0000-0300-000006000000}">
      <formula1>AnsG</formula1>
    </dataValidation>
    <dataValidation type="list" allowBlank="1" showInputMessage="1" showErrorMessage="1" sqref="V149 F149 J149 N149 R149" xr:uid="{00000000-0002-0000-0300-000007000000}">
      <formula1>AnsO</formula1>
    </dataValidation>
    <dataValidation type="list" allowBlank="1" showInputMessage="1" showErrorMessage="1" sqref="R150 F150 J150 N150 V150" xr:uid="{00000000-0002-0000-0300-000008000000}">
      <formula1>AnsP</formula1>
    </dataValidation>
    <dataValidation type="list" allowBlank="1" showInputMessage="1" showErrorMessage="1" sqref="J124 J143:J145 N139:N141 R139:R141 F124 F139:F141 F143:F145 J139:J141 N143:N145 R143:R145 V143:V145 V139:V141 N124 R124 V124" xr:uid="{00000000-0002-0000-0300-000009000000}">
      <formula1>AnsM</formula1>
    </dataValidation>
    <dataValidation type="list" allowBlank="1" showInputMessage="1" showErrorMessage="1" sqref="J106:J108 F152 J148 N130:N132 R130:R132 F125 F148 V70 N31 R31 F51 F130:F132 N83:N85 N55 R55 F47 R152 N87:N89 N64:N66 R64:R66 F57 J27 N92:N94 N68 R68 J31 N96:N98 N70 R70 F113 R113 V152 N102:N104 R102:R104 J115 J130:J132 N152 F27 F31 F55 F64:F66 F68 F70 F74:F76 F78:F80 F83:F85 F87:F89 F92:F94 F96:F98 F102:F104 F106:F108 F115 J51 J47 J57 J55 J64:J66 J68 J70 V106:V108 V115 V125 V113 V102:V104 J125 J113 J102:J104 J152 N148 R148 V148 V130:V132 N106:N108 N115 N125 N113 R106:R108 R115 R125 J74:J76 J78:J80 J83:J85 J87:J89 J92:J94 J96:J98 N74:N76 N78:N80 N51 N47 N57 R51 R47 R57 V51 V47 V57 V55 V64:V66 V68 N27 R27 V27 V31" xr:uid="{00000000-0002-0000-0300-00000A000000}">
      <formula1>AnsF</formula1>
    </dataValidation>
    <dataValidation type="list" allowBlank="1" showInputMessage="1" showErrorMessage="1" sqref="F120:F121 J46 J50 N111:N112 N120:N121 R50 J120:J121 V46 J111:J112 R120:R121 F36 F111:F112 V50 N36 R36 F46 R111:R112 V111:V112 N46 R46 F50 J36 V120:V121 N50 V36" xr:uid="{00000000-0002-0000-0300-00000B000000}">
      <formula1>AnsC</formula1>
    </dataValidation>
    <dataValidation type="list" allowBlank="1" showInputMessage="1" showErrorMessage="1" sqref="F23 J23 N23 R23 V23" xr:uid="{00000000-0002-0000-0300-00000D000000}">
      <formula1>AnsB</formula1>
    </dataValidation>
    <dataValidation type="list" allowBlank="1" showInputMessage="1" showErrorMessage="1" sqref="F52 J52 J24 J20 F24 F20 N52 R52 V52 N24 N20 R24 R20 V24 V20" xr:uid="{00000000-0002-0000-0300-000010000000}">
      <formula1>AnsN</formula1>
    </dataValidation>
    <dataValidation type="list" allowBlank="1" showInputMessage="1" showErrorMessage="1" sqref="R154 F154 V154 J154 N154" xr:uid="{00000000-0002-0000-0300-000011000000}">
      <formula1>AnsS</formula1>
    </dataValidation>
    <dataValidation type="list" allowBlank="1" showInputMessage="1" showErrorMessage="1" sqref="F28 J28 N28 R28 V28" xr:uid="{00000000-0002-0000-0300-000012000000}">
      <formula1>AnsA</formula1>
    </dataValidation>
    <dataValidation type="list" allowBlank="1" showInputMessage="1" showErrorMessage="1" sqref="R126 N126 V126 F126 J126" xr:uid="{C6C93395-2885-074F-A657-0EC13A22B7D6}">
      <formula1>AnsT</formula1>
    </dataValidation>
    <dataValidation type="list" allowBlank="1" showInputMessage="1" showErrorMessage="1" sqref="N134 F134 V134 R134 J134" xr:uid="{C2D0D511-284F-CA43-8564-F9C012860BC9}">
      <formula1>AnsR</formula1>
    </dataValidation>
    <dataValidation type="list" allowBlank="1" showInputMessage="1" showErrorMessage="1" sqref="F135 R135 J135 N135 V135" xr:uid="{323D1EA1-A499-8F4C-BA49-50EF831F43A3}">
      <formula1>AnsQ</formula1>
    </dataValidation>
    <dataValidation type="list" allowBlank="1" showInputMessage="1" showErrorMessage="1" sqref="F18 J18 N18 R18 V18" xr:uid="{C947D8D5-998A-504A-AABD-0C558BA471AF}">
      <formula1>AnsY</formula1>
    </dataValidation>
    <dataValidation type="list" allowBlank="1" showInputMessage="1" showErrorMessage="1" sqref="F19 J19 N19 R19 V19" xr:uid="{21273ECD-ED89-2B45-A87D-C36EAEB8E51D}">
      <formula1>AnsV</formula1>
    </dataValidation>
    <dataValidation type="list" allowBlank="1" showInputMessage="1" showErrorMessage="1" sqref="F40 J40 N40 R40 V40" xr:uid="{5243D781-0037-2046-9449-C8A493D1368F}">
      <formula1>AnsW</formula1>
    </dataValidation>
    <dataValidation type="list" allowBlank="1" showInputMessage="1" showErrorMessage="1" sqref="F56 F59:F61 F116:F117 F136 F153 J56 J59:J61 J116:J117 J136 J153 N136 N153 R136 R153 V136 V153 N116:N117 R116:R117 V116:V117 N56 N59:N61 R56 R59:R61 V56 V59:V61" xr:uid="{3534605E-358F-A74C-A52E-9DF658629198}">
      <formula1>AnsH</formula1>
    </dataValidation>
    <dataValidation type="list" allowBlank="1" showInputMessage="1" showErrorMessage="1" sqref="F69 J69 N69 R69 V69" xr:uid="{324F52BE-E294-1D48-A3B0-E6330C7EF531}">
      <formula1>AnsU</formula1>
    </dataValidation>
    <dataValidation type="list" allowBlank="1" showInputMessage="1" showErrorMessage="1" sqref="F122 J122 N122 R122 V122" xr:uid="{4FD5E265-B6BD-4F42-8E1E-6B22E478F9F9}">
      <formula1>AnsX</formula1>
    </dataValidation>
  </dataValidations>
  <pageMargins left="0.75" right="0.75" top="1" bottom="1" header="0.5" footer="0.5"/>
  <pageSetup paperSize="9" scale="10" firstPageNumber="0" fitToWidth="0" fitToHeight="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AE132"/>
  <sheetViews>
    <sheetView zoomScale="120" zoomScaleNormal="120" workbookViewId="0">
      <selection activeCell="L35" sqref="L35"/>
    </sheetView>
  </sheetViews>
  <sheetFormatPr baseColWidth="10" defaultColWidth="8.83203125" defaultRowHeight="13" x14ac:dyDescent="0.15"/>
  <cols>
    <col min="1" max="1" width="22.83203125" style="34" customWidth="1"/>
    <col min="2" max="2" width="11" style="34" customWidth="1"/>
    <col min="3" max="3" width="9.6640625" style="34" customWidth="1"/>
    <col min="4" max="4" width="1.83203125" style="34" customWidth="1"/>
    <col min="5" max="5" width="8.83203125" style="34"/>
    <col min="6" max="6" width="1.5" style="34" customWidth="1"/>
    <col min="7" max="7" width="8.83203125" style="34"/>
    <col min="8" max="8" width="1.5" style="34" customWidth="1"/>
    <col min="9" max="9" width="8.83203125" style="34"/>
    <col min="10" max="10" width="1.5" style="34" customWidth="1"/>
    <col min="11" max="11" width="21.5" style="34" customWidth="1"/>
    <col min="12" max="12" width="22.1640625" style="34" customWidth="1"/>
    <col min="13" max="13" width="3.83203125" style="34" customWidth="1"/>
    <col min="14" max="14" width="4.5" style="34" customWidth="1"/>
    <col min="15" max="22" width="9.6640625" style="34" customWidth="1"/>
    <col min="23" max="25" width="8.83203125" style="34"/>
    <col min="26" max="26" width="19" style="34" bestFit="1" customWidth="1"/>
    <col min="27" max="16384" width="8.83203125" style="34"/>
  </cols>
  <sheetData>
    <row r="1" spans="1:31" ht="69" customHeight="1" thickBot="1" x14ac:dyDescent="0.2">
      <c r="A1" s="592" t="s">
        <v>95</v>
      </c>
      <c r="B1" s="593"/>
      <c r="C1" s="593"/>
      <c r="D1" s="593"/>
      <c r="E1" s="593"/>
      <c r="F1" s="593"/>
      <c r="G1" s="593"/>
      <c r="H1" s="593"/>
      <c r="I1" s="593"/>
      <c r="J1" s="593"/>
      <c r="K1" s="594"/>
    </row>
    <row r="3" spans="1:31" ht="25" x14ac:dyDescent="0.25">
      <c r="A3" s="33" t="s">
        <v>34</v>
      </c>
      <c r="L3" s="33" t="str">
        <f>A3</f>
        <v>Software Assurance Maturity Model (SAMM) Roadmap</v>
      </c>
    </row>
    <row r="4" spans="1:31" s="35" customFormat="1" ht="14" x14ac:dyDescent="0.15">
      <c r="A4" s="35" t="s">
        <v>15</v>
      </c>
      <c r="B4" s="655" t="str">
        <f>IF(ISBLANK(Interview!D10),"",Interview!D10)</f>
        <v>COMPANY</v>
      </c>
      <c r="C4" s="655"/>
      <c r="L4" s="35" t="str">
        <f>B4</f>
        <v>COMPANY</v>
      </c>
      <c r="Y4" s="35">
        <v>1</v>
      </c>
      <c r="Z4" s="35">
        <v>1</v>
      </c>
      <c r="AA4" s="35">
        <v>1</v>
      </c>
    </row>
    <row r="5" spans="1:31" s="35" customFormat="1" ht="14" x14ac:dyDescent="0.15">
      <c r="A5" s="35" t="s">
        <v>310</v>
      </c>
      <c r="B5" s="655" t="str">
        <f>IF(ISBLANK(Interview!D11),"",Interview!D11)</f>
        <v/>
      </c>
      <c r="C5" s="655"/>
      <c r="L5" s="35" t="str">
        <f>B5</f>
        <v/>
      </c>
    </row>
    <row r="6" spans="1:31" s="35" customFormat="1" ht="14" x14ac:dyDescent="0.15">
      <c r="A6" s="35" t="s">
        <v>35</v>
      </c>
      <c r="B6" s="656" t="str">
        <f>IF(ISBLANK(Interview!D12),"",Interview!D12)</f>
        <v/>
      </c>
      <c r="C6" s="656"/>
      <c r="L6" s="275" t="str">
        <f>B6</f>
        <v/>
      </c>
    </row>
    <row r="7" spans="1:31" s="35" customFormat="1" ht="14" x14ac:dyDescent="0.15">
      <c r="A7" s="35" t="s">
        <v>318</v>
      </c>
      <c r="B7" s="656" t="str">
        <f>IF(ISBLANK(Interview!D13),"",Interview!D13)</f>
        <v/>
      </c>
      <c r="C7" s="656"/>
    </row>
    <row r="8" spans="1:31" s="35" customFormat="1" ht="14" x14ac:dyDescent="0.15">
      <c r="A8" s="35" t="s">
        <v>8</v>
      </c>
      <c r="B8" s="656" t="str">
        <f>IF(ISBLANK(Interview!D14),"",Interview!D14)</f>
        <v>8941cb9ef8174579ce6aade045499fd0</v>
      </c>
      <c r="C8" s="656"/>
      <c r="L8" s="127"/>
      <c r="M8" s="127"/>
      <c r="N8" s="127"/>
      <c r="O8" s="658"/>
      <c r="P8" s="658"/>
      <c r="Q8" s="658"/>
      <c r="R8" s="658"/>
      <c r="S8" s="658"/>
      <c r="T8" s="658"/>
      <c r="U8" s="658"/>
      <c r="V8" s="658"/>
    </row>
    <row r="9" spans="1:31" s="35" customFormat="1" ht="14" x14ac:dyDescent="0.15">
      <c r="L9" s="127"/>
      <c r="M9" s="127"/>
      <c r="N9" s="127"/>
      <c r="O9" s="658"/>
      <c r="P9" s="658"/>
      <c r="Q9" s="658"/>
      <c r="R9" s="658"/>
      <c r="S9" s="658"/>
      <c r="T9" s="658"/>
      <c r="U9" s="658"/>
      <c r="V9" s="658"/>
    </row>
    <row r="10" spans="1:31" s="35" customFormat="1" ht="15" thickBot="1" x14ac:dyDescent="0.2">
      <c r="A10" s="35" t="s">
        <v>36</v>
      </c>
      <c r="B10" s="36" t="s">
        <v>37</v>
      </c>
      <c r="I10" s="36" t="s">
        <v>38</v>
      </c>
      <c r="L10" s="128" t="s">
        <v>39</v>
      </c>
      <c r="M10" s="128"/>
      <c r="N10" s="128"/>
      <c r="O10" s="654"/>
      <c r="P10" s="654"/>
      <c r="Q10" s="654"/>
      <c r="R10" s="654"/>
      <c r="S10" s="654"/>
      <c r="T10" s="654"/>
      <c r="U10" s="654"/>
      <c r="V10" s="654"/>
    </row>
    <row r="11" spans="1:31" ht="14" thickBot="1" x14ac:dyDescent="0.2">
      <c r="A11" s="90" t="s">
        <v>40</v>
      </c>
      <c r="B11" s="91" t="s">
        <v>41</v>
      </c>
      <c r="C11" s="91" t="s">
        <v>89</v>
      </c>
      <c r="D11" s="92" t="s">
        <v>42</v>
      </c>
      <c r="E11" s="91" t="s">
        <v>90</v>
      </c>
      <c r="F11" s="92" t="s">
        <v>43</v>
      </c>
      <c r="G11" s="91" t="s">
        <v>91</v>
      </c>
      <c r="H11" s="92" t="s">
        <v>44</v>
      </c>
      <c r="I11" s="91" t="s">
        <v>92</v>
      </c>
      <c r="J11" s="37" t="s">
        <v>45</v>
      </c>
      <c r="K11" s="38" t="s">
        <v>46</v>
      </c>
      <c r="L11" s="129"/>
      <c r="M11" s="130"/>
      <c r="N11" s="130"/>
      <c r="O11" s="657" t="str">
        <f>C11</f>
        <v>Phase 1</v>
      </c>
      <c r="P11" s="657"/>
      <c r="Q11" s="657" t="str">
        <f>E11</f>
        <v>Phase 2</v>
      </c>
      <c r="R11" s="657"/>
      <c r="S11" s="657" t="str">
        <f>G11</f>
        <v>Phase 3</v>
      </c>
      <c r="T11" s="657"/>
      <c r="U11" s="657" t="str">
        <f>I11</f>
        <v>Phase 4</v>
      </c>
      <c r="V11" s="657"/>
      <c r="AA11" s="38" t="str">
        <f>I11</f>
        <v>Phase 4</v>
      </c>
      <c r="AB11" s="38" t="str">
        <f>G11</f>
        <v>Phase 3</v>
      </c>
      <c r="AC11" s="38" t="str">
        <f>E11</f>
        <v>Phase 2</v>
      </c>
      <c r="AD11" s="38" t="str">
        <f>C11</f>
        <v>Phase 1</v>
      </c>
      <c r="AE11" s="38" t="str">
        <f>B11</f>
        <v>Start</v>
      </c>
    </row>
    <row r="12" spans="1:31" ht="15" customHeight="1" x14ac:dyDescent="0.15">
      <c r="A12" s="87" t="s">
        <v>47</v>
      </c>
      <c r="B12" s="96">
        <f>IF(ISNUMBER(Interview!$J$18),Interview!$J$18,SUM(LEFT(Interview!$J$18),".5"))</f>
        <v>0</v>
      </c>
      <c r="C12" s="124">
        <f>Roadmap!M18</f>
        <v>0.125</v>
      </c>
      <c r="D12" s="39">
        <f>C12</f>
        <v>0.125</v>
      </c>
      <c r="E12" s="124">
        <f>Roadmap!Q18</f>
        <v>0.125</v>
      </c>
      <c r="F12" s="39">
        <f>E12</f>
        <v>0.125</v>
      </c>
      <c r="G12" s="124">
        <f>Roadmap!U18</f>
        <v>0.125</v>
      </c>
      <c r="H12" s="40">
        <f>G12</f>
        <v>0.125</v>
      </c>
      <c r="I12" s="124">
        <f>Roadmap!Y18</f>
        <v>0.125</v>
      </c>
      <c r="J12" s="40">
        <f>I12</f>
        <v>0.125</v>
      </c>
      <c r="K12" s="117">
        <f>IFERROR(I12-B12,I12-LEFT(B12,1))</f>
        <v>0.125</v>
      </c>
      <c r="L12" s="130"/>
      <c r="M12" s="130"/>
      <c r="N12" s="130"/>
      <c r="O12" s="130"/>
      <c r="P12" s="130"/>
      <c r="Q12" s="130"/>
      <c r="R12" s="130"/>
      <c r="S12" s="130"/>
      <c r="T12" s="130"/>
      <c r="U12" s="130"/>
      <c r="V12" s="130"/>
      <c r="Z12" s="34" t="str">
        <f>A12</f>
        <v>Strategy &amp; metrics</v>
      </c>
      <c r="AA12" s="118">
        <f>I12</f>
        <v>0.125</v>
      </c>
      <c r="AB12" s="118">
        <f>G12</f>
        <v>0.125</v>
      </c>
      <c r="AC12" s="118">
        <f>E12</f>
        <v>0.125</v>
      </c>
      <c r="AD12" s="118">
        <f>C12</f>
        <v>0.125</v>
      </c>
      <c r="AE12" s="118">
        <f>B12</f>
        <v>0</v>
      </c>
    </row>
    <row r="13" spans="1:31" ht="15" customHeight="1" x14ac:dyDescent="0.15">
      <c r="A13" s="88" t="s">
        <v>19</v>
      </c>
      <c r="B13" s="96">
        <f>IF(ISNUMBER(Interview!$J$32),Interview!$J$32,SUM(LEFT(Interview!$J$32),".5"))</f>
        <v>0.5</v>
      </c>
      <c r="C13" s="125">
        <f>Roadmap!M27</f>
        <v>0.5</v>
      </c>
      <c r="D13" s="39">
        <f>C13</f>
        <v>0.5</v>
      </c>
      <c r="E13" s="125">
        <f>Roadmap!Q27</f>
        <v>0.5</v>
      </c>
      <c r="F13" s="39">
        <f>E13</f>
        <v>0.5</v>
      </c>
      <c r="G13" s="125">
        <f>Roadmap!U27</f>
        <v>0.5</v>
      </c>
      <c r="H13" s="39">
        <f>G13</f>
        <v>0.5</v>
      </c>
      <c r="I13" s="125">
        <f>Roadmap!Y27</f>
        <v>0.5</v>
      </c>
      <c r="J13" s="39">
        <f>I13</f>
        <v>0.5</v>
      </c>
      <c r="K13" s="117">
        <f t="shared" ref="K13:K26" si="0">IFERROR(I13-B13,I13-LEFT(B13,1))</f>
        <v>0</v>
      </c>
      <c r="L13" s="130"/>
      <c r="M13" s="130"/>
      <c r="N13" s="130"/>
      <c r="O13" s="130"/>
      <c r="P13" s="130"/>
      <c r="Q13" s="130"/>
      <c r="R13" s="130"/>
      <c r="S13" s="130"/>
      <c r="T13" s="130"/>
      <c r="U13" s="130"/>
      <c r="V13" s="130"/>
      <c r="Z13" s="34" t="str">
        <f t="shared" ref="Z13:Z26" si="1">A13</f>
        <v>Policy &amp; Compliance</v>
      </c>
      <c r="AA13" s="118">
        <f t="shared" ref="AA13:AA26" si="2">I13</f>
        <v>0.5</v>
      </c>
      <c r="AB13" s="118">
        <f t="shared" ref="AB13:AB26" si="3">G13</f>
        <v>0.5</v>
      </c>
      <c r="AC13" s="118">
        <f t="shared" ref="AC13:AC26" si="4">E13</f>
        <v>0.5</v>
      </c>
      <c r="AD13" s="118">
        <f t="shared" ref="AD13:AD26" si="5">C13</f>
        <v>0.5</v>
      </c>
      <c r="AE13" s="118">
        <f t="shared" ref="AE13:AE26" si="6">B13</f>
        <v>0.5</v>
      </c>
    </row>
    <row r="14" spans="1:31" ht="15" customHeight="1" x14ac:dyDescent="0.15">
      <c r="A14" s="89" t="s">
        <v>20</v>
      </c>
      <c r="B14" s="97">
        <f>IF(ISNUMBER(Interview!$J$46),Interview!$J$46,SUM(LEFT(Interview!$J$46),".5"))</f>
        <v>1</v>
      </c>
      <c r="C14" s="125">
        <f>Roadmap!M36</f>
        <v>1</v>
      </c>
      <c r="D14" s="41">
        <f>C14</f>
        <v>1</v>
      </c>
      <c r="E14" s="125">
        <f>Roadmap!Q36</f>
        <v>1</v>
      </c>
      <c r="F14" s="41">
        <f>E14</f>
        <v>1</v>
      </c>
      <c r="G14" s="125">
        <f>Roadmap!U36</f>
        <v>1</v>
      </c>
      <c r="H14" s="41">
        <f>G14</f>
        <v>1</v>
      </c>
      <c r="I14" s="125">
        <f>Roadmap!Y36</f>
        <v>1</v>
      </c>
      <c r="J14" s="41">
        <f>I14</f>
        <v>1</v>
      </c>
      <c r="K14" s="117">
        <f t="shared" si="0"/>
        <v>0</v>
      </c>
      <c r="L14" s="130"/>
      <c r="M14" s="130"/>
      <c r="N14" s="130"/>
      <c r="O14" s="130"/>
      <c r="P14" s="130"/>
      <c r="Q14" s="130"/>
      <c r="R14" s="130"/>
      <c r="S14" s="130"/>
      <c r="T14" s="130"/>
      <c r="U14" s="130"/>
      <c r="V14" s="130"/>
      <c r="Z14" s="34" t="str">
        <f t="shared" si="1"/>
        <v>Education &amp; Guidance</v>
      </c>
      <c r="AA14" s="118">
        <f t="shared" si="2"/>
        <v>1</v>
      </c>
      <c r="AB14" s="118">
        <f t="shared" si="3"/>
        <v>1</v>
      </c>
      <c r="AC14" s="118">
        <f t="shared" si="4"/>
        <v>1</v>
      </c>
      <c r="AD14" s="118">
        <f t="shared" si="5"/>
        <v>1</v>
      </c>
      <c r="AE14" s="118">
        <f t="shared" si="6"/>
        <v>1</v>
      </c>
    </row>
    <row r="15" spans="1:31" ht="15" customHeight="1" x14ac:dyDescent="0.15">
      <c r="A15" s="84" t="s">
        <v>21</v>
      </c>
      <c r="B15" s="96">
        <f>IF(ISNUMBER(Interview!$J$61),Interview!$J$61,SUM(LEFT(Interview!$J$61),".5"))</f>
        <v>1.5</v>
      </c>
      <c r="C15" s="265">
        <f>Roadmap!M46</f>
        <v>1.5</v>
      </c>
      <c r="D15" s="42">
        <f>C15</f>
        <v>1.5</v>
      </c>
      <c r="E15" s="265">
        <f>Roadmap!Q46</f>
        <v>1.5</v>
      </c>
      <c r="F15" s="42">
        <f>E15</f>
        <v>1.5</v>
      </c>
      <c r="G15" s="265">
        <f>Roadmap!U46</f>
        <v>1.5</v>
      </c>
      <c r="H15" s="42">
        <f>G15</f>
        <v>1.5</v>
      </c>
      <c r="I15" s="265">
        <f>Roadmap!Y46</f>
        <v>1.5</v>
      </c>
      <c r="J15" s="42">
        <f>I15</f>
        <v>1.5</v>
      </c>
      <c r="K15" s="117">
        <f t="shared" si="0"/>
        <v>0</v>
      </c>
      <c r="L15" s="130"/>
      <c r="M15" s="130"/>
      <c r="N15" s="130"/>
      <c r="O15" s="130"/>
      <c r="P15" s="130"/>
      <c r="Q15" s="130"/>
      <c r="R15" s="130"/>
      <c r="S15" s="130"/>
      <c r="T15" s="130"/>
      <c r="U15" s="130"/>
      <c r="V15" s="130"/>
      <c r="Z15" s="34" t="str">
        <f t="shared" si="1"/>
        <v>Threat Assessment</v>
      </c>
      <c r="AA15" s="118">
        <f t="shared" si="2"/>
        <v>1.5</v>
      </c>
      <c r="AB15" s="118">
        <f t="shared" si="3"/>
        <v>1.5</v>
      </c>
      <c r="AC15" s="118">
        <f t="shared" si="4"/>
        <v>1.5</v>
      </c>
      <c r="AD15" s="118">
        <f t="shared" si="5"/>
        <v>1.5</v>
      </c>
      <c r="AE15" s="118">
        <f t="shared" si="6"/>
        <v>1.5</v>
      </c>
    </row>
    <row r="16" spans="1:31" ht="15" customHeight="1" x14ac:dyDescent="0.15">
      <c r="A16" s="85" t="s">
        <v>22</v>
      </c>
      <c r="B16" s="96">
        <f>IF(ISNUMBER(Interview!$J75),Interview!$J$75,SUM(LEFT(Interview!$J$75),".5"))</f>
        <v>0</v>
      </c>
      <c r="C16" s="125">
        <f>Roadmap!M55</f>
        <v>0</v>
      </c>
      <c r="D16" s="39">
        <f t="shared" ref="D16:D26" si="7">C16</f>
        <v>0</v>
      </c>
      <c r="E16" s="125">
        <f>Roadmap!Q55</f>
        <v>0</v>
      </c>
      <c r="F16" s="39">
        <f t="shared" ref="F16:F26" si="8">E16</f>
        <v>0</v>
      </c>
      <c r="G16" s="125">
        <f>Roadmap!U55</f>
        <v>0</v>
      </c>
      <c r="H16" s="39">
        <f t="shared" ref="H16:H26" si="9">G16</f>
        <v>0</v>
      </c>
      <c r="I16" s="125">
        <f>Roadmap!Y55</f>
        <v>0</v>
      </c>
      <c r="J16" s="39">
        <f t="shared" ref="J16:J26" si="10">I16</f>
        <v>0</v>
      </c>
      <c r="K16" s="117">
        <f t="shared" si="0"/>
        <v>0</v>
      </c>
      <c r="L16" s="130"/>
      <c r="M16" s="130"/>
      <c r="N16" s="130"/>
      <c r="O16" s="130"/>
      <c r="P16" s="130"/>
      <c r="Q16" s="130"/>
      <c r="R16" s="130"/>
      <c r="S16" s="130"/>
      <c r="T16" s="130"/>
      <c r="U16" s="130"/>
      <c r="V16" s="130"/>
      <c r="Z16" s="34" t="str">
        <f t="shared" si="1"/>
        <v>Security Requirements</v>
      </c>
      <c r="AA16" s="118">
        <f t="shared" si="2"/>
        <v>0</v>
      </c>
      <c r="AB16" s="118">
        <f t="shared" si="3"/>
        <v>0</v>
      </c>
      <c r="AC16" s="118">
        <f t="shared" si="4"/>
        <v>0</v>
      </c>
      <c r="AD16" s="118">
        <f t="shared" si="5"/>
        <v>0</v>
      </c>
      <c r="AE16" s="118">
        <f t="shared" si="6"/>
        <v>0</v>
      </c>
    </row>
    <row r="17" spans="1:31" x14ac:dyDescent="0.15">
      <c r="A17" s="86" t="s">
        <v>23</v>
      </c>
      <c r="B17" s="97">
        <f>IF(ISNUMBER(Interview!$J$89),Interview!$J$89,SUM(LEFT(Interview!$J$89),".5"))</f>
        <v>0.5</v>
      </c>
      <c r="C17" s="125">
        <f>Roadmap!M64</f>
        <v>0.5</v>
      </c>
      <c r="D17" s="41">
        <f t="shared" si="7"/>
        <v>0.5</v>
      </c>
      <c r="E17" s="125">
        <f>Roadmap!Q64</f>
        <v>0.5</v>
      </c>
      <c r="F17" s="41">
        <f t="shared" si="8"/>
        <v>0.5</v>
      </c>
      <c r="G17" s="125">
        <f>Roadmap!U64</f>
        <v>0.5</v>
      </c>
      <c r="H17" s="41">
        <f t="shared" si="9"/>
        <v>0.5</v>
      </c>
      <c r="I17" s="125">
        <f>Roadmap!Y64</f>
        <v>0.5</v>
      </c>
      <c r="J17" s="41">
        <f t="shared" si="10"/>
        <v>0.5</v>
      </c>
      <c r="K17" s="117">
        <f t="shared" si="0"/>
        <v>0</v>
      </c>
      <c r="L17" s="130" t="str">
        <f>A12</f>
        <v>Strategy &amp; metrics</v>
      </c>
      <c r="M17" s="130"/>
      <c r="N17" s="130"/>
      <c r="O17" s="130"/>
      <c r="P17" s="130"/>
      <c r="Q17" s="130"/>
      <c r="R17" s="130"/>
      <c r="S17" s="130"/>
      <c r="T17" s="130"/>
      <c r="U17" s="130"/>
      <c r="V17" s="130"/>
      <c r="Z17" s="34" t="str">
        <f t="shared" si="1"/>
        <v>Secure Architecture</v>
      </c>
      <c r="AA17" s="118">
        <f t="shared" si="2"/>
        <v>0.5</v>
      </c>
      <c r="AB17" s="118">
        <f t="shared" si="3"/>
        <v>0.5</v>
      </c>
      <c r="AC17" s="118">
        <f t="shared" si="4"/>
        <v>0.5</v>
      </c>
      <c r="AD17" s="118">
        <f t="shared" si="5"/>
        <v>0.5</v>
      </c>
      <c r="AE17" s="118">
        <f t="shared" si="6"/>
        <v>0.5</v>
      </c>
    </row>
    <row r="18" spans="1:31" x14ac:dyDescent="0.15">
      <c r="A18" s="293" t="s">
        <v>209</v>
      </c>
      <c r="B18" s="266">
        <f>IF(ISNUMBER(Interview!$J$104),Interview!$J$104,SUM(LEFT(Interview!$J$104),".5"))</f>
        <v>0.5</v>
      </c>
      <c r="C18" s="267">
        <f>Roadmap!M74</f>
        <v>0</v>
      </c>
      <c r="D18" s="39">
        <f>C18</f>
        <v>0</v>
      </c>
      <c r="E18" s="267">
        <f>Roadmap!Q74</f>
        <v>0</v>
      </c>
      <c r="F18" s="39">
        <f>E18</f>
        <v>0</v>
      </c>
      <c r="G18" s="267">
        <f>Roadmap!U74</f>
        <v>0</v>
      </c>
      <c r="H18" s="39">
        <f>G18</f>
        <v>0</v>
      </c>
      <c r="I18" s="267">
        <f>Roadmap!Y74</f>
        <v>0</v>
      </c>
      <c r="J18" s="39">
        <f>I18</f>
        <v>0</v>
      </c>
      <c r="K18" s="117">
        <f>IFERROR(I18-B18,I18-LEFT(B18,1))</f>
        <v>-0.5</v>
      </c>
      <c r="L18" s="130"/>
      <c r="M18" s="130"/>
      <c r="N18" s="130"/>
      <c r="O18" s="130"/>
      <c r="P18" s="130"/>
      <c r="Q18" s="130"/>
      <c r="R18" s="130"/>
      <c r="S18" s="130"/>
      <c r="T18" s="130"/>
      <c r="U18" s="130"/>
      <c r="V18" s="130"/>
      <c r="Z18" s="34" t="str">
        <f>A18</f>
        <v>Secure Build</v>
      </c>
      <c r="AA18" s="118">
        <f>I18</f>
        <v>0</v>
      </c>
      <c r="AB18" s="118">
        <f>G18</f>
        <v>0</v>
      </c>
      <c r="AC18" s="118">
        <f>E18</f>
        <v>0</v>
      </c>
      <c r="AD18" s="118">
        <f>C18</f>
        <v>0</v>
      </c>
      <c r="AE18" s="118">
        <f>B18</f>
        <v>0.5</v>
      </c>
    </row>
    <row r="19" spans="1:31" x14ac:dyDescent="0.15">
      <c r="A19" s="293" t="s">
        <v>219</v>
      </c>
      <c r="B19" s="266">
        <f>IF(ISNUMBER(Interview!$J$118),Interview!$J$118,SUM(LEFT(Interview!$J$118),".5"))</f>
        <v>0.625</v>
      </c>
      <c r="C19" s="125">
        <f>Roadmap!M83</f>
        <v>0</v>
      </c>
      <c r="D19" s="39">
        <f>C19</f>
        <v>0</v>
      </c>
      <c r="E19" s="125">
        <f>Roadmap!Q83</f>
        <v>0</v>
      </c>
      <c r="F19" s="39">
        <f>E19</f>
        <v>0</v>
      </c>
      <c r="G19" s="125">
        <f>Roadmap!U83</f>
        <v>0</v>
      </c>
      <c r="H19" s="39">
        <f>G19</f>
        <v>0</v>
      </c>
      <c r="I19" s="125">
        <f>Roadmap!Y83</f>
        <v>0</v>
      </c>
      <c r="J19" s="39">
        <f>I19</f>
        <v>0</v>
      </c>
      <c r="K19" s="117">
        <f>IFERROR(I19-B19,I19-LEFT(B19,1))</f>
        <v>-0.625</v>
      </c>
      <c r="L19" s="130"/>
      <c r="M19" s="130"/>
      <c r="N19" s="130"/>
      <c r="O19" s="130"/>
      <c r="P19" s="130"/>
      <c r="Q19" s="130"/>
      <c r="R19" s="130"/>
      <c r="S19" s="130"/>
      <c r="T19" s="130"/>
      <c r="U19" s="130"/>
      <c r="V19" s="130"/>
      <c r="Z19" s="34" t="str">
        <f>A19</f>
        <v>Secure Deployment</v>
      </c>
      <c r="AA19" s="118">
        <f>I19</f>
        <v>0</v>
      </c>
      <c r="AB19" s="118">
        <f>G19</f>
        <v>0</v>
      </c>
      <c r="AC19" s="118">
        <f>E19</f>
        <v>0</v>
      </c>
      <c r="AD19" s="118">
        <f>C19</f>
        <v>0</v>
      </c>
      <c r="AE19" s="118">
        <f>B19</f>
        <v>0.625</v>
      </c>
    </row>
    <row r="20" spans="1:31" x14ac:dyDescent="0.15">
      <c r="A20" s="293" t="s">
        <v>230</v>
      </c>
      <c r="B20" s="266">
        <f>IF(ISNUMBER(Interview!$J$132),Interview!$J$132,SUM(LEFT(Interview!$J$132),".5"))</f>
        <v>0.5</v>
      </c>
      <c r="C20" s="125">
        <f>Roadmap!M92</f>
        <v>0</v>
      </c>
      <c r="D20" s="39">
        <f>C20</f>
        <v>0</v>
      </c>
      <c r="E20" s="125">
        <f>Roadmap!Q92</f>
        <v>0</v>
      </c>
      <c r="F20" s="39">
        <f>E20</f>
        <v>0</v>
      </c>
      <c r="G20" s="125">
        <f>Roadmap!U92</f>
        <v>0</v>
      </c>
      <c r="H20" s="39">
        <f>G20</f>
        <v>0</v>
      </c>
      <c r="I20" s="125">
        <f>Roadmap!Y92</f>
        <v>0</v>
      </c>
      <c r="J20" s="39">
        <f>I20</f>
        <v>0</v>
      </c>
      <c r="K20" s="117">
        <f>IFERROR(I20-B20,I20-LEFT(B20,1))</f>
        <v>-0.5</v>
      </c>
      <c r="L20" s="130"/>
      <c r="M20" s="130"/>
      <c r="N20" s="130"/>
      <c r="O20" s="130"/>
      <c r="P20" s="130"/>
      <c r="Q20" s="130"/>
      <c r="R20" s="130"/>
      <c r="S20" s="130"/>
      <c r="T20" s="130"/>
      <c r="U20" s="130"/>
      <c r="V20" s="130"/>
      <c r="Z20" s="34" t="str">
        <f>A20</f>
        <v>Defect Management</v>
      </c>
      <c r="AA20" s="118">
        <f>I20</f>
        <v>0</v>
      </c>
      <c r="AB20" s="118">
        <f>G20</f>
        <v>0</v>
      </c>
      <c r="AC20" s="118">
        <f>E20</f>
        <v>0</v>
      </c>
      <c r="AD20" s="118">
        <f>C20</f>
        <v>0</v>
      </c>
      <c r="AE20" s="118">
        <f>B20</f>
        <v>0.5</v>
      </c>
    </row>
    <row r="21" spans="1:31" x14ac:dyDescent="0.15">
      <c r="A21" s="81" t="s">
        <v>237</v>
      </c>
      <c r="B21" s="268">
        <f>IF(ISNUMBER(Interview!$J$147),Interview!$J$147,SUM(LEFT(Interview!$J$147),".5"))</f>
        <v>0.125</v>
      </c>
      <c r="C21" s="267">
        <f>Roadmap!M102</f>
        <v>0.125</v>
      </c>
      <c r="D21" s="42">
        <f t="shared" si="7"/>
        <v>0.125</v>
      </c>
      <c r="E21" s="267">
        <f>Roadmap!Q102</f>
        <v>0.125</v>
      </c>
      <c r="F21" s="42">
        <f t="shared" si="8"/>
        <v>0.125</v>
      </c>
      <c r="G21" s="267">
        <f>Roadmap!U102</f>
        <v>0.125</v>
      </c>
      <c r="H21" s="42">
        <f t="shared" si="9"/>
        <v>0.125</v>
      </c>
      <c r="I21" s="267">
        <f>Roadmap!Y102</f>
        <v>0.125</v>
      </c>
      <c r="J21" s="42">
        <f t="shared" si="10"/>
        <v>0.125</v>
      </c>
      <c r="K21" s="117">
        <f t="shared" si="0"/>
        <v>0</v>
      </c>
      <c r="L21" s="130"/>
      <c r="M21" s="130"/>
      <c r="N21" s="130"/>
      <c r="O21" s="130"/>
      <c r="P21" s="130"/>
      <c r="Q21" s="130"/>
      <c r="R21" s="130"/>
      <c r="S21" s="130"/>
      <c r="T21" s="130"/>
      <c r="U21" s="130"/>
      <c r="V21" s="130"/>
      <c r="Z21" s="34" t="str">
        <f t="shared" si="1"/>
        <v>Architecture Assessment</v>
      </c>
      <c r="AA21" s="118">
        <f t="shared" si="2"/>
        <v>0.125</v>
      </c>
      <c r="AB21" s="118">
        <f t="shared" si="3"/>
        <v>0.125</v>
      </c>
      <c r="AC21" s="118">
        <f t="shared" si="4"/>
        <v>0.125</v>
      </c>
      <c r="AD21" s="118">
        <f t="shared" si="5"/>
        <v>0.125</v>
      </c>
      <c r="AE21" s="118">
        <f t="shared" si="6"/>
        <v>0.125</v>
      </c>
    </row>
    <row r="22" spans="1:31" x14ac:dyDescent="0.15">
      <c r="A22" s="82" t="s">
        <v>438</v>
      </c>
      <c r="B22" s="96">
        <f>IF(ISNUMBER(Interview!$J$161),Interview!$J$161,SUM(LEFT(Interview!$J$161),".5"))</f>
        <v>0</v>
      </c>
      <c r="C22" s="125">
        <f>Roadmap!M111</f>
        <v>0</v>
      </c>
      <c r="D22" s="39">
        <f t="shared" si="7"/>
        <v>0</v>
      </c>
      <c r="E22" s="125">
        <f>Roadmap!Q111</f>
        <v>0</v>
      </c>
      <c r="F22" s="39">
        <f t="shared" si="8"/>
        <v>0</v>
      </c>
      <c r="G22" s="125">
        <f>Roadmap!U111</f>
        <v>0</v>
      </c>
      <c r="H22" s="39">
        <f t="shared" si="9"/>
        <v>0</v>
      </c>
      <c r="I22" s="125">
        <f>Roadmap!Y111</f>
        <v>0</v>
      </c>
      <c r="J22" s="39">
        <f t="shared" si="10"/>
        <v>0</v>
      </c>
      <c r="K22" s="117">
        <f t="shared" si="0"/>
        <v>0</v>
      </c>
      <c r="L22" s="130"/>
      <c r="M22" s="130"/>
      <c r="N22" s="130"/>
      <c r="O22" s="130"/>
      <c r="P22" s="130"/>
      <c r="Q22" s="130"/>
      <c r="R22" s="130"/>
      <c r="S22" s="130"/>
      <c r="T22" s="130"/>
      <c r="U22" s="130"/>
      <c r="V22" s="130"/>
      <c r="Z22" s="34" t="str">
        <f t="shared" si="1"/>
        <v>Requirements Testing</v>
      </c>
      <c r="AA22" s="118">
        <f t="shared" si="2"/>
        <v>0</v>
      </c>
      <c r="AB22" s="118">
        <f t="shared" si="3"/>
        <v>0</v>
      </c>
      <c r="AC22" s="118">
        <f t="shared" si="4"/>
        <v>0</v>
      </c>
      <c r="AD22" s="118">
        <f t="shared" si="5"/>
        <v>0</v>
      </c>
      <c r="AE22" s="118">
        <f t="shared" si="6"/>
        <v>0</v>
      </c>
    </row>
    <row r="23" spans="1:31" x14ac:dyDescent="0.15">
      <c r="A23" s="83" t="s">
        <v>25</v>
      </c>
      <c r="B23" s="97">
        <f>IF(ISNUMBER(Interview!$J$175),Interview!$J$175,SUM(LEFT(Interview!$J$175),".5"))</f>
        <v>0</v>
      </c>
      <c r="C23" s="125">
        <f>Roadmap!M120</f>
        <v>0</v>
      </c>
      <c r="D23" s="41">
        <f t="shared" si="7"/>
        <v>0</v>
      </c>
      <c r="E23" s="125">
        <f>Roadmap!Q120</f>
        <v>0</v>
      </c>
      <c r="F23" s="41">
        <f t="shared" si="8"/>
        <v>0</v>
      </c>
      <c r="G23" s="125">
        <f>Roadmap!U120</f>
        <v>0</v>
      </c>
      <c r="H23" s="41">
        <f t="shared" si="9"/>
        <v>0</v>
      </c>
      <c r="I23" s="125">
        <f>Roadmap!Y120</f>
        <v>0</v>
      </c>
      <c r="J23" s="41">
        <f t="shared" si="10"/>
        <v>0</v>
      </c>
      <c r="K23" s="117">
        <f t="shared" si="0"/>
        <v>0</v>
      </c>
      <c r="L23" s="130"/>
      <c r="M23" s="130"/>
      <c r="N23" s="130"/>
      <c r="O23" s="130"/>
      <c r="P23" s="130"/>
      <c r="Q23" s="130"/>
      <c r="R23" s="130"/>
      <c r="S23" s="130"/>
      <c r="T23" s="130"/>
      <c r="U23" s="130"/>
      <c r="V23" s="130"/>
      <c r="Z23" s="34" t="str">
        <f t="shared" si="1"/>
        <v>Security Testing</v>
      </c>
      <c r="AA23" s="118">
        <f t="shared" si="2"/>
        <v>0</v>
      </c>
      <c r="AB23" s="118">
        <f t="shared" si="3"/>
        <v>0</v>
      </c>
      <c r="AC23" s="118">
        <f t="shared" si="4"/>
        <v>0</v>
      </c>
      <c r="AD23" s="118">
        <f t="shared" si="5"/>
        <v>0</v>
      </c>
      <c r="AE23" s="118">
        <f t="shared" si="6"/>
        <v>0</v>
      </c>
    </row>
    <row r="24" spans="1:31" x14ac:dyDescent="0.15">
      <c r="A24" s="78" t="s">
        <v>265</v>
      </c>
      <c r="B24" s="96">
        <f>IF(ISNUMBER(Interview!$J$190),Interview!$J$190,SUM(LEFT(Interview!$J$190),".5"))</f>
        <v>0</v>
      </c>
      <c r="C24" s="265">
        <f>Roadmap!M130</f>
        <v>0</v>
      </c>
      <c r="D24" s="42">
        <f t="shared" si="7"/>
        <v>0</v>
      </c>
      <c r="E24" s="265">
        <f>Roadmap!Q130</f>
        <v>0</v>
      </c>
      <c r="F24" s="42">
        <f t="shared" si="8"/>
        <v>0</v>
      </c>
      <c r="G24" s="265">
        <f>Roadmap!U130</f>
        <v>0</v>
      </c>
      <c r="H24" s="42">
        <f t="shared" si="9"/>
        <v>0</v>
      </c>
      <c r="I24" s="265">
        <f>Roadmap!Y130</f>
        <v>0</v>
      </c>
      <c r="J24" s="42">
        <f t="shared" si="10"/>
        <v>0</v>
      </c>
      <c r="K24" s="117">
        <f t="shared" si="0"/>
        <v>0</v>
      </c>
      <c r="L24" s="130"/>
      <c r="M24" s="130"/>
      <c r="N24" s="130"/>
      <c r="O24" s="130"/>
      <c r="P24" s="130"/>
      <c r="Q24" s="130"/>
      <c r="R24" s="130"/>
      <c r="S24" s="130"/>
      <c r="T24" s="130"/>
      <c r="U24" s="130"/>
      <c r="V24" s="130"/>
      <c r="Z24" s="34" t="str">
        <f t="shared" si="1"/>
        <v>Incident Management</v>
      </c>
      <c r="AA24" s="118">
        <f t="shared" si="2"/>
        <v>0</v>
      </c>
      <c r="AB24" s="118">
        <f t="shared" si="3"/>
        <v>0</v>
      </c>
      <c r="AC24" s="118">
        <f t="shared" si="4"/>
        <v>0</v>
      </c>
      <c r="AD24" s="118">
        <f t="shared" si="5"/>
        <v>0</v>
      </c>
      <c r="AE24" s="118">
        <f t="shared" si="6"/>
        <v>0</v>
      </c>
    </row>
    <row r="25" spans="1:31" x14ac:dyDescent="0.15">
      <c r="A25" s="79" t="s">
        <v>275</v>
      </c>
      <c r="B25" s="96">
        <f>IF(ISNUMBER(Interview!$J$204),Interview!$J$204,SUM(LEFT(Interview!$J$204),".5"))</f>
        <v>1</v>
      </c>
      <c r="C25" s="125">
        <f>Roadmap!M139</f>
        <v>1</v>
      </c>
      <c r="D25" s="39">
        <f t="shared" si="7"/>
        <v>1</v>
      </c>
      <c r="E25" s="125">
        <f>Roadmap!Q139</f>
        <v>1</v>
      </c>
      <c r="F25" s="39">
        <f t="shared" si="8"/>
        <v>1</v>
      </c>
      <c r="G25" s="125">
        <f>Roadmap!U139</f>
        <v>1</v>
      </c>
      <c r="H25" s="39">
        <f t="shared" si="9"/>
        <v>1</v>
      </c>
      <c r="I25" s="125">
        <f>Roadmap!Y139</f>
        <v>1</v>
      </c>
      <c r="J25" s="39">
        <f t="shared" si="10"/>
        <v>1</v>
      </c>
      <c r="K25" s="117">
        <f t="shared" si="0"/>
        <v>0</v>
      </c>
      <c r="L25" s="130"/>
      <c r="M25" s="130"/>
      <c r="N25" s="130"/>
      <c r="O25" s="130"/>
      <c r="P25" s="130"/>
      <c r="Q25" s="130"/>
      <c r="R25" s="130"/>
      <c r="S25" s="130"/>
      <c r="T25" s="130"/>
      <c r="U25" s="130"/>
      <c r="V25" s="130"/>
      <c r="Z25" s="34" t="str">
        <f t="shared" si="1"/>
        <v>Environment Management</v>
      </c>
      <c r="AA25" s="118">
        <f t="shared" si="2"/>
        <v>1</v>
      </c>
      <c r="AB25" s="118">
        <f t="shared" si="3"/>
        <v>1</v>
      </c>
      <c r="AC25" s="118">
        <f t="shared" si="4"/>
        <v>1</v>
      </c>
      <c r="AD25" s="118">
        <f t="shared" si="5"/>
        <v>1</v>
      </c>
      <c r="AE25" s="118">
        <f t="shared" si="6"/>
        <v>1</v>
      </c>
    </row>
    <row r="26" spans="1:31" ht="14" thickBot="1" x14ac:dyDescent="0.2">
      <c r="A26" s="80" t="s">
        <v>286</v>
      </c>
      <c r="B26" s="98">
        <f>IF(ISNUMBER(Interview!$J$218),Interview!$J$218,SUM(LEFT(Interview!$J$218),".5"))</f>
        <v>2.5</v>
      </c>
      <c r="C26" s="269">
        <f>Roadmap!M148</f>
        <v>2.5</v>
      </c>
      <c r="D26" s="43">
        <f t="shared" si="7"/>
        <v>2.5</v>
      </c>
      <c r="E26" s="269">
        <f>Roadmap!Q148</f>
        <v>2.5</v>
      </c>
      <c r="F26" s="43">
        <f t="shared" si="8"/>
        <v>2.5</v>
      </c>
      <c r="G26" s="269">
        <f>Roadmap!U148</f>
        <v>2.5</v>
      </c>
      <c r="H26" s="43">
        <f t="shared" si="9"/>
        <v>2.5</v>
      </c>
      <c r="I26" s="269">
        <f>Roadmap!Y148</f>
        <v>2.5</v>
      </c>
      <c r="J26" s="43">
        <f t="shared" si="10"/>
        <v>2.5</v>
      </c>
      <c r="K26" s="117">
        <f t="shared" si="0"/>
        <v>0</v>
      </c>
      <c r="L26" s="130"/>
      <c r="M26" s="130"/>
      <c r="N26" s="130"/>
      <c r="O26" s="130"/>
      <c r="P26" s="130"/>
      <c r="Q26" s="130"/>
      <c r="R26" s="130"/>
      <c r="S26" s="130"/>
      <c r="T26" s="130"/>
      <c r="U26" s="130"/>
      <c r="V26" s="130"/>
      <c r="Z26" s="34" t="str">
        <f t="shared" si="1"/>
        <v>Operational Management</v>
      </c>
      <c r="AA26" s="118">
        <f t="shared" si="2"/>
        <v>2.5</v>
      </c>
      <c r="AB26" s="118">
        <f t="shared" si="3"/>
        <v>2.5</v>
      </c>
      <c r="AC26" s="118">
        <f t="shared" si="4"/>
        <v>2.5</v>
      </c>
      <c r="AD26" s="118">
        <f t="shared" si="5"/>
        <v>2.5</v>
      </c>
      <c r="AE26" s="118">
        <f t="shared" si="6"/>
        <v>2.5</v>
      </c>
    </row>
    <row r="27" spans="1:31" x14ac:dyDescent="0.15">
      <c r="L27" s="130" t="str">
        <f>A13</f>
        <v>Policy &amp; Compliance</v>
      </c>
      <c r="M27" s="130"/>
      <c r="N27" s="130"/>
      <c r="O27" s="130"/>
      <c r="P27" s="130"/>
      <c r="Q27" s="130"/>
      <c r="R27" s="130"/>
      <c r="S27" s="130"/>
      <c r="T27" s="130"/>
      <c r="U27" s="130"/>
      <c r="V27" s="130"/>
    </row>
    <row r="28" spans="1:31" x14ac:dyDescent="0.15">
      <c r="B28" s="44" t="s">
        <v>48</v>
      </c>
      <c r="C28" s="118">
        <f>SUM(C12:C26)-SUM(B12:B26)</f>
        <v>-1.5</v>
      </c>
      <c r="D28" s="118"/>
      <c r="E28" s="118">
        <f>SUM(E12:E26)-SUM(C12:C26)</f>
        <v>0</v>
      </c>
      <c r="F28" s="118"/>
      <c r="G28" s="118">
        <f>SUM(G12:G26)-SUM(E12:E26)</f>
        <v>0</v>
      </c>
      <c r="H28" s="118"/>
      <c r="I28" s="118">
        <f>SUM(I12:I26)-SUM(G12:G26)</f>
        <v>0</v>
      </c>
      <c r="J28" s="118"/>
      <c r="K28" s="117">
        <f>SUM(K12:K26)</f>
        <v>-1.5</v>
      </c>
      <c r="L28" s="130"/>
      <c r="M28" s="130"/>
      <c r="N28" s="130"/>
      <c r="O28" s="130"/>
      <c r="P28" s="130"/>
      <c r="Q28" s="130"/>
      <c r="R28" s="130"/>
      <c r="S28" s="130"/>
      <c r="T28" s="130"/>
      <c r="U28" s="130"/>
      <c r="V28" s="130"/>
    </row>
    <row r="29" spans="1:31" x14ac:dyDescent="0.15">
      <c r="B29" s="44"/>
      <c r="C29" s="45">
        <f>C28/$K$28</f>
        <v>1</v>
      </c>
      <c r="E29" s="45">
        <f>E28/$K$28</f>
        <v>0</v>
      </c>
      <c r="G29" s="45">
        <f>G28/$K$28</f>
        <v>0</v>
      </c>
      <c r="I29" s="45">
        <f>I28/$K$28</f>
        <v>0</v>
      </c>
      <c r="K29" s="46">
        <f>1-K28/24</f>
        <v>1.0625</v>
      </c>
      <c r="L29" s="130"/>
      <c r="M29" s="130"/>
      <c r="N29" s="130"/>
      <c r="O29" s="130"/>
      <c r="P29" s="130"/>
      <c r="Q29" s="130"/>
      <c r="R29" s="130"/>
      <c r="S29" s="130"/>
      <c r="T29" s="130"/>
      <c r="U29" s="130"/>
      <c r="V29" s="130"/>
    </row>
    <row r="30" spans="1:31" x14ac:dyDescent="0.15">
      <c r="B30" s="44"/>
      <c r="L30" s="130"/>
      <c r="M30" s="130"/>
      <c r="N30" s="130"/>
      <c r="O30" s="130"/>
      <c r="P30" s="130"/>
      <c r="Q30" s="130"/>
      <c r="R30" s="130"/>
      <c r="S30" s="130"/>
      <c r="T30" s="130"/>
      <c r="U30" s="130"/>
      <c r="V30" s="130"/>
    </row>
    <row r="31" spans="1:31" ht="14" thickBot="1" x14ac:dyDescent="0.2">
      <c r="L31" s="130"/>
      <c r="M31" s="130"/>
      <c r="N31" s="130"/>
      <c r="O31" s="130"/>
      <c r="P31" s="130"/>
      <c r="Q31" s="130"/>
      <c r="R31" s="130"/>
      <c r="S31" s="130"/>
      <c r="T31" s="130"/>
      <c r="U31" s="130"/>
      <c r="V31" s="130"/>
    </row>
    <row r="32" spans="1:31" x14ac:dyDescent="0.15">
      <c r="A32" s="47" t="s">
        <v>49</v>
      </c>
      <c r="B32" s="48">
        <v>0</v>
      </c>
      <c r="L32" s="130"/>
      <c r="M32" s="130"/>
      <c r="N32" s="130"/>
      <c r="O32" s="130"/>
      <c r="P32" s="130"/>
      <c r="Q32" s="130"/>
      <c r="R32" s="130"/>
      <c r="S32" s="130"/>
      <c r="T32" s="130"/>
      <c r="U32" s="130"/>
      <c r="V32" s="130"/>
    </row>
    <row r="33" spans="1:22" x14ac:dyDescent="0.15">
      <c r="B33" s="38">
        <v>0.5</v>
      </c>
      <c r="L33" s="130"/>
      <c r="M33" s="130"/>
      <c r="N33" s="130"/>
      <c r="O33" s="130"/>
      <c r="P33" s="130"/>
      <c r="Q33" s="130"/>
      <c r="R33" s="130"/>
      <c r="S33" s="130"/>
      <c r="T33" s="130"/>
      <c r="U33" s="130"/>
      <c r="V33" s="130"/>
    </row>
    <row r="34" spans="1:22" x14ac:dyDescent="0.15">
      <c r="B34" s="38">
        <v>1</v>
      </c>
      <c r="L34" s="130" t="str">
        <f>A14</f>
        <v>Education &amp; Guidance</v>
      </c>
      <c r="M34" s="130"/>
      <c r="N34" s="130"/>
      <c r="O34" s="130"/>
      <c r="P34" s="130"/>
      <c r="Q34" s="130"/>
      <c r="R34" s="130"/>
      <c r="S34" s="130"/>
      <c r="T34" s="130"/>
      <c r="U34" s="130"/>
      <c r="V34" s="130"/>
    </row>
    <row r="35" spans="1:22" x14ac:dyDescent="0.15">
      <c r="B35" s="38">
        <v>1.5</v>
      </c>
      <c r="L35" s="130"/>
      <c r="M35" s="130"/>
      <c r="N35" s="130"/>
      <c r="O35" s="130"/>
      <c r="P35" s="130"/>
      <c r="Q35" s="130"/>
      <c r="R35" s="130"/>
      <c r="S35" s="130"/>
      <c r="T35" s="130"/>
      <c r="U35" s="130"/>
      <c r="V35" s="130"/>
    </row>
    <row r="36" spans="1:22" x14ac:dyDescent="0.15">
      <c r="B36" s="38">
        <v>2</v>
      </c>
      <c r="L36" s="130"/>
      <c r="M36" s="130"/>
      <c r="N36" s="130"/>
      <c r="O36" s="130"/>
      <c r="P36" s="130"/>
      <c r="Q36" s="130"/>
      <c r="R36" s="130"/>
      <c r="S36" s="130"/>
      <c r="T36" s="130"/>
      <c r="U36" s="130"/>
      <c r="V36" s="130"/>
    </row>
    <row r="37" spans="1:22" x14ac:dyDescent="0.15">
      <c r="B37" s="38">
        <v>2.5</v>
      </c>
      <c r="L37" s="130"/>
      <c r="M37" s="130"/>
      <c r="N37" s="130"/>
      <c r="O37" s="130"/>
      <c r="P37" s="130"/>
      <c r="Q37" s="130"/>
      <c r="R37" s="130"/>
      <c r="S37" s="130"/>
      <c r="T37" s="130"/>
      <c r="U37" s="130"/>
      <c r="V37" s="130"/>
    </row>
    <row r="38" spans="1:22" ht="14" thickBot="1" x14ac:dyDescent="0.2">
      <c r="A38" s="49"/>
      <c r="B38" s="50">
        <v>3</v>
      </c>
      <c r="L38" s="130"/>
      <c r="M38" s="130"/>
      <c r="N38" s="130"/>
      <c r="O38" s="130"/>
      <c r="P38" s="130"/>
      <c r="Q38" s="130"/>
      <c r="R38" s="130"/>
      <c r="S38" s="130"/>
      <c r="T38" s="130"/>
      <c r="U38" s="130"/>
      <c r="V38" s="130"/>
    </row>
    <row r="39" spans="1:22" x14ac:dyDescent="0.15">
      <c r="L39" s="130"/>
      <c r="M39" s="130"/>
      <c r="N39" s="130"/>
      <c r="O39" s="130"/>
      <c r="P39" s="130"/>
      <c r="Q39" s="130"/>
      <c r="R39" s="130"/>
      <c r="S39" s="130"/>
      <c r="T39" s="130"/>
      <c r="U39" s="130"/>
      <c r="V39" s="130"/>
    </row>
    <row r="40" spans="1:22" x14ac:dyDescent="0.15">
      <c r="L40" s="130"/>
      <c r="M40" s="130"/>
      <c r="N40" s="130"/>
      <c r="O40" s="130"/>
      <c r="P40" s="130"/>
      <c r="Q40" s="130"/>
      <c r="R40" s="130"/>
      <c r="S40" s="130"/>
      <c r="T40" s="130"/>
      <c r="U40" s="130"/>
      <c r="V40" s="130"/>
    </row>
    <row r="41" spans="1:22" x14ac:dyDescent="0.15">
      <c r="L41" s="130" t="str">
        <f>A15</f>
        <v>Threat Assessment</v>
      </c>
      <c r="M41" s="130"/>
      <c r="N41" s="130"/>
      <c r="O41" s="130"/>
      <c r="P41" s="130"/>
      <c r="Q41" s="130"/>
      <c r="R41" s="130"/>
      <c r="S41" s="130"/>
      <c r="T41" s="130"/>
      <c r="U41" s="130"/>
      <c r="V41" s="130"/>
    </row>
    <row r="42" spans="1:22" x14ac:dyDescent="0.15">
      <c r="L42" s="130"/>
      <c r="M42" s="130"/>
      <c r="N42" s="130"/>
      <c r="O42" s="130"/>
      <c r="P42" s="130"/>
      <c r="Q42" s="130"/>
      <c r="R42" s="130"/>
      <c r="S42" s="130"/>
      <c r="T42" s="130"/>
      <c r="U42" s="130"/>
      <c r="V42" s="130"/>
    </row>
    <row r="43" spans="1:22" x14ac:dyDescent="0.15">
      <c r="L43" s="130"/>
      <c r="M43" s="130"/>
      <c r="N43" s="130"/>
      <c r="O43" s="130"/>
      <c r="P43" s="130"/>
      <c r="Q43" s="130"/>
      <c r="R43" s="130"/>
      <c r="S43" s="130"/>
      <c r="T43" s="130"/>
      <c r="U43" s="130"/>
      <c r="V43" s="130"/>
    </row>
    <row r="44" spans="1:22" x14ac:dyDescent="0.15">
      <c r="L44" s="130"/>
      <c r="M44" s="130"/>
      <c r="N44" s="130"/>
      <c r="O44" s="130"/>
      <c r="P44" s="130"/>
      <c r="Q44" s="130"/>
      <c r="R44" s="130"/>
      <c r="S44" s="130"/>
      <c r="T44" s="130"/>
      <c r="U44" s="130"/>
      <c r="V44" s="130"/>
    </row>
    <row r="45" spans="1:22" x14ac:dyDescent="0.15">
      <c r="L45" s="130"/>
      <c r="M45" s="130"/>
      <c r="N45" s="130"/>
      <c r="O45" s="130"/>
      <c r="P45" s="130"/>
      <c r="Q45" s="130"/>
      <c r="R45" s="130"/>
      <c r="S45" s="130"/>
      <c r="T45" s="130"/>
      <c r="U45" s="130"/>
      <c r="V45" s="130"/>
    </row>
    <row r="46" spans="1:22" x14ac:dyDescent="0.15">
      <c r="L46" s="130"/>
      <c r="M46" s="130"/>
      <c r="N46" s="130"/>
      <c r="O46" s="130"/>
      <c r="P46" s="130"/>
      <c r="Q46" s="130"/>
      <c r="R46" s="130"/>
      <c r="S46" s="130"/>
      <c r="T46" s="130"/>
      <c r="U46" s="130"/>
      <c r="V46" s="130"/>
    </row>
    <row r="47" spans="1:22" x14ac:dyDescent="0.15">
      <c r="L47" s="130"/>
      <c r="M47" s="130"/>
      <c r="N47" s="130"/>
      <c r="O47" s="130"/>
      <c r="P47" s="130"/>
      <c r="Q47" s="130"/>
      <c r="R47" s="130"/>
      <c r="S47" s="130"/>
      <c r="T47" s="130"/>
      <c r="U47" s="130"/>
      <c r="V47" s="130"/>
    </row>
    <row r="48" spans="1:22" x14ac:dyDescent="0.15">
      <c r="L48" s="130" t="str">
        <f>A16</f>
        <v>Security Requirements</v>
      </c>
      <c r="M48" s="130"/>
      <c r="N48" s="130"/>
      <c r="O48" s="130"/>
      <c r="P48" s="130"/>
      <c r="Q48" s="130"/>
      <c r="R48" s="130"/>
      <c r="S48" s="130"/>
      <c r="T48" s="130"/>
      <c r="U48" s="130"/>
      <c r="V48" s="130"/>
    </row>
    <row r="49" spans="12:22" x14ac:dyDescent="0.15">
      <c r="L49" s="130"/>
      <c r="M49" s="130"/>
      <c r="N49" s="130"/>
      <c r="O49" s="130"/>
      <c r="P49" s="130"/>
      <c r="Q49" s="130"/>
      <c r="R49" s="130"/>
      <c r="S49" s="130"/>
      <c r="T49" s="130"/>
      <c r="U49" s="130"/>
      <c r="V49" s="130"/>
    </row>
    <row r="50" spans="12:22" x14ac:dyDescent="0.15">
      <c r="L50" s="130"/>
      <c r="M50" s="130"/>
      <c r="N50" s="130"/>
      <c r="O50" s="130"/>
      <c r="P50" s="130"/>
      <c r="Q50" s="130"/>
      <c r="R50" s="130"/>
      <c r="S50" s="130"/>
      <c r="T50" s="130"/>
      <c r="U50" s="130"/>
      <c r="V50" s="130"/>
    </row>
    <row r="51" spans="12:22" x14ac:dyDescent="0.15">
      <c r="L51" s="130"/>
      <c r="M51" s="130"/>
      <c r="N51" s="130"/>
      <c r="O51" s="130"/>
      <c r="P51" s="130"/>
      <c r="Q51" s="130"/>
      <c r="R51" s="130"/>
      <c r="S51" s="130"/>
      <c r="T51" s="130"/>
      <c r="U51" s="130"/>
      <c r="V51" s="130"/>
    </row>
    <row r="52" spans="12:22" x14ac:dyDescent="0.15">
      <c r="L52" s="130"/>
      <c r="M52" s="130"/>
      <c r="N52" s="130"/>
      <c r="O52" s="130"/>
      <c r="P52" s="130"/>
      <c r="Q52" s="130"/>
      <c r="R52" s="130"/>
      <c r="S52" s="130"/>
      <c r="T52" s="130"/>
      <c r="U52" s="130"/>
      <c r="V52" s="130"/>
    </row>
    <row r="53" spans="12:22" x14ac:dyDescent="0.15">
      <c r="L53" s="130"/>
      <c r="M53" s="130"/>
      <c r="N53" s="130"/>
      <c r="O53" s="130"/>
      <c r="P53" s="130"/>
      <c r="Q53" s="130"/>
      <c r="R53" s="130"/>
      <c r="S53" s="130"/>
      <c r="T53" s="130"/>
      <c r="U53" s="130"/>
      <c r="V53" s="130"/>
    </row>
    <row r="54" spans="12:22" x14ac:dyDescent="0.15">
      <c r="L54" s="130"/>
      <c r="M54" s="130"/>
      <c r="N54" s="130"/>
      <c r="O54" s="130"/>
      <c r="P54" s="130"/>
      <c r="Q54" s="130"/>
      <c r="R54" s="130"/>
      <c r="S54" s="130"/>
      <c r="T54" s="130"/>
      <c r="U54" s="130"/>
      <c r="V54" s="130"/>
    </row>
    <row r="55" spans="12:22" x14ac:dyDescent="0.15">
      <c r="L55" s="130"/>
      <c r="M55" s="130"/>
      <c r="N55" s="130"/>
      <c r="O55" s="130"/>
      <c r="P55" s="130"/>
      <c r="Q55" s="130"/>
      <c r="R55" s="130"/>
      <c r="S55" s="130"/>
      <c r="T55" s="130"/>
      <c r="U55" s="130"/>
      <c r="V55" s="130"/>
    </row>
    <row r="56" spans="12:22" x14ac:dyDescent="0.15">
      <c r="L56" s="130" t="str">
        <f>A17</f>
        <v>Secure Architecture</v>
      </c>
    </row>
    <row r="63" spans="12:22" x14ac:dyDescent="0.15">
      <c r="L63" s="34" t="s">
        <v>209</v>
      </c>
    </row>
    <row r="70" spans="12:22" x14ac:dyDescent="0.15">
      <c r="L70" s="34" t="s">
        <v>219</v>
      </c>
    </row>
    <row r="77" spans="12:22" x14ac:dyDescent="0.15">
      <c r="L77" s="34" t="s">
        <v>230</v>
      </c>
    </row>
    <row r="80" spans="12:22" x14ac:dyDescent="0.15">
      <c r="M80" s="130"/>
      <c r="N80" s="130"/>
      <c r="O80" s="130"/>
      <c r="P80" s="130"/>
      <c r="Q80" s="130"/>
      <c r="R80" s="130"/>
      <c r="S80" s="130"/>
      <c r="T80" s="130"/>
      <c r="U80" s="130"/>
      <c r="V80" s="130"/>
    </row>
    <row r="81" spans="12:22" x14ac:dyDescent="0.15">
      <c r="L81" s="130"/>
      <c r="M81" s="130"/>
      <c r="N81" s="130"/>
      <c r="O81" s="130"/>
      <c r="P81" s="130"/>
      <c r="Q81" s="130"/>
      <c r="R81" s="130"/>
      <c r="S81" s="130"/>
      <c r="T81" s="130"/>
      <c r="U81" s="130"/>
      <c r="V81" s="130"/>
    </row>
    <row r="82" spans="12:22" x14ac:dyDescent="0.15">
      <c r="L82" s="130"/>
      <c r="M82" s="130"/>
      <c r="N82" s="130"/>
      <c r="O82" s="130"/>
      <c r="P82" s="130"/>
      <c r="Q82" s="130"/>
      <c r="R82" s="130"/>
      <c r="S82" s="130"/>
      <c r="T82" s="130"/>
      <c r="U82" s="130"/>
      <c r="V82" s="130"/>
    </row>
    <row r="83" spans="12:22" x14ac:dyDescent="0.15">
      <c r="L83" s="130"/>
      <c r="M83" s="130"/>
      <c r="N83" s="130"/>
      <c r="O83" s="130"/>
      <c r="P83" s="130"/>
      <c r="Q83" s="130"/>
      <c r="R83" s="130"/>
      <c r="S83" s="130"/>
      <c r="T83" s="130"/>
      <c r="U83" s="130"/>
      <c r="V83" s="130"/>
    </row>
    <row r="84" spans="12:22" x14ac:dyDescent="0.15">
      <c r="L84" s="130"/>
      <c r="M84" s="130"/>
      <c r="N84" s="130"/>
      <c r="O84" s="130"/>
      <c r="P84" s="130"/>
      <c r="Q84" s="130"/>
      <c r="R84" s="130"/>
      <c r="S84" s="130"/>
      <c r="T84" s="130"/>
      <c r="U84" s="130"/>
      <c r="V84" s="130"/>
    </row>
    <row r="85" spans="12:22" x14ac:dyDescent="0.15">
      <c r="L85" s="130"/>
      <c r="M85" s="130"/>
      <c r="N85" s="130"/>
      <c r="O85" s="130"/>
      <c r="P85" s="130"/>
      <c r="Q85" s="130"/>
      <c r="R85" s="130"/>
      <c r="S85" s="130"/>
      <c r="T85" s="130"/>
      <c r="U85" s="130"/>
      <c r="V85" s="130"/>
    </row>
    <row r="86" spans="12:22" x14ac:dyDescent="0.15">
      <c r="L86" s="130"/>
      <c r="M86" s="130"/>
      <c r="N86" s="130"/>
      <c r="O86" s="130"/>
      <c r="P86" s="130"/>
      <c r="Q86" s="130"/>
      <c r="R86" s="130"/>
      <c r="S86" s="130"/>
      <c r="T86" s="130"/>
      <c r="U86" s="130"/>
      <c r="V86" s="130"/>
    </row>
    <row r="87" spans="12:22" x14ac:dyDescent="0.15">
      <c r="L87" s="130"/>
      <c r="M87" s="130"/>
      <c r="N87" s="130"/>
      <c r="O87" s="130"/>
      <c r="P87" s="130"/>
      <c r="Q87" s="130"/>
      <c r="R87" s="130"/>
      <c r="S87" s="130"/>
      <c r="T87" s="130"/>
      <c r="U87" s="130"/>
      <c r="V87" s="130"/>
    </row>
    <row r="88" spans="12:22" x14ac:dyDescent="0.15">
      <c r="L88" s="130" t="str">
        <f>A21</f>
        <v>Architecture Assessment</v>
      </c>
      <c r="M88" s="130"/>
      <c r="N88" s="130"/>
      <c r="O88" s="130"/>
      <c r="P88" s="130"/>
      <c r="Q88" s="130"/>
      <c r="R88" s="130"/>
      <c r="S88" s="130"/>
      <c r="T88" s="130"/>
      <c r="U88" s="130"/>
      <c r="V88" s="130"/>
    </row>
    <row r="89" spans="12:22" x14ac:dyDescent="0.15">
      <c r="L89" s="130"/>
      <c r="M89" s="130"/>
      <c r="N89" s="130"/>
      <c r="O89" s="130"/>
      <c r="P89" s="130"/>
      <c r="Q89" s="130"/>
      <c r="R89" s="130"/>
      <c r="S89" s="130"/>
      <c r="T89" s="130"/>
      <c r="U89" s="130"/>
      <c r="V89" s="130"/>
    </row>
    <row r="90" spans="12:22" x14ac:dyDescent="0.15">
      <c r="L90" s="130"/>
      <c r="M90" s="130"/>
      <c r="N90" s="130"/>
      <c r="O90" s="130"/>
      <c r="P90" s="130"/>
      <c r="Q90" s="130"/>
      <c r="R90" s="130"/>
      <c r="S90" s="130"/>
      <c r="T90" s="130"/>
      <c r="U90" s="130"/>
      <c r="V90" s="130"/>
    </row>
    <row r="91" spans="12:22" x14ac:dyDescent="0.15">
      <c r="L91" s="130"/>
      <c r="M91" s="130"/>
      <c r="N91" s="130"/>
      <c r="O91" s="130"/>
      <c r="P91" s="130"/>
      <c r="Q91" s="130"/>
      <c r="R91" s="130"/>
      <c r="S91" s="130"/>
      <c r="T91" s="130"/>
      <c r="U91" s="130"/>
      <c r="V91" s="130"/>
    </row>
    <row r="92" spans="12:22" x14ac:dyDescent="0.15">
      <c r="L92" s="130"/>
      <c r="M92" s="130"/>
      <c r="N92" s="130"/>
      <c r="O92" s="130"/>
      <c r="P92" s="130"/>
      <c r="Q92" s="130"/>
      <c r="R92" s="130"/>
      <c r="S92" s="130"/>
      <c r="T92" s="130"/>
      <c r="U92" s="130"/>
      <c r="V92" s="130"/>
    </row>
    <row r="93" spans="12:22" x14ac:dyDescent="0.15">
      <c r="L93" s="130"/>
      <c r="M93" s="130"/>
      <c r="N93" s="130"/>
      <c r="O93" s="130"/>
      <c r="P93" s="130"/>
      <c r="Q93" s="130"/>
      <c r="R93" s="130"/>
      <c r="S93" s="130"/>
      <c r="T93" s="130"/>
      <c r="U93" s="130"/>
      <c r="V93" s="130"/>
    </row>
    <row r="94" spans="12:22" x14ac:dyDescent="0.15">
      <c r="L94" s="130"/>
      <c r="M94" s="130"/>
      <c r="N94" s="130"/>
      <c r="O94" s="130"/>
      <c r="P94" s="130"/>
      <c r="Q94" s="130"/>
      <c r="R94" s="130"/>
      <c r="S94" s="130"/>
      <c r="T94" s="130"/>
      <c r="U94" s="130"/>
      <c r="V94" s="130"/>
    </row>
    <row r="95" spans="12:22" x14ac:dyDescent="0.15">
      <c r="L95" s="130"/>
      <c r="M95" s="130"/>
      <c r="N95" s="130"/>
      <c r="O95" s="130"/>
      <c r="P95" s="130"/>
      <c r="Q95" s="130"/>
      <c r="R95" s="130"/>
      <c r="S95" s="130"/>
      <c r="T95" s="130"/>
      <c r="U95" s="130"/>
      <c r="V95" s="130"/>
    </row>
    <row r="96" spans="12:22" x14ac:dyDescent="0.15">
      <c r="L96" s="130" t="str">
        <f>A22</f>
        <v>Requirements Testing</v>
      </c>
      <c r="M96" s="130"/>
      <c r="N96" s="130"/>
      <c r="O96" s="130"/>
      <c r="P96" s="130"/>
      <c r="Q96" s="130"/>
      <c r="R96" s="130"/>
      <c r="S96" s="130"/>
      <c r="T96" s="130"/>
      <c r="U96" s="130"/>
      <c r="V96" s="130"/>
    </row>
    <row r="97" spans="12:22" x14ac:dyDescent="0.15">
      <c r="L97" s="130"/>
      <c r="M97" s="130"/>
      <c r="N97" s="130"/>
      <c r="O97" s="130"/>
      <c r="P97" s="130"/>
      <c r="Q97" s="130"/>
      <c r="R97" s="130"/>
      <c r="S97" s="130"/>
      <c r="T97" s="130"/>
      <c r="U97" s="130"/>
      <c r="V97" s="130"/>
    </row>
    <row r="98" spans="12:22" x14ac:dyDescent="0.15">
      <c r="L98" s="130"/>
      <c r="M98" s="130"/>
      <c r="N98" s="130"/>
      <c r="O98" s="130"/>
      <c r="P98" s="130"/>
      <c r="Q98" s="130"/>
      <c r="R98" s="130"/>
      <c r="S98" s="130"/>
      <c r="T98" s="130"/>
      <c r="U98" s="130"/>
      <c r="V98" s="130"/>
    </row>
    <row r="99" spans="12:22" x14ac:dyDescent="0.15">
      <c r="L99" s="130"/>
      <c r="M99" s="130"/>
      <c r="N99" s="130"/>
      <c r="O99" s="130"/>
      <c r="P99" s="130"/>
      <c r="Q99" s="130"/>
      <c r="R99" s="130"/>
      <c r="S99" s="130"/>
      <c r="T99" s="130"/>
      <c r="U99" s="130"/>
      <c r="V99" s="130"/>
    </row>
    <row r="100" spans="12:22" x14ac:dyDescent="0.15">
      <c r="L100" s="130"/>
      <c r="M100" s="130"/>
      <c r="N100" s="130"/>
      <c r="O100" s="130"/>
      <c r="P100" s="130"/>
      <c r="Q100" s="130"/>
      <c r="R100" s="130"/>
      <c r="S100" s="130"/>
      <c r="T100" s="130"/>
      <c r="U100" s="130"/>
      <c r="V100" s="130"/>
    </row>
    <row r="101" spans="12:22" x14ac:dyDescent="0.15">
      <c r="L101" s="130"/>
      <c r="M101" s="130"/>
      <c r="N101" s="130"/>
      <c r="O101" s="130"/>
      <c r="P101" s="130"/>
      <c r="Q101" s="130"/>
      <c r="R101" s="130"/>
      <c r="S101" s="130"/>
      <c r="T101" s="130"/>
      <c r="U101" s="130"/>
      <c r="V101" s="130"/>
    </row>
    <row r="102" spans="12:22" x14ac:dyDescent="0.15">
      <c r="L102" s="130"/>
      <c r="M102" s="130"/>
      <c r="N102" s="130"/>
      <c r="O102" s="130"/>
      <c r="P102" s="130"/>
      <c r="Q102" s="130"/>
      <c r="R102" s="130"/>
      <c r="S102" s="130"/>
      <c r="T102" s="130"/>
      <c r="U102" s="130"/>
      <c r="V102" s="130"/>
    </row>
    <row r="103" spans="12:22" x14ac:dyDescent="0.15">
      <c r="L103" s="130"/>
      <c r="M103" s="130"/>
      <c r="N103" s="130"/>
      <c r="O103" s="130"/>
      <c r="P103" s="130"/>
      <c r="Q103" s="130"/>
      <c r="R103" s="130"/>
      <c r="S103" s="130"/>
      <c r="T103" s="130"/>
      <c r="U103" s="130"/>
      <c r="V103" s="130"/>
    </row>
    <row r="104" spans="12:22" x14ac:dyDescent="0.15">
      <c r="L104" s="130" t="str">
        <f>A23</f>
        <v>Security Testing</v>
      </c>
      <c r="M104" s="130"/>
      <c r="N104" s="130"/>
      <c r="O104" s="130"/>
      <c r="P104" s="130"/>
      <c r="Q104" s="130"/>
      <c r="R104" s="130"/>
      <c r="S104" s="130"/>
      <c r="T104" s="130"/>
      <c r="U104" s="130"/>
      <c r="V104" s="130"/>
    </row>
    <row r="105" spans="12:22" x14ac:dyDescent="0.15">
      <c r="L105" s="130"/>
      <c r="M105" s="130"/>
      <c r="N105" s="130"/>
      <c r="O105" s="130"/>
      <c r="P105" s="130"/>
      <c r="Q105" s="130"/>
      <c r="R105" s="130"/>
      <c r="S105" s="130"/>
      <c r="T105" s="130"/>
      <c r="U105" s="130"/>
      <c r="V105" s="130"/>
    </row>
    <row r="106" spans="12:22" x14ac:dyDescent="0.15">
      <c r="L106" s="130"/>
      <c r="M106" s="130"/>
      <c r="N106" s="130"/>
      <c r="O106" s="130"/>
      <c r="P106" s="130"/>
      <c r="Q106" s="130"/>
      <c r="R106" s="130"/>
      <c r="S106" s="130"/>
      <c r="T106" s="130"/>
      <c r="U106" s="130"/>
      <c r="V106" s="130"/>
    </row>
    <row r="107" spans="12:22" x14ac:dyDescent="0.15">
      <c r="L107" s="130"/>
      <c r="M107" s="130"/>
      <c r="N107" s="130"/>
      <c r="O107" s="130"/>
      <c r="P107" s="130"/>
      <c r="Q107" s="130"/>
      <c r="R107" s="130"/>
      <c r="S107" s="130"/>
      <c r="T107" s="130"/>
      <c r="U107" s="130"/>
      <c r="V107" s="130"/>
    </row>
    <row r="108" spans="12:22" x14ac:dyDescent="0.15">
      <c r="L108" s="130"/>
      <c r="M108" s="130"/>
      <c r="N108" s="130"/>
      <c r="O108" s="130"/>
      <c r="P108" s="130"/>
      <c r="Q108" s="130"/>
      <c r="R108" s="130"/>
      <c r="S108" s="130"/>
      <c r="T108" s="130"/>
      <c r="U108" s="130"/>
      <c r="V108" s="130"/>
    </row>
    <row r="109" spans="12:22" x14ac:dyDescent="0.15">
      <c r="L109" s="130"/>
      <c r="M109" s="130"/>
      <c r="N109" s="130"/>
      <c r="O109" s="130"/>
      <c r="P109" s="130"/>
      <c r="Q109" s="130"/>
      <c r="R109" s="130"/>
      <c r="S109" s="130"/>
      <c r="T109" s="130"/>
      <c r="U109" s="130"/>
      <c r="V109" s="130"/>
    </row>
    <row r="110" spans="12:22" x14ac:dyDescent="0.15">
      <c r="L110" s="130"/>
      <c r="M110" s="130"/>
      <c r="N110" s="130"/>
      <c r="O110" s="130"/>
      <c r="P110" s="130"/>
      <c r="Q110" s="130"/>
      <c r="R110" s="130"/>
      <c r="S110" s="130"/>
      <c r="T110" s="130"/>
      <c r="U110" s="130"/>
      <c r="V110" s="130"/>
    </row>
    <row r="111" spans="12:22" x14ac:dyDescent="0.15">
      <c r="L111" s="130"/>
      <c r="M111" s="130"/>
      <c r="N111" s="130"/>
      <c r="O111" s="130"/>
      <c r="P111" s="130"/>
      <c r="Q111" s="130"/>
      <c r="R111" s="130"/>
      <c r="S111" s="130"/>
      <c r="T111" s="130"/>
      <c r="U111" s="130"/>
      <c r="V111" s="130"/>
    </row>
    <row r="112" spans="12:22" x14ac:dyDescent="0.15">
      <c r="L112" s="130" t="str">
        <f>A24</f>
        <v>Incident Management</v>
      </c>
      <c r="M112" s="130"/>
      <c r="N112" s="130"/>
      <c r="O112" s="130"/>
      <c r="P112" s="130"/>
      <c r="Q112" s="130"/>
      <c r="R112" s="130"/>
      <c r="S112" s="130"/>
      <c r="T112" s="130"/>
      <c r="U112" s="130"/>
      <c r="V112" s="130"/>
    </row>
    <row r="113" spans="12:22" x14ac:dyDescent="0.15">
      <c r="L113" s="130"/>
      <c r="M113" s="130"/>
      <c r="N113" s="130"/>
      <c r="O113" s="130"/>
      <c r="P113" s="130"/>
      <c r="Q113" s="130"/>
      <c r="R113" s="130"/>
      <c r="S113" s="130"/>
      <c r="T113" s="130"/>
      <c r="U113" s="130"/>
      <c r="V113" s="130"/>
    </row>
    <row r="114" spans="12:22" x14ac:dyDescent="0.15">
      <c r="L114" s="130"/>
      <c r="M114" s="130"/>
      <c r="N114" s="130"/>
      <c r="O114" s="130"/>
      <c r="P114" s="130"/>
      <c r="Q114" s="130"/>
      <c r="R114" s="130"/>
      <c r="S114" s="130"/>
      <c r="T114" s="130"/>
      <c r="U114" s="130"/>
      <c r="V114" s="130"/>
    </row>
    <row r="115" spans="12:22" x14ac:dyDescent="0.15">
      <c r="L115" s="130"/>
      <c r="M115" s="130"/>
      <c r="N115" s="130"/>
      <c r="O115" s="130"/>
      <c r="P115" s="130"/>
      <c r="Q115" s="130"/>
      <c r="R115" s="130"/>
      <c r="S115" s="130"/>
      <c r="T115" s="130"/>
      <c r="U115" s="130"/>
      <c r="V115" s="130"/>
    </row>
    <row r="116" spans="12:22" x14ac:dyDescent="0.15">
      <c r="L116" s="130"/>
      <c r="M116" s="130"/>
      <c r="N116" s="130"/>
      <c r="O116" s="130"/>
      <c r="P116" s="130"/>
      <c r="Q116" s="130"/>
      <c r="R116" s="130"/>
      <c r="S116" s="130"/>
      <c r="T116" s="130"/>
      <c r="U116" s="130"/>
      <c r="V116" s="130"/>
    </row>
    <row r="117" spans="12:22" x14ac:dyDescent="0.15">
      <c r="L117" s="130"/>
      <c r="M117" s="130"/>
      <c r="N117" s="130"/>
      <c r="O117" s="130"/>
      <c r="P117" s="130"/>
      <c r="Q117" s="130"/>
      <c r="R117" s="130"/>
      <c r="S117" s="130"/>
      <c r="T117" s="130"/>
      <c r="U117" s="130"/>
      <c r="V117" s="130"/>
    </row>
    <row r="118" spans="12:22" x14ac:dyDescent="0.15">
      <c r="L118" s="130"/>
      <c r="M118" s="130"/>
      <c r="N118" s="130"/>
      <c r="O118" s="130"/>
      <c r="P118" s="130"/>
      <c r="Q118" s="130"/>
      <c r="R118" s="130"/>
      <c r="S118" s="130"/>
      <c r="T118" s="130"/>
      <c r="U118" s="130"/>
      <c r="V118" s="130"/>
    </row>
    <row r="119" spans="12:22" x14ac:dyDescent="0.15">
      <c r="L119" s="130"/>
      <c r="M119" s="130"/>
      <c r="N119" s="130"/>
      <c r="O119" s="130"/>
      <c r="P119" s="130"/>
      <c r="Q119" s="130"/>
      <c r="R119" s="130"/>
      <c r="S119" s="130"/>
      <c r="T119" s="130"/>
      <c r="U119" s="130"/>
      <c r="V119" s="130"/>
    </row>
    <row r="120" spans="12:22" x14ac:dyDescent="0.15">
      <c r="L120" s="130" t="str">
        <f>A25</f>
        <v>Environment Management</v>
      </c>
      <c r="M120" s="130"/>
      <c r="N120" s="130"/>
      <c r="O120" s="130"/>
      <c r="P120" s="130"/>
      <c r="Q120" s="130"/>
      <c r="R120" s="130"/>
      <c r="S120" s="130"/>
      <c r="T120" s="130"/>
      <c r="U120" s="130"/>
      <c r="V120" s="130"/>
    </row>
    <row r="121" spans="12:22" x14ac:dyDescent="0.15">
      <c r="L121" s="130"/>
      <c r="M121" s="130"/>
      <c r="N121" s="130"/>
      <c r="O121" s="130"/>
      <c r="P121" s="130"/>
      <c r="Q121" s="130"/>
      <c r="R121" s="130"/>
      <c r="S121" s="130"/>
      <c r="T121" s="130"/>
      <c r="U121" s="130"/>
      <c r="V121" s="130"/>
    </row>
    <row r="122" spans="12:22" x14ac:dyDescent="0.15">
      <c r="L122" s="130"/>
      <c r="M122" s="130"/>
      <c r="N122" s="130"/>
      <c r="O122" s="130"/>
      <c r="P122" s="130"/>
      <c r="Q122" s="130"/>
      <c r="R122" s="130"/>
      <c r="S122" s="130"/>
      <c r="T122" s="130"/>
      <c r="U122" s="130"/>
      <c r="V122" s="130"/>
    </row>
    <row r="123" spans="12:22" x14ac:dyDescent="0.15">
      <c r="L123" s="130"/>
      <c r="M123" s="130"/>
      <c r="N123" s="130"/>
      <c r="O123" s="130"/>
      <c r="P123" s="130"/>
      <c r="Q123" s="130"/>
      <c r="R123" s="130"/>
      <c r="S123" s="130"/>
      <c r="T123" s="130"/>
      <c r="U123" s="130"/>
      <c r="V123" s="130"/>
    </row>
    <row r="124" spans="12:22" x14ac:dyDescent="0.15">
      <c r="L124" s="130"/>
      <c r="M124" s="130"/>
      <c r="N124" s="130"/>
      <c r="O124" s="130"/>
      <c r="P124" s="130"/>
      <c r="Q124" s="130"/>
      <c r="R124" s="130"/>
      <c r="S124" s="130"/>
      <c r="T124" s="130"/>
      <c r="U124" s="130"/>
      <c r="V124" s="130"/>
    </row>
    <row r="125" spans="12:22" x14ac:dyDescent="0.15">
      <c r="L125" s="130"/>
      <c r="M125" s="130"/>
      <c r="N125" s="130"/>
      <c r="O125" s="130"/>
      <c r="P125" s="130"/>
      <c r="Q125" s="130"/>
      <c r="R125" s="130"/>
      <c r="S125" s="130"/>
      <c r="T125" s="130"/>
      <c r="U125" s="130"/>
      <c r="V125" s="130"/>
    </row>
    <row r="126" spans="12:22" x14ac:dyDescent="0.15">
      <c r="L126" s="130"/>
      <c r="M126" s="130"/>
      <c r="N126" s="130"/>
      <c r="O126" s="130"/>
      <c r="P126" s="130"/>
      <c r="Q126" s="130"/>
      <c r="R126" s="130"/>
      <c r="S126" s="130"/>
      <c r="T126" s="130"/>
      <c r="U126" s="130"/>
      <c r="V126" s="130"/>
    </row>
    <row r="127" spans="12:22" x14ac:dyDescent="0.15">
      <c r="L127" s="130"/>
      <c r="M127" s="130"/>
      <c r="N127" s="130"/>
      <c r="O127" s="130"/>
      <c r="P127" s="130"/>
      <c r="Q127" s="130"/>
      <c r="R127" s="130"/>
      <c r="S127" s="130"/>
      <c r="T127" s="130"/>
      <c r="U127" s="130"/>
      <c r="V127" s="130"/>
    </row>
    <row r="128" spans="12:22" x14ac:dyDescent="0.15">
      <c r="L128" s="130" t="str">
        <f>A26</f>
        <v>Operational Management</v>
      </c>
      <c r="M128" s="130"/>
      <c r="N128" s="130"/>
      <c r="O128" s="130"/>
      <c r="P128" s="130"/>
      <c r="Q128" s="130"/>
      <c r="R128" s="130"/>
      <c r="S128" s="130"/>
      <c r="T128" s="130"/>
      <c r="U128" s="130"/>
      <c r="V128" s="130"/>
    </row>
    <row r="129" spans="12:22" x14ac:dyDescent="0.15">
      <c r="L129" s="130"/>
      <c r="M129" s="130"/>
      <c r="N129" s="130"/>
      <c r="O129" s="130"/>
      <c r="P129" s="130"/>
      <c r="Q129" s="130"/>
      <c r="R129" s="130"/>
      <c r="S129" s="130"/>
      <c r="T129" s="130"/>
      <c r="U129" s="130"/>
      <c r="V129" s="130"/>
    </row>
    <row r="130" spans="12:22" x14ac:dyDescent="0.15">
      <c r="L130" s="130"/>
      <c r="M130" s="130"/>
      <c r="N130" s="130"/>
      <c r="O130" s="130"/>
      <c r="P130" s="130"/>
      <c r="Q130" s="130"/>
      <c r="R130" s="130"/>
      <c r="S130" s="130"/>
      <c r="T130" s="130"/>
      <c r="U130" s="130"/>
      <c r="V130" s="130"/>
    </row>
    <row r="131" spans="12:22" x14ac:dyDescent="0.15">
      <c r="L131" s="130"/>
      <c r="M131" s="130"/>
      <c r="N131" s="130"/>
      <c r="O131" s="130"/>
      <c r="P131" s="130"/>
      <c r="Q131" s="130"/>
      <c r="R131" s="130"/>
      <c r="S131" s="130"/>
      <c r="T131" s="130"/>
      <c r="U131" s="130"/>
      <c r="V131" s="130"/>
    </row>
    <row r="132" spans="12:22" ht="14" thickBot="1" x14ac:dyDescent="0.2">
      <c r="L132" s="130"/>
      <c r="M132" s="131"/>
      <c r="N132" s="131"/>
      <c r="O132" s="131"/>
      <c r="P132" s="131"/>
      <c r="Q132" s="131"/>
      <c r="R132" s="131"/>
      <c r="S132" s="131"/>
      <c r="T132" s="131"/>
      <c r="U132" s="131"/>
      <c r="V132" s="131"/>
    </row>
  </sheetData>
  <customSheetViews>
    <customSheetView guid="{9846C184-355C-EA4B-8C35-9561D1AEE31C}" fitToPage="1">
      <selection activeCell="B10" sqref="B10"/>
      <pageMargins left="0.55118110236220474" right="0.55118110236220474" top="0.39370078740157483" bottom="0.39370078740157483" header="0.51181102362204722" footer="0.51181102362204722"/>
      <pageSetup paperSize="9" scale="50" orientation="portrait" r:id="rId1"/>
      <headerFooter alignWithMargins="0"/>
    </customSheetView>
  </customSheetViews>
  <mergeCells count="20">
    <mergeCell ref="O11:P11"/>
    <mergeCell ref="Q11:R11"/>
    <mergeCell ref="S11:T11"/>
    <mergeCell ref="U11:V11"/>
    <mergeCell ref="O8:R8"/>
    <mergeCell ref="S8:V8"/>
    <mergeCell ref="O9:P9"/>
    <mergeCell ref="Q9:R9"/>
    <mergeCell ref="S9:T9"/>
    <mergeCell ref="U9:V9"/>
    <mergeCell ref="A1:K1"/>
    <mergeCell ref="O10:P10"/>
    <mergeCell ref="Q10:R10"/>
    <mergeCell ref="S10:T10"/>
    <mergeCell ref="U10:V10"/>
    <mergeCell ref="B4:C4"/>
    <mergeCell ref="B5:C5"/>
    <mergeCell ref="B7:C7"/>
    <mergeCell ref="B8:C8"/>
    <mergeCell ref="B6:C6"/>
  </mergeCells>
  <dataValidations disablePrompts="1" count="1">
    <dataValidation showInputMessage="1" showErrorMessage="1" sqref="B12:B26" xr:uid="{00000000-0002-0000-0400-000000000000}"/>
  </dataValidations>
  <pageMargins left="0.55118110236220474" right="0.55118110236220474" top="0.39370078740157483" bottom="0.39370078740157483" header="0.51181102362204722" footer="0.51181102362204722"/>
  <pageSetup paperSize="9" scale="50" orientation="portrait" r:id="rId2"/>
  <headerFooter alignWithMargins="0"/>
  <ignoredErrors>
    <ignoredError sqref="B4:B6 B7:B8" unlockedFormula="1"/>
  </ignoredError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Q152"/>
  <sheetViews>
    <sheetView topLeftCell="H111" workbookViewId="0">
      <selection activeCell="P130" sqref="P130:P133"/>
    </sheetView>
  </sheetViews>
  <sheetFormatPr baseColWidth="10" defaultColWidth="8.83203125" defaultRowHeight="13" x14ac:dyDescent="0.15"/>
  <cols>
    <col min="3" max="3" width="8.83203125" customWidth="1"/>
    <col min="9" max="9" width="22.6640625" style="22" customWidth="1"/>
    <col min="10" max="10" width="35.1640625" customWidth="1"/>
    <col min="15" max="15" width="21.83203125" customWidth="1"/>
    <col min="16" max="16" width="29.1640625" customWidth="1"/>
  </cols>
  <sheetData>
    <row r="1" spans="1:17" ht="66" customHeight="1" thickBot="1" x14ac:dyDescent="0.3">
      <c r="A1" s="592" t="s">
        <v>98</v>
      </c>
      <c r="B1" s="593"/>
      <c r="C1" s="593"/>
      <c r="D1" s="593"/>
      <c r="E1" s="593"/>
      <c r="F1" s="593"/>
      <c r="G1" s="593"/>
      <c r="H1" s="593"/>
      <c r="I1" s="593"/>
      <c r="J1" s="593"/>
      <c r="K1" s="594"/>
      <c r="M1" s="168" t="str">
        <f>IF(M2=M3,"OK","Problem")</f>
        <v>OK</v>
      </c>
    </row>
    <row r="2" spans="1:17" x14ac:dyDescent="0.15">
      <c r="M2">
        <f>COUNTA(M4:M200)</f>
        <v>25</v>
      </c>
    </row>
    <row r="3" spans="1:17" x14ac:dyDescent="0.15">
      <c r="A3" s="28" t="s">
        <v>31</v>
      </c>
      <c r="B3" s="27"/>
      <c r="C3" s="661" t="s">
        <v>32</v>
      </c>
      <c r="D3" s="661"/>
      <c r="E3" s="661"/>
      <c r="F3" s="27"/>
      <c r="G3" s="27"/>
      <c r="H3" s="27"/>
      <c r="I3" s="26"/>
      <c r="M3">
        <f>COUNTA('imp-answers'!A2:A200)</f>
        <v>25</v>
      </c>
    </row>
    <row r="4" spans="1:17" x14ac:dyDescent="0.15">
      <c r="A4" s="29" t="s">
        <v>30</v>
      </c>
      <c r="C4" s="30">
        <v>3</v>
      </c>
      <c r="D4" s="30">
        <v>3</v>
      </c>
      <c r="E4" s="30">
        <v>3</v>
      </c>
      <c r="F4" s="30">
        <v>6</v>
      </c>
      <c r="G4" s="103"/>
      <c r="H4" s="659" t="s">
        <v>67</v>
      </c>
      <c r="I4" s="104">
        <v>1</v>
      </c>
      <c r="J4" t="s">
        <v>27</v>
      </c>
      <c r="K4">
        <v>0</v>
      </c>
      <c r="M4" s="659" t="str">
        <f>CHAR(65+N4)</f>
        <v>A</v>
      </c>
      <c r="N4" s="659">
        <v>0</v>
      </c>
      <c r="O4" s="104"/>
      <c r="P4" s="141" t="str">
        <f>VLOOKUP(N4,'imp-answers'!$A$2:$I$50,2,FALSE)</f>
        <v>No</v>
      </c>
      <c r="Q4" s="141">
        <f>VLOOKUP(N4,'imp-answers'!$A$2:$I$50,6,FALSE)</f>
        <v>0</v>
      </c>
    </row>
    <row r="5" spans="1:17" x14ac:dyDescent="0.15">
      <c r="A5" s="29" t="s">
        <v>27</v>
      </c>
      <c r="B5" s="13"/>
      <c r="C5" s="30">
        <v>2.0099999999999998</v>
      </c>
      <c r="D5" s="30">
        <v>2.99</v>
      </c>
      <c r="E5" s="31" t="s">
        <v>4</v>
      </c>
      <c r="F5" s="32">
        <v>5</v>
      </c>
      <c r="G5" s="22"/>
      <c r="H5" s="659"/>
      <c r="I5" s="99"/>
      <c r="J5" t="s">
        <v>56</v>
      </c>
      <c r="K5">
        <v>0.2</v>
      </c>
      <c r="M5" s="660"/>
      <c r="N5" s="660"/>
      <c r="O5" s="99"/>
      <c r="P5" s="141" t="str">
        <f>VLOOKUP(N4,'imp-answers'!$A$2:$I$50,3,FALSE)</f>
        <v>Yes, some content</v>
      </c>
      <c r="Q5" s="141">
        <f>VLOOKUP(N4,'imp-answers'!$A$2:$I$50,7,FALSE)</f>
        <v>0.25</v>
      </c>
    </row>
    <row r="6" spans="1:17" x14ac:dyDescent="0.15">
      <c r="C6" s="30">
        <v>2</v>
      </c>
      <c r="D6" s="30">
        <v>2</v>
      </c>
      <c r="E6" s="30">
        <v>2</v>
      </c>
      <c r="F6" s="30">
        <v>4</v>
      </c>
      <c r="G6" s="103"/>
      <c r="H6" s="659"/>
      <c r="I6" s="101"/>
      <c r="J6" t="s">
        <v>87</v>
      </c>
      <c r="K6">
        <v>0.5</v>
      </c>
      <c r="M6" s="660"/>
      <c r="N6" s="660"/>
      <c r="O6" s="139"/>
      <c r="P6" s="141" t="str">
        <f>VLOOKUP(N4,'imp-answers'!$A$2:$I$50,4,FALSE)</f>
        <v>Yes, at least half of the content</v>
      </c>
      <c r="Q6" s="141">
        <f>VLOOKUP(N4,'imp-answers'!$A$2:$I$50,8,FALSE)</f>
        <v>0.5</v>
      </c>
    </row>
    <row r="7" spans="1:17" x14ac:dyDescent="0.15">
      <c r="C7" s="30">
        <v>1.01</v>
      </c>
      <c r="D7" s="30">
        <v>1.99</v>
      </c>
      <c r="E7" s="31" t="s">
        <v>3</v>
      </c>
      <c r="F7" s="32">
        <v>3</v>
      </c>
      <c r="G7" s="22"/>
      <c r="H7" s="659"/>
      <c r="I7" s="102">
        <v>2</v>
      </c>
      <c r="J7" t="s">
        <v>88</v>
      </c>
      <c r="K7">
        <v>1</v>
      </c>
      <c r="M7" s="660"/>
      <c r="N7" s="660"/>
      <c r="O7" s="101"/>
      <c r="P7" s="141" t="str">
        <f>VLOOKUP(N4,'imp-answers'!$A$2:$I$50,5,FALSE)</f>
        <v>Yes, most or all of the content</v>
      </c>
      <c r="Q7" s="141">
        <f>VLOOKUP(N4,'imp-answers'!$A$2:$I$50,9,FALSE)</f>
        <v>1</v>
      </c>
    </row>
    <row r="8" spans="1:17" x14ac:dyDescent="0.15">
      <c r="C8" s="30">
        <v>1</v>
      </c>
      <c r="D8" s="30">
        <v>1</v>
      </c>
      <c r="E8" s="30">
        <v>1</v>
      </c>
      <c r="F8" s="30">
        <v>2</v>
      </c>
      <c r="G8" s="103"/>
      <c r="M8" s="660"/>
      <c r="N8" s="660"/>
      <c r="O8" s="138"/>
    </row>
    <row r="9" spans="1:17" x14ac:dyDescent="0.15">
      <c r="C9" s="30">
        <v>0.01</v>
      </c>
      <c r="D9" s="30">
        <v>0.99</v>
      </c>
      <c r="E9" s="31" t="s">
        <v>2</v>
      </c>
      <c r="F9" s="32">
        <v>1</v>
      </c>
      <c r="G9" s="22"/>
      <c r="H9" s="659" t="s">
        <v>68</v>
      </c>
      <c r="I9" s="100" t="s">
        <v>62</v>
      </c>
      <c r="J9" t="s">
        <v>27</v>
      </c>
      <c r="K9">
        <v>0</v>
      </c>
    </row>
    <row r="10" spans="1:17" x14ac:dyDescent="0.15">
      <c r="C10" s="30">
        <v>0</v>
      </c>
      <c r="D10" s="30">
        <v>0</v>
      </c>
      <c r="E10" s="30">
        <v>0</v>
      </c>
      <c r="F10" s="30">
        <v>0</v>
      </c>
      <c r="G10" s="103"/>
      <c r="H10" s="659"/>
      <c r="I10" s="99">
        <v>5</v>
      </c>
      <c r="J10" t="s">
        <v>57</v>
      </c>
      <c r="K10">
        <v>0.2</v>
      </c>
      <c r="M10" s="659" t="str">
        <f>CHAR(65+N10)</f>
        <v>B</v>
      </c>
      <c r="N10" s="659">
        <v>1</v>
      </c>
      <c r="O10" s="104"/>
      <c r="P10" s="141" t="str">
        <f>VLOOKUP(N10,'imp-answers'!$A$2:$I$50,2,FALSE)</f>
        <v>No</v>
      </c>
      <c r="Q10" s="141">
        <f>VLOOKUP(N10,'imp-answers'!$A$2:$I$50,6,FALSE)</f>
        <v>0</v>
      </c>
    </row>
    <row r="11" spans="1:17" x14ac:dyDescent="0.15">
      <c r="H11" s="659"/>
      <c r="I11" s="101" t="s">
        <v>81</v>
      </c>
      <c r="J11" t="s">
        <v>79</v>
      </c>
      <c r="K11">
        <v>0.5</v>
      </c>
      <c r="M11" s="660"/>
      <c r="N11" s="660"/>
      <c r="O11" s="99"/>
      <c r="P11" s="141" t="str">
        <f>VLOOKUP(N10,'imp-answers'!$A$2:$I$50,3,FALSE)</f>
        <v>Yes, for some of the metrics</v>
      </c>
      <c r="Q11" s="141">
        <f>VLOOKUP(N10,'imp-answers'!$A$2:$I$50,7,FALSE)</f>
        <v>0.25</v>
      </c>
    </row>
    <row r="12" spans="1:17" x14ac:dyDescent="0.15">
      <c r="H12" s="659"/>
      <c r="I12" s="102" t="s">
        <v>84</v>
      </c>
      <c r="J12" t="s">
        <v>58</v>
      </c>
      <c r="K12">
        <v>1</v>
      </c>
      <c r="M12" s="660"/>
      <c r="N12" s="660"/>
      <c r="O12" s="139"/>
      <c r="P12" s="141" t="str">
        <f>VLOOKUP(N10,'imp-answers'!$A$2:$I$50,4,FALSE)</f>
        <v>Yes, for at least half of the metrics</v>
      </c>
      <c r="Q12" s="141">
        <f>VLOOKUP(N10,'imp-answers'!$A$2:$I$50,8,FALSE)</f>
        <v>0.5</v>
      </c>
    </row>
    <row r="13" spans="1:17" x14ac:dyDescent="0.15">
      <c r="M13" s="660"/>
      <c r="N13" s="660"/>
      <c r="O13" s="101"/>
      <c r="P13" s="141" t="str">
        <f>VLOOKUP(N10,'imp-answers'!$A$2:$I$50,5,FALSE)</f>
        <v>Yes, for most or all of the metrics</v>
      </c>
      <c r="Q13" s="141">
        <f>VLOOKUP(N10,'imp-answers'!$A$2:$I$50,9,FALSE)</f>
        <v>1</v>
      </c>
    </row>
    <row r="14" spans="1:17" x14ac:dyDescent="0.15">
      <c r="H14" s="659" t="s">
        <v>69</v>
      </c>
      <c r="I14" s="100" t="s">
        <v>115</v>
      </c>
      <c r="J14" t="s">
        <v>27</v>
      </c>
      <c r="K14">
        <v>0</v>
      </c>
      <c r="M14" s="660"/>
      <c r="N14" s="660"/>
      <c r="O14" s="138"/>
    </row>
    <row r="15" spans="1:17" x14ac:dyDescent="0.15">
      <c r="H15" s="659"/>
      <c r="I15" s="99" t="s">
        <v>109</v>
      </c>
      <c r="J15" t="s">
        <v>110</v>
      </c>
      <c r="K15">
        <v>0.2</v>
      </c>
    </row>
    <row r="16" spans="1:17" x14ac:dyDescent="0.15">
      <c r="H16" s="659"/>
      <c r="I16" s="101" t="s">
        <v>82</v>
      </c>
      <c r="J16" t="s">
        <v>111</v>
      </c>
      <c r="K16">
        <v>0.5</v>
      </c>
      <c r="M16" s="659" t="str">
        <f>CHAR(65+N16)</f>
        <v>C</v>
      </c>
      <c r="N16" s="659">
        <v>2</v>
      </c>
      <c r="O16" s="104"/>
      <c r="P16" s="141" t="str">
        <f>VLOOKUP(N16,'imp-answers'!$A$2:$I$50,2,FALSE)</f>
        <v>No</v>
      </c>
      <c r="Q16" s="141">
        <f>VLOOKUP(N16,'imp-answers'!$A$2:$I$50,6,FALSE)</f>
        <v>0</v>
      </c>
    </row>
    <row r="17" spans="8:17" x14ac:dyDescent="0.15">
      <c r="H17" s="659"/>
      <c r="I17" s="102" t="s">
        <v>113</v>
      </c>
      <c r="J17" t="s">
        <v>112</v>
      </c>
      <c r="K17">
        <v>1</v>
      </c>
      <c r="M17" s="660"/>
      <c r="N17" s="660"/>
      <c r="O17" s="99"/>
      <c r="P17" s="141" t="str">
        <f>VLOOKUP(N16,'imp-answers'!$A$2:$I$50,3,FALSE)</f>
        <v>Yes, some of them</v>
      </c>
      <c r="Q17" s="141">
        <f>VLOOKUP(N16,'imp-answers'!$A$2:$I$50,7,FALSE)</f>
        <v>0.25</v>
      </c>
    </row>
    <row r="18" spans="8:17" x14ac:dyDescent="0.15">
      <c r="M18" s="660"/>
      <c r="N18" s="660"/>
      <c r="O18" s="139"/>
      <c r="P18" s="141" t="str">
        <f>VLOOKUP(N16,'imp-answers'!$A$2:$I$50,4,FALSE)</f>
        <v>Yes, at least half of them</v>
      </c>
      <c r="Q18" s="141">
        <f>VLOOKUP(N16,'imp-answers'!$A$2:$I$50,8,FALSE)</f>
        <v>0.5</v>
      </c>
    </row>
    <row r="19" spans="8:17" x14ac:dyDescent="0.15">
      <c r="H19" s="659" t="s">
        <v>70</v>
      </c>
      <c r="I19" s="100" t="s">
        <v>66</v>
      </c>
      <c r="J19" t="s">
        <v>27</v>
      </c>
      <c r="K19">
        <v>0</v>
      </c>
      <c r="M19" s="660"/>
      <c r="N19" s="660"/>
      <c r="O19" s="101"/>
      <c r="P19" s="141" t="str">
        <f>VLOOKUP(N16,'imp-answers'!$A$2:$I$50,5,FALSE)</f>
        <v>Yes, most or all of them</v>
      </c>
      <c r="Q19" s="141">
        <f>VLOOKUP(N16,'imp-answers'!$A$2:$I$50,9,FALSE)</f>
        <v>1</v>
      </c>
    </row>
    <row r="20" spans="8:17" x14ac:dyDescent="0.15">
      <c r="H20" s="659"/>
      <c r="I20" s="99">
        <v>13</v>
      </c>
      <c r="J20" t="s">
        <v>59</v>
      </c>
      <c r="K20">
        <v>0.2</v>
      </c>
      <c r="M20" s="660"/>
      <c r="N20" s="660"/>
      <c r="O20" s="138"/>
    </row>
    <row r="21" spans="8:17" x14ac:dyDescent="0.15">
      <c r="H21" s="659"/>
      <c r="I21" s="101"/>
      <c r="J21" t="s">
        <v>60</v>
      </c>
      <c r="K21">
        <v>0.5</v>
      </c>
    </row>
    <row r="22" spans="8:17" x14ac:dyDescent="0.15">
      <c r="H22" s="659"/>
      <c r="I22" s="102">
        <v>18</v>
      </c>
      <c r="J22" t="s">
        <v>61</v>
      </c>
      <c r="K22">
        <v>1</v>
      </c>
      <c r="M22" s="659" t="str">
        <f>CHAR(65+N22)</f>
        <v>D</v>
      </c>
      <c r="N22" s="659">
        <v>3</v>
      </c>
      <c r="O22" s="104"/>
      <c r="P22" s="141" t="str">
        <f>VLOOKUP(N22,'imp-answers'!$A$2:$I$50,2,FALSE)</f>
        <v>No</v>
      </c>
      <c r="Q22" s="141">
        <f>VLOOKUP(N22,'imp-answers'!$A$2:$I$50,6,FALSE)</f>
        <v>0</v>
      </c>
    </row>
    <row r="23" spans="8:17" x14ac:dyDescent="0.15">
      <c r="M23" s="660"/>
      <c r="N23" s="660"/>
      <c r="O23" s="99"/>
      <c r="P23" s="141" t="str">
        <f>VLOOKUP(N22,'imp-answers'!$A$2:$I$50,3,FALSE)</f>
        <v>Yes, for some obligations</v>
      </c>
      <c r="Q23" s="141">
        <f>VLOOKUP(N22,'imp-answers'!$A$2:$I$50,7,FALSE)</f>
        <v>0.25</v>
      </c>
    </row>
    <row r="24" spans="8:17" x14ac:dyDescent="0.15">
      <c r="H24" s="659" t="s">
        <v>71</v>
      </c>
      <c r="I24" s="100">
        <v>10</v>
      </c>
      <c r="J24" t="s">
        <v>27</v>
      </c>
      <c r="K24">
        <v>0</v>
      </c>
      <c r="M24" s="660"/>
      <c r="N24" s="660"/>
      <c r="O24" s="139"/>
      <c r="P24" s="141" t="str">
        <f>VLOOKUP(N22,'imp-answers'!$A$2:$I$50,4,FALSE)</f>
        <v>Yes, for at least half of the obligations</v>
      </c>
      <c r="Q24" s="141">
        <f>VLOOKUP(N22,'imp-answers'!$A$2:$I$50,8,FALSE)</f>
        <v>0.5</v>
      </c>
    </row>
    <row r="25" spans="8:17" x14ac:dyDescent="0.15">
      <c r="H25" s="659"/>
      <c r="I25" s="99"/>
      <c r="J25" t="s">
        <v>80</v>
      </c>
      <c r="K25">
        <v>1</v>
      </c>
      <c r="M25" s="660"/>
      <c r="N25" s="660"/>
      <c r="O25" s="101"/>
      <c r="P25" s="141" t="str">
        <f>VLOOKUP(N22,'imp-answers'!$A$2:$I$50,5,FALSE)</f>
        <v>Yes, for most or all of the obligations</v>
      </c>
      <c r="Q25" s="141">
        <f>VLOOKUP(N22,'imp-answers'!$A$2:$I$50,9,FALSE)</f>
        <v>1</v>
      </c>
    </row>
    <row r="26" spans="8:17" x14ac:dyDescent="0.15">
      <c r="H26" s="659"/>
      <c r="I26" s="101"/>
      <c r="J26" t="s">
        <v>63</v>
      </c>
      <c r="K26">
        <v>0.5</v>
      </c>
      <c r="M26" s="660"/>
      <c r="N26" s="660"/>
      <c r="O26" s="138"/>
    </row>
    <row r="27" spans="8:17" x14ac:dyDescent="0.15">
      <c r="H27" s="659"/>
      <c r="I27" s="102">
        <v>19</v>
      </c>
      <c r="J27" t="s">
        <v>30</v>
      </c>
      <c r="K27">
        <v>1</v>
      </c>
    </row>
    <row r="28" spans="8:17" x14ac:dyDescent="0.15">
      <c r="M28" s="659" t="str">
        <f>CHAR(65+N28)</f>
        <v>E</v>
      </c>
      <c r="N28" s="659">
        <v>4</v>
      </c>
      <c r="O28" s="104"/>
      <c r="P28" s="141" t="str">
        <f>VLOOKUP(N28,'imp-answers'!$A$2:$I$50,2,FALSE)</f>
        <v>No</v>
      </c>
      <c r="Q28" s="141">
        <f>VLOOKUP(N28,'imp-answers'!$A$2:$I$50,6,FALSE)</f>
        <v>0</v>
      </c>
    </row>
    <row r="29" spans="8:17" x14ac:dyDescent="0.15">
      <c r="H29" s="659" t="s">
        <v>72</v>
      </c>
      <c r="I29" s="100" t="s">
        <v>107</v>
      </c>
      <c r="J29" t="s">
        <v>27</v>
      </c>
      <c r="K29">
        <v>0</v>
      </c>
      <c r="M29" s="660"/>
      <c r="N29" s="660"/>
      <c r="O29" s="99"/>
      <c r="P29" s="141" t="str">
        <f>VLOOKUP(N28,'imp-answers'!$A$2:$I$50,3,FALSE)</f>
        <v>Yes, but reporting is ad-hoc</v>
      </c>
      <c r="Q29" s="141">
        <f>VLOOKUP(N28,'imp-answers'!$A$2:$I$50,7,FALSE)</f>
        <v>0.25</v>
      </c>
    </row>
    <row r="30" spans="8:17" x14ac:dyDescent="0.15">
      <c r="H30" s="659"/>
      <c r="I30" s="99" t="s">
        <v>108</v>
      </c>
      <c r="J30" t="s">
        <v>114</v>
      </c>
      <c r="K30">
        <v>0.2</v>
      </c>
      <c r="M30" s="660"/>
      <c r="N30" s="660"/>
      <c r="O30" s="139"/>
      <c r="P30" s="141" t="str">
        <f>VLOOKUP(N28,'imp-answers'!$A$2:$I$50,4,FALSE)</f>
        <v>Yes, we report at regular times</v>
      </c>
      <c r="Q30" s="141">
        <f>VLOOKUP(N28,'imp-answers'!$A$2:$I$50,8,FALSE)</f>
        <v>0.5</v>
      </c>
    </row>
    <row r="31" spans="8:17" x14ac:dyDescent="0.15">
      <c r="H31" s="659"/>
      <c r="I31" s="101"/>
      <c r="J31" t="s">
        <v>64</v>
      </c>
      <c r="K31">
        <v>0.5</v>
      </c>
      <c r="M31" s="660"/>
      <c r="N31" s="660"/>
      <c r="O31" s="101"/>
      <c r="P31" s="141" t="str">
        <f>VLOOKUP(N28,'imp-answers'!$A$2:$I$50,5,FALSE)</f>
        <v>Yes, we report at least annually</v>
      </c>
      <c r="Q31" s="141">
        <f>VLOOKUP(N28,'imp-answers'!$A$2:$I$50,9,FALSE)</f>
        <v>1</v>
      </c>
    </row>
    <row r="32" spans="8:17" x14ac:dyDescent="0.15">
      <c r="H32" s="659"/>
      <c r="I32" s="102"/>
      <c r="J32" t="s">
        <v>65</v>
      </c>
      <c r="K32">
        <v>1</v>
      </c>
      <c r="M32" s="660"/>
      <c r="N32" s="660"/>
      <c r="O32" s="138"/>
    </row>
    <row r="34" spans="8:17" x14ac:dyDescent="0.15">
      <c r="H34" s="659" t="s">
        <v>73</v>
      </c>
      <c r="I34" s="100"/>
      <c r="J34" t="s">
        <v>27</v>
      </c>
      <c r="K34">
        <v>0</v>
      </c>
      <c r="M34" s="659" t="str">
        <f>CHAR(65+N34)</f>
        <v>F</v>
      </c>
      <c r="N34" s="659">
        <v>5</v>
      </c>
      <c r="O34" s="104"/>
      <c r="P34" s="141" t="str">
        <f>VLOOKUP(N34,'imp-answers'!$A$2:$I$50,2,FALSE)</f>
        <v>No</v>
      </c>
      <c r="Q34" s="141">
        <f>VLOOKUP(N34,'imp-answers'!$A$2:$I$50,6,FALSE)</f>
        <v>0</v>
      </c>
    </row>
    <row r="35" spans="8:17" x14ac:dyDescent="0.15">
      <c r="H35" s="659"/>
      <c r="I35" s="99" t="s">
        <v>78</v>
      </c>
      <c r="J35" t="s">
        <v>75</v>
      </c>
      <c r="K35">
        <v>0.2</v>
      </c>
      <c r="M35" s="660"/>
      <c r="N35" s="660"/>
      <c r="O35" s="99"/>
      <c r="P35" s="141" t="str">
        <f>VLOOKUP(N34,'imp-answers'!$A$2:$I$50,3,FALSE)</f>
        <v>Yes, for some applications</v>
      </c>
      <c r="Q35" s="141">
        <f>VLOOKUP(N34,'imp-answers'!$A$2:$I$50,7,FALSE)</f>
        <v>0.25</v>
      </c>
    </row>
    <row r="36" spans="8:17" x14ac:dyDescent="0.15">
      <c r="H36" s="659"/>
      <c r="I36" s="101" t="s">
        <v>83</v>
      </c>
      <c r="J36" t="s">
        <v>77</v>
      </c>
      <c r="K36">
        <v>0.5</v>
      </c>
      <c r="M36" s="660"/>
      <c r="N36" s="660"/>
      <c r="O36" s="139"/>
      <c r="P36" s="141" t="str">
        <f>VLOOKUP(N34,'imp-answers'!$A$2:$I$50,4,FALSE)</f>
        <v>Yes, for at least half of the applications</v>
      </c>
      <c r="Q36" s="141">
        <f>VLOOKUP(N34,'imp-answers'!$A$2:$I$50,8,FALSE)</f>
        <v>0.5</v>
      </c>
    </row>
    <row r="37" spans="8:17" x14ac:dyDescent="0.15">
      <c r="H37" s="659"/>
      <c r="I37" s="102" t="s">
        <v>85</v>
      </c>
      <c r="J37" t="s">
        <v>76</v>
      </c>
      <c r="K37">
        <v>1</v>
      </c>
      <c r="M37" s="660"/>
      <c r="N37" s="660"/>
      <c r="O37" s="101"/>
      <c r="P37" s="141" t="str">
        <f>VLOOKUP(N34,'imp-answers'!$A$2:$I$50,5,FALSE)</f>
        <v>Yes, for most or all of the applications</v>
      </c>
      <c r="Q37" s="141">
        <f>VLOOKUP(N34,'imp-answers'!$A$2:$I$50,9,FALSE)</f>
        <v>1</v>
      </c>
    </row>
    <row r="38" spans="8:17" x14ac:dyDescent="0.15">
      <c r="M38" s="660"/>
      <c r="N38" s="660"/>
      <c r="O38" s="138"/>
    </row>
    <row r="39" spans="8:17" x14ac:dyDescent="0.15">
      <c r="H39" s="659" t="s">
        <v>74</v>
      </c>
      <c r="I39" s="100"/>
    </row>
    <row r="40" spans="8:17" x14ac:dyDescent="0.15">
      <c r="H40" s="659"/>
      <c r="I40" s="99"/>
      <c r="M40" s="659" t="str">
        <f>CHAR(65+N40)</f>
        <v>G</v>
      </c>
      <c r="N40" s="659">
        <v>6</v>
      </c>
      <c r="O40" s="104"/>
      <c r="P40" s="141" t="str">
        <f>VLOOKUP(N40,'imp-answers'!$A$2:$I$50,2,FALSE)</f>
        <v>No</v>
      </c>
      <c r="Q40" s="141">
        <f>VLOOKUP(N40,'imp-answers'!$A$2:$I$50,6,FALSE)</f>
        <v>0</v>
      </c>
    </row>
    <row r="41" spans="8:17" x14ac:dyDescent="0.15">
      <c r="H41" s="659"/>
      <c r="I41" s="101"/>
      <c r="M41" s="660"/>
      <c r="N41" s="660"/>
      <c r="O41" s="99"/>
      <c r="P41" s="141" t="str">
        <f>VLOOKUP(N40,'imp-answers'!$A$2:$I$50,3,FALSE)</f>
        <v>Yes, sporadically</v>
      </c>
      <c r="Q41" s="141">
        <f>VLOOKUP(N40,'imp-answers'!$A$2:$I$50,7,FALSE)</f>
        <v>0.25</v>
      </c>
    </row>
    <row r="42" spans="8:17" x14ac:dyDescent="0.15">
      <c r="H42" s="659"/>
      <c r="I42" s="102"/>
      <c r="M42" s="660"/>
      <c r="N42" s="660"/>
      <c r="O42" s="139"/>
      <c r="P42" s="141" t="str">
        <f>VLOOKUP(N40,'imp-answers'!$A$2:$I$50,4,FALSE)</f>
        <v>Yes, upon change of the application</v>
      </c>
      <c r="Q42" s="141">
        <f>VLOOKUP(N40,'imp-answers'!$A$2:$I$50,8,FALSE)</f>
        <v>0.5</v>
      </c>
    </row>
    <row r="43" spans="8:17" x14ac:dyDescent="0.15">
      <c r="M43" s="660"/>
      <c r="N43" s="660"/>
      <c r="O43" s="101"/>
      <c r="P43" s="141" t="str">
        <f>VLOOKUP(N40,'imp-answers'!$A$2:$I$50,5,FALSE)</f>
        <v>Yes, at least annually</v>
      </c>
      <c r="Q43" s="141">
        <f>VLOOKUP(N40,'imp-answers'!$A$2:$I$50,9,FALSE)</f>
        <v>1</v>
      </c>
    </row>
    <row r="44" spans="8:17" x14ac:dyDescent="0.15">
      <c r="M44" s="660"/>
      <c r="N44" s="660"/>
      <c r="O44" s="138"/>
    </row>
    <row r="46" spans="8:17" x14ac:dyDescent="0.15">
      <c r="M46" s="659" t="str">
        <f>CHAR(65+N46)</f>
        <v>H</v>
      </c>
      <c r="N46" s="659">
        <v>7</v>
      </c>
      <c r="O46" s="104"/>
      <c r="P46" s="141" t="str">
        <f>VLOOKUP(N46,'imp-answers'!$A$2:$I$50,2,FALSE)</f>
        <v>No</v>
      </c>
      <c r="Q46" s="141">
        <f>VLOOKUP(N46,'imp-answers'!$A$2:$I$50,6,FALSE)</f>
        <v>0</v>
      </c>
    </row>
    <row r="47" spans="8:17" x14ac:dyDescent="0.15">
      <c r="M47" s="660"/>
      <c r="N47" s="660"/>
      <c r="O47" s="99"/>
      <c r="P47" s="141" t="str">
        <f>VLOOKUP(N46,'imp-answers'!$A$2:$I$50,3,FALSE)</f>
        <v>Yes, some of the time</v>
      </c>
      <c r="Q47" s="141">
        <f>VLOOKUP(N46,'imp-answers'!$A$2:$I$50,7,FALSE)</f>
        <v>0.25</v>
      </c>
    </row>
    <row r="48" spans="8:17" x14ac:dyDescent="0.15">
      <c r="M48" s="660"/>
      <c r="N48" s="660"/>
      <c r="O48" s="139"/>
      <c r="P48" s="141" t="str">
        <f>VLOOKUP(N46,'imp-answers'!$A$2:$I$50,4,FALSE)</f>
        <v>Yes, at least half of the time</v>
      </c>
      <c r="Q48" s="141">
        <f>VLOOKUP(N46,'imp-answers'!$A$2:$I$50,8,FALSE)</f>
        <v>0.5</v>
      </c>
    </row>
    <row r="49" spans="13:17" x14ac:dyDescent="0.15">
      <c r="M49" s="660"/>
      <c r="N49" s="660"/>
      <c r="O49" s="101"/>
      <c r="P49" s="141" t="str">
        <f>VLOOKUP(N46,'imp-answers'!$A$2:$I$50,5,FALSE)</f>
        <v>Yes, most or all of the time</v>
      </c>
      <c r="Q49" s="141">
        <f>VLOOKUP(N46,'imp-answers'!$A$2:$I$50,9,FALSE)</f>
        <v>1</v>
      </c>
    </row>
    <row r="50" spans="13:17" x14ac:dyDescent="0.15">
      <c r="M50" s="660"/>
      <c r="N50" s="660"/>
      <c r="O50" s="138"/>
    </row>
    <row r="52" spans="13:17" x14ac:dyDescent="0.15">
      <c r="M52" s="659" t="str">
        <f>CHAR(65+N52)</f>
        <v>I</v>
      </c>
      <c r="N52" s="659">
        <v>8</v>
      </c>
      <c r="O52" s="104"/>
      <c r="P52" s="141" t="str">
        <f>VLOOKUP(N52,'imp-answers'!$A$2:$I$50,2,FALSE)</f>
        <v>No</v>
      </c>
      <c r="Q52" s="141">
        <f>VLOOKUP(N52,'imp-answers'!$A$2:$I$50,6,FALSE)</f>
        <v>0</v>
      </c>
    </row>
    <row r="53" spans="13:17" x14ac:dyDescent="0.15">
      <c r="M53" s="660"/>
      <c r="N53" s="660"/>
      <c r="O53" s="99"/>
      <c r="P53" s="141" t="str">
        <f>VLOOKUP(N52,'imp-answers'!$A$2:$I$50,3,FALSE)</f>
        <v>Yes, for some of the training</v>
      </c>
      <c r="Q53" s="141">
        <f>VLOOKUP(N52,'imp-answers'!$A$2:$I$50,7,FALSE)</f>
        <v>0.25</v>
      </c>
    </row>
    <row r="54" spans="13:17" x14ac:dyDescent="0.15">
      <c r="M54" s="660"/>
      <c r="N54" s="660"/>
      <c r="O54" s="139"/>
      <c r="P54" s="141" t="str">
        <f>VLOOKUP(N52,'imp-answers'!$A$2:$I$50,4,FALSE)</f>
        <v>Yes, for at least half of the training</v>
      </c>
      <c r="Q54" s="141">
        <f>VLOOKUP(N52,'imp-answers'!$A$2:$I$50,8,FALSE)</f>
        <v>0.5</v>
      </c>
    </row>
    <row r="55" spans="13:17" x14ac:dyDescent="0.15">
      <c r="M55" s="660"/>
      <c r="N55" s="660"/>
      <c r="O55" s="101"/>
      <c r="P55" s="141" t="str">
        <f>VLOOKUP(N52,'imp-answers'!$A$2:$I$50,5,FALSE)</f>
        <v>Yes, for most or all of the training</v>
      </c>
      <c r="Q55" s="141">
        <f>VLOOKUP(N52,'imp-answers'!$A$2:$I$50,9,FALSE)</f>
        <v>1</v>
      </c>
    </row>
    <row r="56" spans="13:17" x14ac:dyDescent="0.15">
      <c r="M56" s="660"/>
      <c r="N56" s="660"/>
      <c r="O56" s="138"/>
    </row>
    <row r="58" spans="13:17" x14ac:dyDescent="0.15">
      <c r="M58" s="659" t="str">
        <f>CHAR(65+N58)</f>
        <v>J</v>
      </c>
      <c r="N58" s="659">
        <v>9</v>
      </c>
      <c r="O58" s="104"/>
      <c r="P58" s="141" t="str">
        <f>VLOOKUP(N58,'imp-answers'!$A$2:$I$50,2,FALSE)</f>
        <v>No</v>
      </c>
      <c r="Q58" s="141">
        <f>VLOOKUP(N58,'imp-answers'!$A$2:$I$50,6,FALSE)</f>
        <v>0</v>
      </c>
    </row>
    <row r="59" spans="13:17" x14ac:dyDescent="0.15">
      <c r="M59" s="660"/>
      <c r="N59" s="660"/>
      <c r="O59" s="99"/>
      <c r="P59" s="141" t="str">
        <f>VLOOKUP(N58,'imp-answers'!$A$2:$I$50,3,FALSE)</f>
        <v>Yes, for some of the policies and standards</v>
      </c>
      <c r="Q59" s="141">
        <f>VLOOKUP(N58,'imp-answers'!$A$2:$I$50,7,FALSE)</f>
        <v>0.25</v>
      </c>
    </row>
    <row r="60" spans="13:17" x14ac:dyDescent="0.15">
      <c r="M60" s="660"/>
      <c r="N60" s="660"/>
      <c r="O60" s="139"/>
      <c r="P60" s="141" t="str">
        <f>VLOOKUP(N58,'imp-answers'!$A$2:$I$50,4,FALSE)</f>
        <v>Yes, for at least half of the policies and standards</v>
      </c>
      <c r="Q60" s="141">
        <f>VLOOKUP(N58,'imp-answers'!$A$2:$I$50,8,FALSE)</f>
        <v>0.5</v>
      </c>
    </row>
    <row r="61" spans="13:17" x14ac:dyDescent="0.15">
      <c r="M61" s="660"/>
      <c r="N61" s="660"/>
      <c r="O61" s="101"/>
      <c r="P61" s="141" t="str">
        <f>VLOOKUP(N58,'imp-answers'!$A$2:$I$50,5,FALSE)</f>
        <v>Yes, for most or all of the policies and standards</v>
      </c>
      <c r="Q61" s="141">
        <f>VLOOKUP(N58,'imp-answers'!$A$2:$I$50,9,FALSE)</f>
        <v>1</v>
      </c>
    </row>
    <row r="62" spans="13:17" x14ac:dyDescent="0.15">
      <c r="M62" s="660"/>
      <c r="N62" s="660"/>
      <c r="O62" s="138"/>
    </row>
    <row r="64" spans="13:17" x14ac:dyDescent="0.15">
      <c r="M64" s="659" t="str">
        <f>CHAR(65+N64)</f>
        <v>K</v>
      </c>
      <c r="N64" s="659">
        <v>10</v>
      </c>
      <c r="O64" s="104"/>
      <c r="P64" s="141" t="str">
        <f>VLOOKUP(N64,'imp-answers'!$A$2:$I$50,2,FALSE)</f>
        <v>No</v>
      </c>
      <c r="Q64" s="141">
        <f>VLOOKUP(N64,'imp-answers'!$A$2:$I$50,6,FALSE)</f>
        <v>0</v>
      </c>
    </row>
    <row r="65" spans="13:17" x14ac:dyDescent="0.15">
      <c r="M65" s="660"/>
      <c r="N65" s="660"/>
      <c r="O65" s="99"/>
      <c r="P65" s="141" t="str">
        <f>VLOOKUP(N64,'imp-answers'!$A$2:$I$50,3,FALSE)</f>
        <v>Yes, for one metrics category</v>
      </c>
      <c r="Q65" s="141">
        <f>VLOOKUP(N64,'imp-answers'!$A$2:$I$50,7,FALSE)</f>
        <v>0.25</v>
      </c>
    </row>
    <row r="66" spans="13:17" x14ac:dyDescent="0.15">
      <c r="M66" s="660"/>
      <c r="N66" s="660"/>
      <c r="O66" s="139"/>
      <c r="P66" s="141" t="str">
        <f>VLOOKUP(N64,'imp-answers'!$A$2:$I$50,4,FALSE)</f>
        <v>Yes, for two metrics categories</v>
      </c>
      <c r="Q66" s="141">
        <f>VLOOKUP(N64,'imp-answers'!$A$2:$I$50,8,FALSE)</f>
        <v>0.5</v>
      </c>
    </row>
    <row r="67" spans="13:17" x14ac:dyDescent="0.15">
      <c r="M67" s="660"/>
      <c r="N67" s="660"/>
      <c r="O67" s="101"/>
      <c r="P67" s="141" t="str">
        <f>VLOOKUP(N64,'imp-answers'!$A$2:$I$50,5,FALSE)</f>
        <v>Yes, for all three metrics categories</v>
      </c>
      <c r="Q67" s="141">
        <f>VLOOKUP(N64,'imp-answers'!$A$2:$I$50,9,FALSE)</f>
        <v>1</v>
      </c>
    </row>
    <row r="68" spans="13:17" x14ac:dyDescent="0.15">
      <c r="M68" s="660"/>
      <c r="N68" s="660"/>
      <c r="O68" s="138"/>
    </row>
    <row r="70" spans="13:17" x14ac:dyDescent="0.15">
      <c r="M70" s="659" t="str">
        <f>CHAR(65+N70)</f>
        <v>L</v>
      </c>
      <c r="N70" s="659">
        <v>11</v>
      </c>
      <c r="O70" s="104"/>
      <c r="P70" s="141" t="str">
        <f>VLOOKUP(N70,'imp-answers'!$A$2:$I$50,2,FALSE)</f>
        <v>No</v>
      </c>
      <c r="Q70" s="141">
        <f>VLOOKUP(N70,'imp-answers'!$A$2:$I$50,6,FALSE)</f>
        <v>0</v>
      </c>
    </row>
    <row r="71" spans="13:17" x14ac:dyDescent="0.15">
      <c r="M71" s="660"/>
      <c r="N71" s="660"/>
      <c r="O71" s="99"/>
      <c r="P71" s="141" t="str">
        <f>VLOOKUP(N70,'imp-answers'!$A$2:$I$50,3,FALSE)</f>
        <v>Yes, we started implementing it</v>
      </c>
      <c r="Q71" s="141">
        <f>VLOOKUP(N70,'imp-answers'!$A$2:$I$50,7,FALSE)</f>
        <v>0.25</v>
      </c>
    </row>
    <row r="72" spans="13:17" x14ac:dyDescent="0.15">
      <c r="M72" s="660"/>
      <c r="N72" s="660"/>
      <c r="O72" s="139"/>
      <c r="P72" s="141" t="str">
        <f>VLOOKUP(N70,'imp-answers'!$A$2:$I$50,4,FALSE)</f>
        <v>Yes, for part of the organization</v>
      </c>
      <c r="Q72" s="141">
        <f>VLOOKUP(N70,'imp-answers'!$A$2:$I$50,8,FALSE)</f>
        <v>0.5</v>
      </c>
    </row>
    <row r="73" spans="13:17" x14ac:dyDescent="0.15">
      <c r="M73" s="660"/>
      <c r="N73" s="660"/>
      <c r="O73" s="101"/>
      <c r="P73" s="141" t="str">
        <f>VLOOKUP(N70,'imp-answers'!$A$2:$I$50,5,FALSE)</f>
        <v>Yes, for the entire organization</v>
      </c>
      <c r="Q73" s="141">
        <f>VLOOKUP(N70,'imp-answers'!$A$2:$I$50,9,FALSE)</f>
        <v>1</v>
      </c>
    </row>
    <row r="74" spans="13:17" x14ac:dyDescent="0.15">
      <c r="M74" s="660"/>
      <c r="N74" s="660"/>
      <c r="O74" s="138"/>
    </row>
    <row r="76" spans="13:17" x14ac:dyDescent="0.15">
      <c r="M76" s="659" t="str">
        <f>CHAR(65+N76)</f>
        <v>M</v>
      </c>
      <c r="N76" s="659">
        <v>12</v>
      </c>
      <c r="O76" s="104"/>
      <c r="P76" s="141" t="str">
        <f>VLOOKUP(N76,'imp-answers'!$A$2:$I$50,2,FALSE)</f>
        <v>No</v>
      </c>
      <c r="Q76" s="141">
        <f>VLOOKUP(N76,'imp-answers'!$A$2:$I$50,6,FALSE)</f>
        <v>0</v>
      </c>
    </row>
    <row r="77" spans="13:17" x14ac:dyDescent="0.15">
      <c r="M77" s="660"/>
      <c r="N77" s="660"/>
      <c r="O77" s="99"/>
      <c r="P77" s="141" t="str">
        <f>VLOOKUP(N76,'imp-answers'!$A$2:$I$50,3,FALSE)</f>
        <v>Yes, for some components</v>
      </c>
      <c r="Q77" s="141">
        <f>VLOOKUP(N76,'imp-answers'!$A$2:$I$50,7,FALSE)</f>
        <v>0.25</v>
      </c>
    </row>
    <row r="78" spans="13:17" x14ac:dyDescent="0.15">
      <c r="M78" s="660"/>
      <c r="N78" s="660"/>
      <c r="O78" s="139"/>
      <c r="P78" s="141" t="str">
        <f>VLOOKUP(N76,'imp-answers'!$A$2:$I$50,4,FALSE)</f>
        <v>Yes, for at least half of the components</v>
      </c>
      <c r="Q78" s="141">
        <f>VLOOKUP(N76,'imp-answers'!$A$2:$I$50,8,FALSE)</f>
        <v>0.5</v>
      </c>
    </row>
    <row r="79" spans="13:17" x14ac:dyDescent="0.15">
      <c r="M79" s="660"/>
      <c r="N79" s="660"/>
      <c r="O79" s="101"/>
      <c r="P79" s="141" t="str">
        <f>VLOOKUP(N76,'imp-answers'!$A$2:$I$50,5,FALSE)</f>
        <v>Yes, for most or all of the components</v>
      </c>
      <c r="Q79" s="141">
        <f>VLOOKUP(N76,'imp-answers'!$A$2:$I$50,9,FALSE)</f>
        <v>1</v>
      </c>
    </row>
    <row r="80" spans="13:17" x14ac:dyDescent="0.15">
      <c r="M80" s="660"/>
      <c r="N80" s="660"/>
      <c r="O80" s="138"/>
    </row>
    <row r="82" spans="13:17" x14ac:dyDescent="0.15">
      <c r="M82" s="659" t="str">
        <f>CHAR(65+N82)</f>
        <v>N</v>
      </c>
      <c r="N82" s="659">
        <v>13</v>
      </c>
      <c r="O82" s="104"/>
      <c r="P82" s="141" t="str">
        <f>VLOOKUP(N82,'imp-answers'!$A$2:$I$50,2,FALSE)</f>
        <v>No</v>
      </c>
      <c r="Q82" s="141">
        <f>VLOOKUP(N82,'imp-answers'!$A$2:$I$50,6,FALSE)</f>
        <v>0</v>
      </c>
    </row>
    <row r="83" spans="13:17" x14ac:dyDescent="0.15">
      <c r="M83" s="660"/>
      <c r="N83" s="660"/>
      <c r="O83" s="99"/>
      <c r="P83" s="141" t="str">
        <f>VLOOKUP(N82,'imp-answers'!$A$2:$I$50,3,FALSE)</f>
        <v>Yes, but review is ad-hoc</v>
      </c>
      <c r="Q83" s="141">
        <f>VLOOKUP(N82,'imp-answers'!$A$2:$I$50,7,FALSE)</f>
        <v>0.25</v>
      </c>
    </row>
    <row r="84" spans="13:17" x14ac:dyDescent="0.15">
      <c r="M84" s="660"/>
      <c r="N84" s="660"/>
      <c r="O84" s="139"/>
      <c r="P84" s="141" t="str">
        <f>VLOOKUP(N82,'imp-answers'!$A$2:$I$50,4,FALSE)</f>
        <v>Yes, we review it at regular times</v>
      </c>
      <c r="Q84" s="141">
        <f>VLOOKUP(N82,'imp-answers'!$A$2:$I$50,8,FALSE)</f>
        <v>0.5</v>
      </c>
    </row>
    <row r="85" spans="13:17" x14ac:dyDescent="0.15">
      <c r="M85" s="660"/>
      <c r="N85" s="660"/>
      <c r="O85" s="101"/>
      <c r="P85" s="141" t="str">
        <f>VLOOKUP(N82,'imp-answers'!$A$2:$I$50,5,FALSE)</f>
        <v>Yes, we review it at least annually</v>
      </c>
      <c r="Q85" s="141">
        <f>VLOOKUP(N82,'imp-answers'!$A$2:$I$50,9,FALSE)</f>
        <v>1</v>
      </c>
    </row>
    <row r="86" spans="13:17" x14ac:dyDescent="0.15">
      <c r="M86" s="660"/>
      <c r="N86" s="660"/>
      <c r="O86" s="138"/>
    </row>
    <row r="88" spans="13:17" x14ac:dyDescent="0.15">
      <c r="M88" s="659" t="str">
        <f>CHAR(65+N88)</f>
        <v>O</v>
      </c>
      <c r="N88" s="659">
        <v>14</v>
      </c>
      <c r="O88" s="104"/>
      <c r="P88" s="141" t="str">
        <f>VLOOKUP(N88,'imp-answers'!$A$2:$I$50,2,FALSE)</f>
        <v>No</v>
      </c>
      <c r="Q88" s="141">
        <f>VLOOKUP(N88,'imp-answers'!$A$2:$I$50,6,FALSE)</f>
        <v>0</v>
      </c>
    </row>
    <row r="89" spans="13:17" x14ac:dyDescent="0.15">
      <c r="M89" s="660"/>
      <c r="N89" s="660"/>
      <c r="O89" s="99"/>
      <c r="P89" s="141" t="str">
        <f>VLOOKUP(N88,'imp-answers'!$A$2:$I$50,3,FALSE)</f>
        <v>Yes, for some of our data</v>
      </c>
      <c r="Q89" s="141">
        <f>VLOOKUP(N88,'imp-answers'!$A$2:$I$50,7,FALSE)</f>
        <v>0.25</v>
      </c>
    </row>
    <row r="90" spans="13:17" x14ac:dyDescent="0.15">
      <c r="M90" s="660"/>
      <c r="N90" s="660"/>
      <c r="O90" s="139"/>
      <c r="P90" s="141" t="str">
        <f>VLOOKUP(N88,'imp-answers'!$A$2:$I$50,4,FALSE)</f>
        <v>Yes, for at least half of our data</v>
      </c>
      <c r="Q90" s="141">
        <f>VLOOKUP(N88,'imp-answers'!$A$2:$I$50,8,FALSE)</f>
        <v>0.5</v>
      </c>
    </row>
    <row r="91" spans="13:17" x14ac:dyDescent="0.15">
      <c r="M91" s="660"/>
      <c r="N91" s="660"/>
      <c r="O91" s="101"/>
      <c r="P91" s="141" t="str">
        <f>VLOOKUP(N88,'imp-answers'!$A$2:$I$50,5,FALSE)</f>
        <v>Yes, for most or all of our data</v>
      </c>
      <c r="Q91" s="141">
        <f>VLOOKUP(N88,'imp-answers'!$A$2:$I$50,9,FALSE)</f>
        <v>1</v>
      </c>
    </row>
    <row r="92" spans="13:17" x14ac:dyDescent="0.15">
      <c r="M92" s="660"/>
      <c r="N92" s="660"/>
      <c r="O92" s="138"/>
    </row>
    <row r="94" spans="13:17" x14ac:dyDescent="0.15">
      <c r="M94" s="659" t="str">
        <f>CHAR(65+N94)</f>
        <v>P</v>
      </c>
      <c r="N94" s="659">
        <v>15</v>
      </c>
      <c r="O94" s="104"/>
      <c r="P94" s="141" t="str">
        <f>VLOOKUP(N94,'imp-answers'!$A$2:$I$50,2,FALSE)</f>
        <v>No</v>
      </c>
      <c r="Q94" s="141">
        <f>VLOOKUP(N94,'imp-answers'!$A$2:$I$50,6,FALSE)</f>
        <v>0</v>
      </c>
    </row>
    <row r="95" spans="13:17" x14ac:dyDescent="0.15">
      <c r="M95" s="660"/>
      <c r="N95" s="660"/>
      <c r="O95" s="99"/>
      <c r="P95" s="141" t="str">
        <f>VLOOKUP(N94,'imp-answers'!$A$2:$I$50,3,FALSE)</f>
        <v>Yes, we do it when requested</v>
      </c>
      <c r="Q95" s="141">
        <f>VLOOKUP(N94,'imp-answers'!$A$2:$I$50,7,FALSE)</f>
        <v>0.25</v>
      </c>
    </row>
    <row r="96" spans="13:17" x14ac:dyDescent="0.15">
      <c r="M96" s="660"/>
      <c r="N96" s="660"/>
      <c r="O96" s="139"/>
      <c r="P96" s="141" t="str">
        <f>VLOOKUP(N94,'imp-answers'!$A$2:$I$50,4,FALSE)</f>
        <v>Yes, we do it every few years</v>
      </c>
      <c r="Q96" s="141">
        <f>VLOOKUP(N94,'imp-answers'!$A$2:$I$50,8,FALSE)</f>
        <v>0.5</v>
      </c>
    </row>
    <row r="97" spans="13:17" x14ac:dyDescent="0.15">
      <c r="M97" s="660"/>
      <c r="N97" s="660"/>
      <c r="O97" s="101"/>
      <c r="P97" s="141" t="str">
        <f>VLOOKUP(N94,'imp-answers'!$A$2:$I$50,5,FALSE)</f>
        <v>Yes, we do it at least annually</v>
      </c>
      <c r="Q97" s="141">
        <f>VLOOKUP(N94,'imp-answers'!$A$2:$I$50,9,FALSE)</f>
        <v>1</v>
      </c>
    </row>
    <row r="98" spans="13:17" x14ac:dyDescent="0.15">
      <c r="M98" s="660"/>
      <c r="N98" s="660"/>
      <c r="O98" s="138"/>
    </row>
    <row r="100" spans="13:17" x14ac:dyDescent="0.15">
      <c r="M100" s="659" t="str">
        <f>CHAR(65+N100)</f>
        <v>Q</v>
      </c>
      <c r="N100" s="659">
        <v>16</v>
      </c>
      <c r="O100" s="104"/>
      <c r="P100" s="141" t="str">
        <f>VLOOKUP(N100,'imp-answers'!$A$2:$I$50,2,FALSE)</f>
        <v>No</v>
      </c>
      <c r="Q100" s="141">
        <f>VLOOKUP(N100,'imp-answers'!$A$2:$I$50,6,FALSE)</f>
        <v>0</v>
      </c>
    </row>
    <row r="101" spans="13:17" x14ac:dyDescent="0.15">
      <c r="M101" s="660"/>
      <c r="N101" s="660"/>
      <c r="O101" s="99"/>
      <c r="P101" s="141" t="str">
        <f>VLOOKUP(N100,'imp-answers'!$A$2:$I$50,3,FALSE)</f>
        <v>Yes, for some incident types</v>
      </c>
      <c r="Q101" s="141">
        <f>VLOOKUP(N100,'imp-answers'!$A$2:$I$50,7,FALSE)</f>
        <v>0.25</v>
      </c>
    </row>
    <row r="102" spans="13:17" x14ac:dyDescent="0.15">
      <c r="M102" s="660"/>
      <c r="N102" s="660"/>
      <c r="O102" s="139"/>
      <c r="P102" s="141" t="str">
        <f>VLOOKUP(N100,'imp-answers'!$A$2:$I$50,4,FALSE)</f>
        <v>Yes, for at least half of the incident types</v>
      </c>
      <c r="Q102" s="141">
        <f>VLOOKUP(N100,'imp-answers'!$A$2:$I$50,8,FALSE)</f>
        <v>0.5</v>
      </c>
    </row>
    <row r="103" spans="13:17" x14ac:dyDescent="0.15">
      <c r="M103" s="660"/>
      <c r="N103" s="660"/>
      <c r="O103" s="101"/>
      <c r="P103" s="141" t="str">
        <f>VLOOKUP(N100,'imp-answers'!$A$2:$I$50,5,FALSE)</f>
        <v>Yes, for most or all of the incident types</v>
      </c>
      <c r="Q103" s="141">
        <f>VLOOKUP(N100,'imp-answers'!$A$2:$I$50,9,FALSE)</f>
        <v>1</v>
      </c>
    </row>
    <row r="104" spans="13:17" x14ac:dyDescent="0.15">
      <c r="M104" s="660"/>
      <c r="N104" s="660"/>
      <c r="O104" s="138"/>
    </row>
    <row r="106" spans="13:17" x14ac:dyDescent="0.15">
      <c r="M106" s="659" t="str">
        <f>CHAR(65+N106)</f>
        <v>R</v>
      </c>
      <c r="N106" s="659">
        <v>17</v>
      </c>
      <c r="O106" s="104"/>
      <c r="P106" s="141" t="str">
        <f>VLOOKUP(N106,'imp-answers'!$A$2:$I$50,2,FALSE)</f>
        <v>No</v>
      </c>
      <c r="Q106" s="141">
        <f>VLOOKUP(N106,'imp-answers'!$A$2:$I$50,6,FALSE)</f>
        <v>0</v>
      </c>
    </row>
    <row r="107" spans="13:17" x14ac:dyDescent="0.15">
      <c r="M107" s="660"/>
      <c r="N107" s="660"/>
      <c r="O107" s="99"/>
      <c r="P107" s="141" t="str">
        <f>VLOOKUP(N106,'imp-answers'!$A$2:$I$50,3,FALSE)</f>
        <v>Yes, for some incidents</v>
      </c>
      <c r="Q107" s="141">
        <f>VLOOKUP(N106,'imp-answers'!$A$2:$I$50,7,FALSE)</f>
        <v>0.25</v>
      </c>
    </row>
    <row r="108" spans="13:17" x14ac:dyDescent="0.15">
      <c r="M108" s="660"/>
      <c r="N108" s="660"/>
      <c r="O108" s="139"/>
      <c r="P108" s="141" t="str">
        <f>VLOOKUP(N106,'imp-answers'!$A$2:$I$50,4,FALSE)</f>
        <v>Yes, for at least half of the incidents</v>
      </c>
      <c r="Q108" s="141">
        <f>VLOOKUP(N106,'imp-answers'!$A$2:$I$50,8,FALSE)</f>
        <v>0.5</v>
      </c>
    </row>
    <row r="109" spans="13:17" x14ac:dyDescent="0.15">
      <c r="M109" s="660"/>
      <c r="N109" s="660"/>
      <c r="O109" s="101"/>
      <c r="P109" s="141" t="str">
        <f>VLOOKUP(N106,'imp-answers'!$A$2:$I$50,5,FALSE)</f>
        <v>Yes, for most or all of the incidents</v>
      </c>
      <c r="Q109" s="141">
        <f>VLOOKUP(N106,'imp-answers'!$A$2:$I$50,9,FALSE)</f>
        <v>1</v>
      </c>
    </row>
    <row r="110" spans="13:17" x14ac:dyDescent="0.15">
      <c r="M110" s="660"/>
      <c r="N110" s="660"/>
      <c r="O110" s="138"/>
    </row>
    <row r="112" spans="13:17" x14ac:dyDescent="0.15">
      <c r="M112" s="659" t="str">
        <f>CHAR(65+N112)</f>
        <v>S</v>
      </c>
      <c r="N112" s="659">
        <v>18</v>
      </c>
      <c r="O112" s="104"/>
      <c r="P112" s="141" t="str">
        <f>VLOOKUP(N112,'imp-answers'!$A$2:$I$50,2,FALSE)</f>
        <v>No</v>
      </c>
      <c r="Q112" s="141">
        <f>VLOOKUP(N112,'imp-answers'!$A$2:$I$50,6,FALSE)</f>
        <v>0</v>
      </c>
    </row>
    <row r="113" spans="13:17" x14ac:dyDescent="0.15">
      <c r="M113" s="660"/>
      <c r="N113" s="660"/>
      <c r="O113" s="99"/>
      <c r="P113" s="141" t="str">
        <f>VLOOKUP(N112,'imp-answers'!$A$2:$I$50,3,FALSE)</f>
        <v>Yes, for some of the assets</v>
      </c>
      <c r="Q113" s="141">
        <f>VLOOKUP(N112,'imp-answers'!$A$2:$I$50,7,FALSE)</f>
        <v>0.25</v>
      </c>
    </row>
    <row r="114" spans="13:17" x14ac:dyDescent="0.15">
      <c r="M114" s="660"/>
      <c r="N114" s="660"/>
      <c r="O114" s="139"/>
      <c r="P114" s="141" t="str">
        <f>VLOOKUP(N112,'imp-answers'!$A$2:$I$50,4,FALSE)</f>
        <v>Yes, for at least half of the assets</v>
      </c>
      <c r="Q114" s="141">
        <f>VLOOKUP(N112,'imp-answers'!$A$2:$I$50,8,FALSE)</f>
        <v>0.5</v>
      </c>
    </row>
    <row r="115" spans="13:17" x14ac:dyDescent="0.15">
      <c r="M115" s="660"/>
      <c r="N115" s="660"/>
      <c r="O115" s="101"/>
      <c r="P115" s="141" t="str">
        <f>VLOOKUP(N112,'imp-answers'!$A$2:$I$50,5,FALSE)</f>
        <v>Yes, for most or all of the assets</v>
      </c>
      <c r="Q115" s="141">
        <f>VLOOKUP(N112,'imp-answers'!$A$2:$I$50,9,FALSE)</f>
        <v>1</v>
      </c>
    </row>
    <row r="116" spans="13:17" x14ac:dyDescent="0.15">
      <c r="M116" s="660"/>
      <c r="N116" s="660"/>
      <c r="O116" s="138"/>
    </row>
    <row r="118" spans="13:17" x14ac:dyDescent="0.15">
      <c r="M118" s="659" t="str">
        <f>CHAR(65+N118)</f>
        <v>T</v>
      </c>
      <c r="N118" s="659">
        <v>19</v>
      </c>
      <c r="O118" s="104"/>
      <c r="P118" s="141" t="str">
        <f>VLOOKUP(N118,'imp-answers'!$A$2:$I$50,2,FALSE)</f>
        <v>No</v>
      </c>
      <c r="Q118" s="141">
        <f>VLOOKUP(N118,'imp-answers'!$A$2:$I$50,6,FALSE)</f>
        <v>0</v>
      </c>
    </row>
    <row r="119" spans="13:17" x14ac:dyDescent="0.15">
      <c r="M119" s="660"/>
      <c r="N119" s="660"/>
      <c r="O119" s="99"/>
      <c r="P119" s="141" t="str">
        <f>VLOOKUP(N118,'imp-answers'!$A$2:$I$50,3,FALSE)</f>
        <v>Yes, but we improve it ad-hoc</v>
      </c>
      <c r="Q119" s="141">
        <f>VLOOKUP(N118,'imp-answers'!$A$2:$I$50,7,FALSE)</f>
        <v>0.25</v>
      </c>
    </row>
    <row r="120" spans="13:17" x14ac:dyDescent="0.15">
      <c r="M120" s="660"/>
      <c r="N120" s="660"/>
      <c r="O120" s="139"/>
      <c r="P120" s="141" t="str">
        <f>VLOOKUP(N118,'imp-answers'!$A$2:$I$50,4,FALSE)</f>
        <v>Yes, we we improve it at regular times</v>
      </c>
      <c r="Q120" s="141">
        <f>VLOOKUP(N118,'imp-answers'!$A$2:$I$50,8,FALSE)</f>
        <v>0.5</v>
      </c>
    </row>
    <row r="121" spans="13:17" x14ac:dyDescent="0.15">
      <c r="M121" s="660"/>
      <c r="N121" s="660"/>
      <c r="O121" s="101"/>
      <c r="P121" s="141" t="str">
        <f>VLOOKUP(N118,'imp-answers'!$A$2:$I$50,5,FALSE)</f>
        <v>Yes, we improve it at least annually</v>
      </c>
      <c r="Q121" s="141">
        <f>VLOOKUP(N118,'imp-answers'!$A$2:$I$50,9,FALSE)</f>
        <v>1</v>
      </c>
    </row>
    <row r="122" spans="13:17" x14ac:dyDescent="0.15">
      <c r="M122" s="660"/>
      <c r="N122" s="660"/>
      <c r="O122" s="138"/>
    </row>
    <row r="124" spans="13:17" x14ac:dyDescent="0.15">
      <c r="M124" s="659" t="str">
        <f>CHAR(65+N124)</f>
        <v>U</v>
      </c>
      <c r="N124" s="659">
        <v>20</v>
      </c>
      <c r="O124" s="104"/>
      <c r="P124" s="141" t="str">
        <f>VLOOKUP(N124,'imp-answers'!$A$2:$I$50,2,FALSE)</f>
        <v>No</v>
      </c>
      <c r="Q124" s="141">
        <f>VLOOKUP(N124,'imp-answers'!$A$2:$I$50,6,FALSE)</f>
        <v>0</v>
      </c>
    </row>
    <row r="125" spans="13:17" x14ac:dyDescent="0.15">
      <c r="M125" s="660"/>
      <c r="N125" s="660"/>
      <c r="O125" s="99"/>
      <c r="P125" s="141" t="str">
        <f>VLOOKUP(N124,'imp-answers'!$A$2:$I$50,3,FALSE)</f>
        <v>Yes, for some of the technology domains</v>
      </c>
      <c r="Q125" s="141">
        <f>VLOOKUP(N124,'imp-answers'!$A$2:$I$50,7,FALSE)</f>
        <v>0.25</v>
      </c>
    </row>
    <row r="126" spans="13:17" x14ac:dyDescent="0.15">
      <c r="M126" s="660"/>
      <c r="N126" s="660"/>
      <c r="O126" s="139"/>
      <c r="P126" s="141" t="str">
        <f>VLOOKUP(N124,'imp-answers'!$A$2:$I$50,4,FALSE)</f>
        <v>Yes, for at least half of the technology domains</v>
      </c>
      <c r="Q126" s="141">
        <f>VLOOKUP(N124,'imp-answers'!$A$2:$I$50,8,FALSE)</f>
        <v>0.5</v>
      </c>
    </row>
    <row r="127" spans="13:17" x14ac:dyDescent="0.15">
      <c r="M127" s="660"/>
      <c r="N127" s="660"/>
      <c r="O127" s="101"/>
      <c r="P127" s="141" t="str">
        <f>VLOOKUP(N124,'imp-answers'!$A$2:$I$50,5,FALSE)</f>
        <v>Yes, for most or all of the technology domains</v>
      </c>
      <c r="Q127" s="141">
        <f>VLOOKUP(N124,'imp-answers'!$A$2:$I$50,9,FALSE)</f>
        <v>1</v>
      </c>
    </row>
    <row r="128" spans="13:17" x14ac:dyDescent="0.15">
      <c r="M128" s="660"/>
      <c r="N128" s="660"/>
      <c r="O128" s="138"/>
    </row>
    <row r="130" spans="13:17" x14ac:dyDescent="0.15">
      <c r="M130" s="659" t="str">
        <f>CHAR(65+N130)</f>
        <v>V</v>
      </c>
      <c r="N130" s="659">
        <v>21</v>
      </c>
      <c r="O130" s="104"/>
      <c r="P130" s="141" t="str">
        <f>VLOOKUP(N130,'imp-answers'!$A$2:$I$50,2,FALSE)</f>
        <v>No</v>
      </c>
      <c r="Q130" s="141">
        <f>VLOOKUP(N130,'imp-answers'!$A$2:$I$50,6,FALSE)</f>
        <v>0</v>
      </c>
    </row>
    <row r="131" spans="13:17" x14ac:dyDescent="0.15">
      <c r="M131" s="660"/>
      <c r="N131" s="660"/>
      <c r="O131" s="99"/>
      <c r="P131" s="141" t="str">
        <f>VLOOKUP(N130,'imp-answers'!$A$2:$I$50,3,FALSE)</f>
        <v>Yes, we review it annually</v>
      </c>
      <c r="Q131" s="141">
        <f>VLOOKUP(N130,'imp-answers'!$A$2:$I$50,7,FALSE)</f>
        <v>0.25</v>
      </c>
    </row>
    <row r="132" spans="13:17" x14ac:dyDescent="0.15">
      <c r="M132" s="660"/>
      <c r="N132" s="660"/>
      <c r="O132" s="139"/>
      <c r="P132" s="141" t="str">
        <f>VLOOKUP(N130,'imp-answers'!$A$2:$I$50,4,FALSE)</f>
        <v>Yes, we consult the plan before making significant decisions</v>
      </c>
      <c r="Q132" s="141">
        <f>VLOOKUP(N130,'imp-answers'!$A$2:$I$50,8,FALSE)</f>
        <v>0.5</v>
      </c>
    </row>
    <row r="133" spans="13:17" x14ac:dyDescent="0.15">
      <c r="M133" s="660"/>
      <c r="N133" s="660"/>
      <c r="O133" s="101"/>
      <c r="P133" s="141" t="str">
        <f>VLOOKUP(N130,'imp-answers'!$A$2:$I$50,5,FALSE)</f>
        <v>Yes, we consult the plan often, and it is aligned with our application security strategy</v>
      </c>
      <c r="Q133" s="141">
        <f>VLOOKUP(N130,'imp-answers'!$A$2:$I$50,9,FALSE)</f>
        <v>1</v>
      </c>
    </row>
    <row r="134" spans="13:17" x14ac:dyDescent="0.15">
      <c r="M134" s="660"/>
      <c r="N134" s="660"/>
      <c r="O134" s="138"/>
    </row>
    <row r="136" spans="13:17" x14ac:dyDescent="0.15">
      <c r="M136" s="659" t="str">
        <f>CHAR(65+N136)</f>
        <v>W</v>
      </c>
      <c r="N136" s="659">
        <v>22</v>
      </c>
      <c r="O136" s="104"/>
      <c r="P136" s="141" t="str">
        <f>VLOOKUP(N136,'imp-answers'!$A$2:$I$50,2,FALSE)</f>
        <v>No</v>
      </c>
      <c r="Q136" s="141">
        <f>VLOOKUP(N136,'imp-answers'!$A$2:$I$50,6,FALSE)</f>
        <v>0</v>
      </c>
    </row>
    <row r="137" spans="13:17" x14ac:dyDescent="0.15">
      <c r="M137" s="660"/>
      <c r="N137" s="660"/>
      <c r="O137" s="99"/>
      <c r="P137" s="141" t="str">
        <f>VLOOKUP(N136,'imp-answers'!$A$2:$I$50,3,FALSE)</f>
        <v>Yes, for some teams</v>
      </c>
      <c r="Q137" s="141">
        <f>VLOOKUP(N136,'imp-answers'!$A$2:$I$50,7,FALSE)</f>
        <v>0.25</v>
      </c>
    </row>
    <row r="138" spans="13:17" x14ac:dyDescent="0.15">
      <c r="M138" s="660"/>
      <c r="N138" s="660"/>
      <c r="O138" s="139"/>
      <c r="P138" s="141" t="str">
        <f>VLOOKUP(N136,'imp-answers'!$A$2:$I$50,4,FALSE)</f>
        <v>Yes, for at least half of the teams</v>
      </c>
      <c r="Q138" s="141">
        <f>VLOOKUP(N136,'imp-answers'!$A$2:$I$50,8,FALSE)</f>
        <v>0.5</v>
      </c>
    </row>
    <row r="139" spans="13:17" x14ac:dyDescent="0.15">
      <c r="M139" s="660"/>
      <c r="N139" s="660"/>
      <c r="O139" s="101"/>
      <c r="P139" s="141" t="str">
        <f>VLOOKUP(N136,'imp-answers'!$A$2:$I$50,5,FALSE)</f>
        <v>Yes, for most or all of the teams</v>
      </c>
      <c r="Q139" s="141">
        <f>VLOOKUP(N136,'imp-answers'!$A$2:$I$50,9,FALSE)</f>
        <v>1</v>
      </c>
    </row>
    <row r="140" spans="13:17" x14ac:dyDescent="0.15">
      <c r="M140" s="660"/>
      <c r="N140" s="660"/>
      <c r="O140" s="138"/>
    </row>
    <row r="142" spans="13:17" x14ac:dyDescent="0.15">
      <c r="M142" s="659" t="str">
        <f>CHAR(65+N142)</f>
        <v>X</v>
      </c>
      <c r="N142" s="659">
        <v>23</v>
      </c>
      <c r="O142" s="104"/>
      <c r="P142" s="141" t="str">
        <f>VLOOKUP(N142,'imp-answers'!$A$2:$I$50,2,FALSE)</f>
        <v>No</v>
      </c>
      <c r="Q142" s="141">
        <f>VLOOKUP(N142,'imp-answers'!$A$2:$I$50,6,FALSE)</f>
        <v>0</v>
      </c>
    </row>
    <row r="143" spans="13:17" x14ac:dyDescent="0.15">
      <c r="M143" s="660"/>
      <c r="N143" s="660"/>
      <c r="O143" s="99"/>
      <c r="P143" s="141" t="str">
        <f>VLOOKUP(N142,'imp-answers'!$A$2:$I$50,3,FALSE)</f>
        <v>Yes, some of it</v>
      </c>
      <c r="Q143" s="141">
        <f>VLOOKUP(N142,'imp-answers'!$A$2:$I$50,7,FALSE)</f>
        <v>0.25</v>
      </c>
    </row>
    <row r="144" spans="13:17" x14ac:dyDescent="0.15">
      <c r="M144" s="660"/>
      <c r="N144" s="660"/>
      <c r="O144" s="139"/>
      <c r="P144" s="141" t="str">
        <f>VLOOKUP(N142,'imp-answers'!$A$2:$I$50,4,FALSE)</f>
        <v>Yes, at least half of it</v>
      </c>
      <c r="Q144" s="141">
        <f>VLOOKUP(N142,'imp-answers'!$A$2:$I$50,8,FALSE)</f>
        <v>0.5</v>
      </c>
    </row>
    <row r="145" spans="13:17" x14ac:dyDescent="0.15">
      <c r="M145" s="660"/>
      <c r="N145" s="660"/>
      <c r="O145" s="101"/>
      <c r="P145" s="141" t="str">
        <f>VLOOKUP(N142,'imp-answers'!$A$2:$I$50,5,FALSE)</f>
        <v>Yes, most or all of it</v>
      </c>
      <c r="Q145" s="141">
        <f>VLOOKUP(N142,'imp-answers'!$A$2:$I$50,9,FALSE)</f>
        <v>1</v>
      </c>
    </row>
    <row r="146" spans="13:17" x14ac:dyDescent="0.15">
      <c r="M146" s="660"/>
      <c r="N146" s="660"/>
      <c r="O146" s="138"/>
    </row>
    <row r="148" spans="13:17" x14ac:dyDescent="0.15">
      <c r="M148" s="659" t="str">
        <f>CHAR(65+N148)</f>
        <v>Y</v>
      </c>
      <c r="N148" s="659">
        <v>24</v>
      </c>
      <c r="O148" s="104"/>
      <c r="P148" s="141" t="str">
        <f>VLOOKUP(N148,'imp-answers'!$A$2:$I$50,2,FALSE)</f>
        <v>No</v>
      </c>
      <c r="Q148" s="141">
        <f>VLOOKUP(N148,'imp-answers'!$A$2:$I$50,6,FALSE)</f>
        <v>0</v>
      </c>
    </row>
    <row r="149" spans="13:17" x14ac:dyDescent="0.15">
      <c r="M149" s="660"/>
      <c r="N149" s="660"/>
      <c r="O149" s="99"/>
      <c r="P149" s="141" t="str">
        <f>VLOOKUP(N148,'imp-answers'!$A$2:$I$50,3,FALSE)</f>
        <v>Yes, it covers general risks</v>
      </c>
      <c r="Q149" s="141">
        <f>VLOOKUP(N148,'imp-answers'!$A$2:$I$50,7,FALSE)</f>
        <v>0.25</v>
      </c>
    </row>
    <row r="150" spans="13:17" x14ac:dyDescent="0.15">
      <c r="M150" s="660"/>
      <c r="N150" s="660"/>
      <c r="O150" s="139"/>
      <c r="P150" s="141" t="str">
        <f>VLOOKUP(N148,'imp-answers'!$A$2:$I$50,4,FALSE)</f>
        <v>Yes, it covers organization-specific risks</v>
      </c>
      <c r="Q150" s="141">
        <f>VLOOKUP(N148,'imp-answers'!$A$2:$I$50,8,FALSE)</f>
        <v>0.5</v>
      </c>
    </row>
    <row r="151" spans="13:17" x14ac:dyDescent="0.15">
      <c r="M151" s="660"/>
      <c r="N151" s="660"/>
      <c r="O151" s="101"/>
      <c r="P151" s="141" t="str">
        <f>VLOOKUP(N148,'imp-answers'!$A$2:$I$50,5,FALSE)</f>
        <v>Yes, it covers risks and opportunities</v>
      </c>
      <c r="Q151" s="141">
        <f>VLOOKUP(N148,'imp-answers'!$A$2:$I$50,9,FALSE)</f>
        <v>1</v>
      </c>
    </row>
    <row r="152" spans="13:17" x14ac:dyDescent="0.15">
      <c r="M152" s="660"/>
      <c r="N152" s="660"/>
      <c r="O152" s="138"/>
    </row>
  </sheetData>
  <customSheetViews>
    <customSheetView guid="{9846C184-355C-EA4B-8C35-9561D1AEE31C}">
      <selection activeCell="J6" sqref="J6"/>
      <pageMargins left="0.7" right="0.7" top="0.75" bottom="0.75" header="0.3" footer="0.3"/>
    </customSheetView>
  </customSheetViews>
  <mergeCells count="60">
    <mergeCell ref="M142:M146"/>
    <mergeCell ref="N142:N146"/>
    <mergeCell ref="M148:M152"/>
    <mergeCell ref="N148:N152"/>
    <mergeCell ref="M124:M128"/>
    <mergeCell ref="N124:N128"/>
    <mergeCell ref="M130:M134"/>
    <mergeCell ref="N130:N134"/>
    <mergeCell ref="M136:M140"/>
    <mergeCell ref="N136:N140"/>
    <mergeCell ref="M112:M116"/>
    <mergeCell ref="N112:N116"/>
    <mergeCell ref="M82:M86"/>
    <mergeCell ref="M88:M92"/>
    <mergeCell ref="M94:M98"/>
    <mergeCell ref="M100:M104"/>
    <mergeCell ref="M106:M110"/>
    <mergeCell ref="N94:N98"/>
    <mergeCell ref="N100:N104"/>
    <mergeCell ref="N106:N110"/>
    <mergeCell ref="N82:N86"/>
    <mergeCell ref="N88:N92"/>
    <mergeCell ref="M4:M8"/>
    <mergeCell ref="M10:M14"/>
    <mergeCell ref="M16:M20"/>
    <mergeCell ref="M22:M26"/>
    <mergeCell ref="M28:M32"/>
    <mergeCell ref="M34:M38"/>
    <mergeCell ref="M40:M44"/>
    <mergeCell ref="M46:M50"/>
    <mergeCell ref="M52:M56"/>
    <mergeCell ref="M58:M62"/>
    <mergeCell ref="N58:N62"/>
    <mergeCell ref="M64:M68"/>
    <mergeCell ref="M70:M74"/>
    <mergeCell ref="M76:M80"/>
    <mergeCell ref="N64:N68"/>
    <mergeCell ref="N70:N74"/>
    <mergeCell ref="N76:N80"/>
    <mergeCell ref="N28:N32"/>
    <mergeCell ref="N34:N38"/>
    <mergeCell ref="N40:N44"/>
    <mergeCell ref="N46:N50"/>
    <mergeCell ref="N52:N56"/>
    <mergeCell ref="M118:M122"/>
    <mergeCell ref="N118:N122"/>
    <mergeCell ref="A1:K1"/>
    <mergeCell ref="H24:H27"/>
    <mergeCell ref="H29:H32"/>
    <mergeCell ref="H34:H37"/>
    <mergeCell ref="H39:H42"/>
    <mergeCell ref="C3:E3"/>
    <mergeCell ref="H4:H7"/>
    <mergeCell ref="H9:H12"/>
    <mergeCell ref="H14:H17"/>
    <mergeCell ref="H19:H22"/>
    <mergeCell ref="N4:N8"/>
    <mergeCell ref="N10:N14"/>
    <mergeCell ref="N16:N20"/>
    <mergeCell ref="N22:N26"/>
  </mergeCell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H91"/>
  <sheetViews>
    <sheetView zoomScale="145" zoomScaleNormal="145" workbookViewId="0">
      <selection activeCell="F26" sqref="F26"/>
    </sheetView>
  </sheetViews>
  <sheetFormatPr baseColWidth="10" defaultColWidth="11.5" defaultRowHeight="13" x14ac:dyDescent="0.15"/>
  <cols>
    <col min="4" max="4" width="19.6640625" customWidth="1"/>
    <col min="6" max="6" width="90.6640625" customWidth="1"/>
    <col min="7" max="7" width="64.33203125" customWidth="1"/>
  </cols>
  <sheetData>
    <row r="1" spans="1:8" x14ac:dyDescent="0.15">
      <c r="A1" s="140" t="s">
        <v>149</v>
      </c>
      <c r="B1" s="140" t="s">
        <v>150</v>
      </c>
      <c r="C1" s="140" t="s">
        <v>39</v>
      </c>
      <c r="D1" s="140" t="s">
        <v>151</v>
      </c>
      <c r="E1" s="140" t="s">
        <v>86</v>
      </c>
      <c r="F1" s="140" t="s">
        <v>152</v>
      </c>
      <c r="G1" s="140" t="s">
        <v>153</v>
      </c>
      <c r="H1" s="140" t="s">
        <v>154</v>
      </c>
    </row>
    <row r="2" spans="1:8" x14ac:dyDescent="0.15">
      <c r="A2" s="295" t="s">
        <v>278</v>
      </c>
      <c r="B2" s="295" t="s">
        <v>33</v>
      </c>
      <c r="C2" s="295" t="s">
        <v>275</v>
      </c>
      <c r="D2" s="295" t="s">
        <v>276</v>
      </c>
      <c r="E2" s="295">
        <v>3</v>
      </c>
      <c r="F2" s="295" t="s">
        <v>468</v>
      </c>
      <c r="G2" s="295" t="s">
        <v>375</v>
      </c>
      <c r="H2" s="295">
        <v>12</v>
      </c>
    </row>
    <row r="3" spans="1:8" x14ac:dyDescent="0.15">
      <c r="A3" s="295" t="s">
        <v>297</v>
      </c>
      <c r="B3" s="295" t="s">
        <v>33</v>
      </c>
      <c r="C3" s="295" t="s">
        <v>286</v>
      </c>
      <c r="D3" s="295" t="s">
        <v>334</v>
      </c>
      <c r="E3" s="295">
        <v>3</v>
      </c>
      <c r="F3" s="295" t="s">
        <v>352</v>
      </c>
      <c r="G3" s="295" t="s">
        <v>374</v>
      </c>
      <c r="H3" s="295">
        <v>18</v>
      </c>
    </row>
    <row r="4" spans="1:8" x14ac:dyDescent="0.15">
      <c r="A4" s="295" t="s">
        <v>255</v>
      </c>
      <c r="B4" s="295" t="s">
        <v>24</v>
      </c>
      <c r="C4" s="295" t="s">
        <v>25</v>
      </c>
      <c r="D4" s="295" t="s">
        <v>252</v>
      </c>
      <c r="E4" s="295">
        <v>3</v>
      </c>
      <c r="F4" s="295" t="s">
        <v>256</v>
      </c>
      <c r="G4" s="295" t="s">
        <v>469</v>
      </c>
      <c r="H4" s="295">
        <v>23</v>
      </c>
    </row>
    <row r="5" spans="1:8" x14ac:dyDescent="0.15">
      <c r="A5" s="295" t="s">
        <v>194</v>
      </c>
      <c r="B5" s="295" t="s">
        <v>177</v>
      </c>
      <c r="C5" s="295" t="s">
        <v>22</v>
      </c>
      <c r="D5" s="295" t="s">
        <v>191</v>
      </c>
      <c r="E5" s="295">
        <v>3</v>
      </c>
      <c r="F5" s="295" t="s">
        <v>195</v>
      </c>
      <c r="G5" s="295" t="s">
        <v>376</v>
      </c>
      <c r="H5" s="295">
        <v>7</v>
      </c>
    </row>
    <row r="6" spans="1:8" x14ac:dyDescent="0.15">
      <c r="A6" s="295" t="s">
        <v>353</v>
      </c>
      <c r="B6" s="295" t="s">
        <v>24</v>
      </c>
      <c r="C6" s="295" t="s">
        <v>377</v>
      </c>
      <c r="D6" s="295" t="s">
        <v>245</v>
      </c>
      <c r="E6" s="295">
        <v>3</v>
      </c>
      <c r="F6" s="295" t="s">
        <v>247</v>
      </c>
      <c r="G6" s="295" t="s">
        <v>470</v>
      </c>
      <c r="H6" s="295">
        <v>5</v>
      </c>
    </row>
    <row r="7" spans="1:8" x14ac:dyDescent="0.15">
      <c r="A7" s="295" t="s">
        <v>222</v>
      </c>
      <c r="B7" s="295" t="s">
        <v>208</v>
      </c>
      <c r="C7" s="295" t="s">
        <v>219</v>
      </c>
      <c r="D7" s="295" t="s">
        <v>220</v>
      </c>
      <c r="E7" s="295">
        <v>2</v>
      </c>
      <c r="F7" s="295" t="s">
        <v>335</v>
      </c>
      <c r="G7" s="295" t="s">
        <v>471</v>
      </c>
      <c r="H7" s="295">
        <v>5</v>
      </c>
    </row>
    <row r="8" spans="1:8" x14ac:dyDescent="0.15">
      <c r="A8" s="295" t="s">
        <v>354</v>
      </c>
      <c r="B8" s="295" t="s">
        <v>24</v>
      </c>
      <c r="C8" s="295" t="s">
        <v>377</v>
      </c>
      <c r="D8" s="295" t="s">
        <v>248</v>
      </c>
      <c r="E8" s="295">
        <v>1</v>
      </c>
      <c r="F8" s="295" t="s">
        <v>472</v>
      </c>
      <c r="G8" s="295" t="s">
        <v>473</v>
      </c>
      <c r="H8" s="295">
        <v>5</v>
      </c>
    </row>
    <row r="9" spans="1:8" x14ac:dyDescent="0.15">
      <c r="A9" s="295" t="s">
        <v>186</v>
      </c>
      <c r="B9" s="295" t="s">
        <v>177</v>
      </c>
      <c r="C9" s="295" t="s">
        <v>22</v>
      </c>
      <c r="D9" s="295" t="s">
        <v>187</v>
      </c>
      <c r="E9" s="295">
        <v>1</v>
      </c>
      <c r="F9" s="295" t="s">
        <v>26</v>
      </c>
      <c r="G9" s="295" t="s">
        <v>474</v>
      </c>
      <c r="H9" s="295">
        <v>5</v>
      </c>
    </row>
    <row r="10" spans="1:8" x14ac:dyDescent="0.15">
      <c r="A10" s="295" t="s">
        <v>257</v>
      </c>
      <c r="B10" s="295" t="s">
        <v>24</v>
      </c>
      <c r="C10" s="295" t="s">
        <v>25</v>
      </c>
      <c r="D10" s="295" t="s">
        <v>258</v>
      </c>
      <c r="E10" s="295">
        <v>1</v>
      </c>
      <c r="F10" s="295" t="s">
        <v>259</v>
      </c>
      <c r="G10" s="295" t="s">
        <v>475</v>
      </c>
      <c r="H10" s="295">
        <v>12</v>
      </c>
    </row>
    <row r="11" spans="1:8" x14ac:dyDescent="0.15">
      <c r="A11" s="295" t="s">
        <v>285</v>
      </c>
      <c r="B11" s="295" t="s">
        <v>33</v>
      </c>
      <c r="C11" s="295" t="s">
        <v>286</v>
      </c>
      <c r="D11" s="295" t="s">
        <v>287</v>
      </c>
      <c r="E11" s="295">
        <v>1</v>
      </c>
      <c r="F11" s="295" t="s">
        <v>288</v>
      </c>
      <c r="G11" s="295" t="s">
        <v>378</v>
      </c>
      <c r="H11" s="295">
        <v>5</v>
      </c>
    </row>
    <row r="12" spans="1:8" x14ac:dyDescent="0.15">
      <c r="A12" s="295" t="s">
        <v>243</v>
      </c>
      <c r="B12" s="295" t="s">
        <v>24</v>
      </c>
      <c r="C12" s="295" t="s">
        <v>237</v>
      </c>
      <c r="D12" s="295" t="s">
        <v>476</v>
      </c>
      <c r="E12" s="295">
        <v>2</v>
      </c>
      <c r="F12" s="295" t="s">
        <v>477</v>
      </c>
      <c r="G12" s="295" t="s">
        <v>478</v>
      </c>
      <c r="H12" s="295">
        <v>5</v>
      </c>
    </row>
    <row r="13" spans="1:8" x14ac:dyDescent="0.15">
      <c r="A13" s="295" t="s">
        <v>279</v>
      </c>
      <c r="B13" s="295" t="s">
        <v>33</v>
      </c>
      <c r="C13" s="295" t="s">
        <v>275</v>
      </c>
      <c r="D13" s="295" t="s">
        <v>280</v>
      </c>
      <c r="E13" s="295">
        <v>1</v>
      </c>
      <c r="F13" s="295" t="s">
        <v>281</v>
      </c>
      <c r="G13" s="295" t="s">
        <v>379</v>
      </c>
      <c r="H13" s="295">
        <v>12</v>
      </c>
    </row>
    <row r="14" spans="1:8" x14ac:dyDescent="0.15">
      <c r="A14" s="295" t="s">
        <v>283</v>
      </c>
      <c r="B14" s="295" t="s">
        <v>33</v>
      </c>
      <c r="C14" s="295" t="s">
        <v>275</v>
      </c>
      <c r="D14" s="295" t="s">
        <v>280</v>
      </c>
      <c r="E14" s="295">
        <v>3</v>
      </c>
      <c r="F14" s="295" t="s">
        <v>284</v>
      </c>
      <c r="G14" s="295" t="s">
        <v>380</v>
      </c>
      <c r="H14" s="295">
        <v>12</v>
      </c>
    </row>
    <row r="15" spans="1:8" x14ac:dyDescent="0.15">
      <c r="A15" s="295" t="s">
        <v>291</v>
      </c>
      <c r="B15" s="295" t="s">
        <v>33</v>
      </c>
      <c r="C15" s="295" t="s">
        <v>286</v>
      </c>
      <c r="D15" s="295" t="s">
        <v>287</v>
      </c>
      <c r="E15" s="295">
        <v>3</v>
      </c>
      <c r="F15" s="295" t="s">
        <v>292</v>
      </c>
      <c r="G15" s="295" t="s">
        <v>381</v>
      </c>
      <c r="H15" s="295">
        <v>15</v>
      </c>
    </row>
    <row r="16" spans="1:8" x14ac:dyDescent="0.15">
      <c r="A16" s="295" t="s">
        <v>355</v>
      </c>
      <c r="B16" s="295" t="s">
        <v>24</v>
      </c>
      <c r="C16" s="295" t="s">
        <v>377</v>
      </c>
      <c r="D16" s="295" t="s">
        <v>248</v>
      </c>
      <c r="E16" s="295">
        <v>3</v>
      </c>
      <c r="F16" s="295" t="s">
        <v>250</v>
      </c>
      <c r="G16" s="295" t="s">
        <v>382</v>
      </c>
      <c r="H16" s="295">
        <v>7</v>
      </c>
    </row>
    <row r="17" spans="1:8" x14ac:dyDescent="0.15">
      <c r="A17" s="295" t="s">
        <v>189</v>
      </c>
      <c r="B17" s="295" t="s">
        <v>177</v>
      </c>
      <c r="C17" s="295" t="s">
        <v>22</v>
      </c>
      <c r="D17" s="295" t="s">
        <v>187</v>
      </c>
      <c r="E17" s="295">
        <v>3</v>
      </c>
      <c r="F17" s="295" t="s">
        <v>356</v>
      </c>
      <c r="G17" s="295" t="s">
        <v>383</v>
      </c>
      <c r="H17" s="295">
        <v>5</v>
      </c>
    </row>
    <row r="18" spans="1:8" x14ac:dyDescent="0.15">
      <c r="A18" s="295" t="s">
        <v>262</v>
      </c>
      <c r="B18" s="295" t="s">
        <v>24</v>
      </c>
      <c r="C18" s="295" t="s">
        <v>25</v>
      </c>
      <c r="D18" s="295" t="s">
        <v>258</v>
      </c>
      <c r="E18" s="295">
        <v>3</v>
      </c>
      <c r="F18" s="295" t="s">
        <v>263</v>
      </c>
      <c r="G18" s="295" t="s">
        <v>479</v>
      </c>
      <c r="H18" s="295">
        <v>19</v>
      </c>
    </row>
    <row r="19" spans="1:8" x14ac:dyDescent="0.15">
      <c r="A19" s="295" t="s">
        <v>227</v>
      </c>
      <c r="B19" s="295" t="s">
        <v>208</v>
      </c>
      <c r="C19" s="295" t="s">
        <v>219</v>
      </c>
      <c r="D19" s="295" t="s">
        <v>226</v>
      </c>
      <c r="E19" s="295">
        <v>2</v>
      </c>
      <c r="F19" s="295" t="s">
        <v>480</v>
      </c>
      <c r="G19" s="295" t="s">
        <v>481</v>
      </c>
      <c r="H19" s="295">
        <v>5</v>
      </c>
    </row>
    <row r="20" spans="1:8" x14ac:dyDescent="0.15">
      <c r="A20" s="295" t="s">
        <v>251</v>
      </c>
      <c r="B20" s="295" t="s">
        <v>24</v>
      </c>
      <c r="C20" s="295" t="s">
        <v>25</v>
      </c>
      <c r="D20" s="295" t="s">
        <v>252</v>
      </c>
      <c r="E20" s="295">
        <v>1</v>
      </c>
      <c r="F20" s="295" t="s">
        <v>253</v>
      </c>
      <c r="G20" s="295" t="s">
        <v>482</v>
      </c>
      <c r="H20" s="295">
        <v>2</v>
      </c>
    </row>
    <row r="21" spans="1:8" x14ac:dyDescent="0.15">
      <c r="A21" s="295" t="s">
        <v>190</v>
      </c>
      <c r="B21" s="295" t="s">
        <v>177</v>
      </c>
      <c r="C21" s="295" t="s">
        <v>22</v>
      </c>
      <c r="D21" s="295" t="s">
        <v>191</v>
      </c>
      <c r="E21" s="295">
        <v>1</v>
      </c>
      <c r="F21" s="295" t="s">
        <v>192</v>
      </c>
      <c r="G21" s="295" t="s">
        <v>384</v>
      </c>
      <c r="H21" s="295">
        <v>7</v>
      </c>
    </row>
    <row r="22" spans="1:8" x14ac:dyDescent="0.15">
      <c r="A22" s="295" t="s">
        <v>357</v>
      </c>
      <c r="B22" s="295" t="s">
        <v>24</v>
      </c>
      <c r="C22" s="295" t="s">
        <v>377</v>
      </c>
      <c r="D22" s="295" t="s">
        <v>245</v>
      </c>
      <c r="E22" s="295">
        <v>1</v>
      </c>
      <c r="F22" s="295" t="s">
        <v>246</v>
      </c>
      <c r="G22" s="295" t="s">
        <v>483</v>
      </c>
      <c r="H22" s="295">
        <v>2</v>
      </c>
    </row>
    <row r="23" spans="1:8" x14ac:dyDescent="0.15">
      <c r="A23" s="295" t="s">
        <v>293</v>
      </c>
      <c r="B23" s="295" t="s">
        <v>33</v>
      </c>
      <c r="C23" s="295" t="s">
        <v>286</v>
      </c>
      <c r="D23" s="295" t="s">
        <v>334</v>
      </c>
      <c r="E23" s="295">
        <v>1</v>
      </c>
      <c r="F23" s="295" t="s">
        <v>294</v>
      </c>
      <c r="G23" s="295" t="s">
        <v>385</v>
      </c>
      <c r="H23" s="295">
        <v>5</v>
      </c>
    </row>
    <row r="24" spans="1:8" x14ac:dyDescent="0.15">
      <c r="A24" s="295" t="s">
        <v>239</v>
      </c>
      <c r="B24" s="295" t="s">
        <v>24</v>
      </c>
      <c r="C24" s="295" t="s">
        <v>237</v>
      </c>
      <c r="D24" s="295" t="s">
        <v>238</v>
      </c>
      <c r="E24" s="295">
        <v>2</v>
      </c>
      <c r="F24" s="295" t="s">
        <v>484</v>
      </c>
      <c r="G24" s="295" t="s">
        <v>485</v>
      </c>
      <c r="H24" s="295">
        <v>5</v>
      </c>
    </row>
    <row r="25" spans="1:8" x14ac:dyDescent="0.15">
      <c r="A25" s="295" t="s">
        <v>274</v>
      </c>
      <c r="B25" s="295" t="s">
        <v>33</v>
      </c>
      <c r="C25" s="295" t="s">
        <v>275</v>
      </c>
      <c r="D25" s="295" t="s">
        <v>276</v>
      </c>
      <c r="E25" s="295">
        <v>1</v>
      </c>
      <c r="F25" s="295" t="s">
        <v>336</v>
      </c>
      <c r="G25" s="295" t="s">
        <v>386</v>
      </c>
      <c r="H25" s="295">
        <v>12</v>
      </c>
    </row>
    <row r="26" spans="1:8" x14ac:dyDescent="0.15">
      <c r="A26" s="295" t="s">
        <v>267</v>
      </c>
      <c r="B26" s="295" t="s">
        <v>33</v>
      </c>
      <c r="C26" s="295" t="s">
        <v>265</v>
      </c>
      <c r="D26" s="295" t="s">
        <v>266</v>
      </c>
      <c r="E26" s="295">
        <v>2</v>
      </c>
      <c r="F26" s="295" t="s">
        <v>358</v>
      </c>
      <c r="G26" s="295" t="s">
        <v>387</v>
      </c>
      <c r="H26" s="295">
        <v>5</v>
      </c>
    </row>
    <row r="27" spans="1:8" x14ac:dyDescent="0.15">
      <c r="A27" s="295" t="s">
        <v>172</v>
      </c>
      <c r="B27" s="295" t="s">
        <v>17</v>
      </c>
      <c r="C27" s="295" t="s">
        <v>20</v>
      </c>
      <c r="D27" s="295" t="s">
        <v>171</v>
      </c>
      <c r="E27" s="295">
        <v>2</v>
      </c>
      <c r="F27" s="295" t="s">
        <v>173</v>
      </c>
      <c r="G27" s="295" t="s">
        <v>388</v>
      </c>
      <c r="H27" s="295">
        <v>11</v>
      </c>
    </row>
    <row r="28" spans="1:8" x14ac:dyDescent="0.15">
      <c r="A28" s="295" t="s">
        <v>272</v>
      </c>
      <c r="B28" s="295" t="s">
        <v>33</v>
      </c>
      <c r="C28" s="295" t="s">
        <v>265</v>
      </c>
      <c r="D28" s="295" t="s">
        <v>271</v>
      </c>
      <c r="E28" s="295">
        <v>2</v>
      </c>
      <c r="F28" s="295" t="s">
        <v>486</v>
      </c>
      <c r="G28" s="295" t="s">
        <v>389</v>
      </c>
      <c r="H28" s="295">
        <v>16</v>
      </c>
    </row>
    <row r="29" spans="1:8" x14ac:dyDescent="0.15">
      <c r="A29" s="295" t="s">
        <v>168</v>
      </c>
      <c r="B29" s="295" t="s">
        <v>17</v>
      </c>
      <c r="C29" s="295" t="s">
        <v>20</v>
      </c>
      <c r="D29" s="295" t="s">
        <v>166</v>
      </c>
      <c r="E29" s="295">
        <v>2</v>
      </c>
      <c r="F29" s="295" t="s">
        <v>348</v>
      </c>
      <c r="G29" s="295" t="s">
        <v>390</v>
      </c>
      <c r="H29" s="295">
        <v>8</v>
      </c>
    </row>
    <row r="30" spans="1:8" x14ac:dyDescent="0.15">
      <c r="A30" s="295" t="s">
        <v>228</v>
      </c>
      <c r="B30" s="295" t="s">
        <v>208</v>
      </c>
      <c r="C30" s="295" t="s">
        <v>219</v>
      </c>
      <c r="D30" s="295" t="s">
        <v>226</v>
      </c>
      <c r="E30" s="295">
        <v>3</v>
      </c>
      <c r="F30" s="295" t="s">
        <v>487</v>
      </c>
      <c r="G30" s="295" t="s">
        <v>488</v>
      </c>
      <c r="H30" s="295">
        <v>5</v>
      </c>
    </row>
    <row r="31" spans="1:8" x14ac:dyDescent="0.15">
      <c r="A31" s="295" t="s">
        <v>242</v>
      </c>
      <c r="B31" s="295" t="s">
        <v>24</v>
      </c>
      <c r="C31" s="295" t="s">
        <v>237</v>
      </c>
      <c r="D31" s="295" t="s">
        <v>476</v>
      </c>
      <c r="E31" s="295">
        <v>1</v>
      </c>
      <c r="F31" s="295" t="s">
        <v>489</v>
      </c>
      <c r="G31" s="295" t="s">
        <v>490</v>
      </c>
      <c r="H31" s="295">
        <v>5</v>
      </c>
    </row>
    <row r="32" spans="1:8" x14ac:dyDescent="0.15">
      <c r="A32" s="295" t="s">
        <v>289</v>
      </c>
      <c r="B32" s="295" t="s">
        <v>33</v>
      </c>
      <c r="C32" s="295" t="s">
        <v>286</v>
      </c>
      <c r="D32" s="295" t="s">
        <v>287</v>
      </c>
      <c r="E32" s="295">
        <v>2</v>
      </c>
      <c r="F32" s="295" t="s">
        <v>290</v>
      </c>
      <c r="G32" s="295" t="s">
        <v>391</v>
      </c>
      <c r="H32" s="295">
        <v>14</v>
      </c>
    </row>
    <row r="33" spans="1:8" x14ac:dyDescent="0.15">
      <c r="A33" s="295" t="s">
        <v>188</v>
      </c>
      <c r="B33" s="295" t="s">
        <v>177</v>
      </c>
      <c r="C33" s="295" t="s">
        <v>22</v>
      </c>
      <c r="D33" s="295" t="s">
        <v>187</v>
      </c>
      <c r="E33" s="295">
        <v>2</v>
      </c>
      <c r="F33" s="295" t="s">
        <v>491</v>
      </c>
      <c r="G33" s="295" t="s">
        <v>492</v>
      </c>
      <c r="H33" s="295">
        <v>7</v>
      </c>
    </row>
    <row r="34" spans="1:8" x14ac:dyDescent="0.15">
      <c r="A34" s="295" t="s">
        <v>359</v>
      </c>
      <c r="B34" s="295" t="s">
        <v>24</v>
      </c>
      <c r="C34" s="295" t="s">
        <v>377</v>
      </c>
      <c r="D34" s="295" t="s">
        <v>248</v>
      </c>
      <c r="E34" s="295">
        <v>2</v>
      </c>
      <c r="F34" s="295" t="s">
        <v>249</v>
      </c>
      <c r="G34" s="295" t="s">
        <v>392</v>
      </c>
      <c r="H34" s="295">
        <v>7</v>
      </c>
    </row>
    <row r="35" spans="1:8" x14ac:dyDescent="0.15">
      <c r="A35" s="295" t="s">
        <v>260</v>
      </c>
      <c r="B35" s="295" t="s">
        <v>24</v>
      </c>
      <c r="C35" s="295" t="s">
        <v>25</v>
      </c>
      <c r="D35" s="295" t="s">
        <v>258</v>
      </c>
      <c r="E35" s="295">
        <v>2</v>
      </c>
      <c r="F35" s="295" t="s">
        <v>261</v>
      </c>
      <c r="G35" s="295" t="s">
        <v>493</v>
      </c>
      <c r="H35" s="295">
        <v>5</v>
      </c>
    </row>
    <row r="36" spans="1:8" x14ac:dyDescent="0.15">
      <c r="A36" s="295" t="s">
        <v>282</v>
      </c>
      <c r="B36" s="295" t="s">
        <v>33</v>
      </c>
      <c r="C36" s="295" t="s">
        <v>275</v>
      </c>
      <c r="D36" s="295" t="s">
        <v>280</v>
      </c>
      <c r="E36" s="295">
        <v>2</v>
      </c>
      <c r="F36" s="295" t="s">
        <v>360</v>
      </c>
      <c r="G36" s="295" t="s">
        <v>393</v>
      </c>
      <c r="H36" s="295">
        <v>12</v>
      </c>
    </row>
    <row r="37" spans="1:8" x14ac:dyDescent="0.15">
      <c r="A37" s="295" t="s">
        <v>240</v>
      </c>
      <c r="B37" s="295" t="s">
        <v>24</v>
      </c>
      <c r="C37" s="295" t="s">
        <v>237</v>
      </c>
      <c r="D37" s="295" t="s">
        <v>238</v>
      </c>
      <c r="E37" s="295">
        <v>3</v>
      </c>
      <c r="F37" s="295" t="s">
        <v>241</v>
      </c>
      <c r="G37" s="295" t="s">
        <v>394</v>
      </c>
      <c r="H37" s="295">
        <v>5</v>
      </c>
    </row>
    <row r="38" spans="1:8" x14ac:dyDescent="0.15">
      <c r="A38" s="295" t="s">
        <v>218</v>
      </c>
      <c r="B38" s="295" t="s">
        <v>208</v>
      </c>
      <c r="C38" s="295" t="s">
        <v>219</v>
      </c>
      <c r="D38" s="295" t="s">
        <v>220</v>
      </c>
      <c r="E38" s="295">
        <v>1</v>
      </c>
      <c r="F38" s="295" t="s">
        <v>221</v>
      </c>
      <c r="G38" s="295" t="s">
        <v>395</v>
      </c>
      <c r="H38" s="295">
        <v>5</v>
      </c>
    </row>
    <row r="39" spans="1:8" x14ac:dyDescent="0.15">
      <c r="A39" s="295" t="s">
        <v>223</v>
      </c>
      <c r="B39" s="295" t="s">
        <v>208</v>
      </c>
      <c r="C39" s="295" t="s">
        <v>219</v>
      </c>
      <c r="D39" s="295" t="s">
        <v>220</v>
      </c>
      <c r="E39" s="295">
        <v>3</v>
      </c>
      <c r="F39" s="295" t="s">
        <v>224</v>
      </c>
      <c r="G39" s="295" t="s">
        <v>494</v>
      </c>
      <c r="H39" s="295">
        <v>5</v>
      </c>
    </row>
    <row r="40" spans="1:8" x14ac:dyDescent="0.15">
      <c r="A40" s="295" t="s">
        <v>236</v>
      </c>
      <c r="B40" s="295" t="s">
        <v>24</v>
      </c>
      <c r="C40" s="295" t="s">
        <v>237</v>
      </c>
      <c r="D40" s="295" t="s">
        <v>238</v>
      </c>
      <c r="E40" s="295">
        <v>1</v>
      </c>
      <c r="F40" s="295" t="s">
        <v>495</v>
      </c>
      <c r="G40" s="295" t="s">
        <v>496</v>
      </c>
      <c r="H40" s="295">
        <v>5</v>
      </c>
    </row>
    <row r="41" spans="1:8" x14ac:dyDescent="0.15">
      <c r="A41" s="295" t="s">
        <v>295</v>
      </c>
      <c r="B41" s="295" t="s">
        <v>33</v>
      </c>
      <c r="C41" s="295" t="s">
        <v>286</v>
      </c>
      <c r="D41" s="295" t="s">
        <v>334</v>
      </c>
      <c r="E41" s="295">
        <v>2</v>
      </c>
      <c r="F41" s="295" t="s">
        <v>296</v>
      </c>
      <c r="G41" s="295" t="s">
        <v>396</v>
      </c>
      <c r="H41" s="295">
        <v>7</v>
      </c>
    </row>
    <row r="42" spans="1:8" x14ac:dyDescent="0.15">
      <c r="A42" s="295" t="s">
        <v>254</v>
      </c>
      <c r="B42" s="295" t="s">
        <v>24</v>
      </c>
      <c r="C42" s="295" t="s">
        <v>25</v>
      </c>
      <c r="D42" s="295" t="s">
        <v>252</v>
      </c>
      <c r="E42" s="295">
        <v>2</v>
      </c>
      <c r="F42" s="295" t="s">
        <v>497</v>
      </c>
      <c r="G42" s="295" t="s">
        <v>498</v>
      </c>
      <c r="H42" s="295">
        <v>2</v>
      </c>
    </row>
    <row r="43" spans="1:8" x14ac:dyDescent="0.15">
      <c r="A43" s="295" t="s">
        <v>361</v>
      </c>
      <c r="B43" s="295" t="s">
        <v>24</v>
      </c>
      <c r="C43" s="295" t="s">
        <v>377</v>
      </c>
      <c r="D43" s="295" t="s">
        <v>245</v>
      </c>
      <c r="E43" s="295">
        <v>2</v>
      </c>
      <c r="F43" s="295" t="s">
        <v>499</v>
      </c>
      <c r="G43" s="295" t="s">
        <v>500</v>
      </c>
      <c r="H43" s="295">
        <v>2</v>
      </c>
    </row>
    <row r="44" spans="1:8" x14ac:dyDescent="0.15">
      <c r="A44" s="295" t="s">
        <v>193</v>
      </c>
      <c r="B44" s="295" t="s">
        <v>177</v>
      </c>
      <c r="C44" s="295" t="s">
        <v>22</v>
      </c>
      <c r="D44" s="295" t="s">
        <v>191</v>
      </c>
      <c r="E44" s="295">
        <v>2</v>
      </c>
      <c r="F44" s="295" t="s">
        <v>501</v>
      </c>
      <c r="G44" s="295" t="s">
        <v>502</v>
      </c>
      <c r="H44" s="295">
        <v>7</v>
      </c>
    </row>
    <row r="45" spans="1:8" x14ac:dyDescent="0.15">
      <c r="A45" s="295" t="s">
        <v>277</v>
      </c>
      <c r="B45" s="295" t="s">
        <v>33</v>
      </c>
      <c r="C45" s="295" t="s">
        <v>275</v>
      </c>
      <c r="D45" s="295" t="s">
        <v>276</v>
      </c>
      <c r="E45" s="295">
        <v>2</v>
      </c>
      <c r="F45" s="295" t="s">
        <v>337</v>
      </c>
      <c r="G45" s="295" t="s">
        <v>397</v>
      </c>
      <c r="H45" s="295">
        <v>12</v>
      </c>
    </row>
    <row r="46" spans="1:8" x14ac:dyDescent="0.15">
      <c r="A46" s="295" t="s">
        <v>244</v>
      </c>
      <c r="B46" s="295" t="s">
        <v>24</v>
      </c>
      <c r="C46" s="295" t="s">
        <v>237</v>
      </c>
      <c r="D46" s="295" t="s">
        <v>476</v>
      </c>
      <c r="E46" s="295">
        <v>3</v>
      </c>
      <c r="F46" s="295" t="s">
        <v>503</v>
      </c>
      <c r="G46" s="295" t="s">
        <v>504</v>
      </c>
      <c r="H46" s="295">
        <v>5</v>
      </c>
    </row>
    <row r="47" spans="1:8" x14ac:dyDescent="0.15">
      <c r="A47" s="295" t="s">
        <v>225</v>
      </c>
      <c r="B47" s="295" t="s">
        <v>208</v>
      </c>
      <c r="C47" s="295" t="s">
        <v>219</v>
      </c>
      <c r="D47" s="295" t="s">
        <v>226</v>
      </c>
      <c r="E47" s="295">
        <v>1</v>
      </c>
      <c r="F47" s="295" t="s">
        <v>338</v>
      </c>
      <c r="G47" s="295" t="s">
        <v>398</v>
      </c>
      <c r="H47" s="295">
        <v>5</v>
      </c>
    </row>
    <row r="48" spans="1:8" x14ac:dyDescent="0.15">
      <c r="A48" s="295" t="s">
        <v>169</v>
      </c>
      <c r="B48" s="295" t="s">
        <v>17</v>
      </c>
      <c r="C48" s="295" t="s">
        <v>20</v>
      </c>
      <c r="D48" s="295" t="s">
        <v>166</v>
      </c>
      <c r="E48" s="295">
        <v>3</v>
      </c>
      <c r="F48" s="295" t="s">
        <v>349</v>
      </c>
      <c r="G48" s="295" t="s">
        <v>399</v>
      </c>
      <c r="H48" s="295">
        <v>8</v>
      </c>
    </row>
    <row r="49" spans="1:8" x14ac:dyDescent="0.15">
      <c r="A49" s="295" t="s">
        <v>273</v>
      </c>
      <c r="B49" s="295" t="s">
        <v>33</v>
      </c>
      <c r="C49" s="295" t="s">
        <v>265</v>
      </c>
      <c r="D49" s="295" t="s">
        <v>271</v>
      </c>
      <c r="E49" s="295">
        <v>3</v>
      </c>
      <c r="F49" s="295" t="s">
        <v>505</v>
      </c>
      <c r="G49" s="295" t="s">
        <v>400</v>
      </c>
      <c r="H49" s="295">
        <v>7</v>
      </c>
    </row>
    <row r="50" spans="1:8" x14ac:dyDescent="0.15">
      <c r="A50" s="295" t="s">
        <v>264</v>
      </c>
      <c r="B50" s="295" t="s">
        <v>33</v>
      </c>
      <c r="C50" s="295" t="s">
        <v>265</v>
      </c>
      <c r="D50" s="295" t="s">
        <v>266</v>
      </c>
      <c r="E50" s="295">
        <v>1</v>
      </c>
      <c r="F50" s="295" t="s">
        <v>362</v>
      </c>
      <c r="G50" s="295" t="s">
        <v>401</v>
      </c>
      <c r="H50" s="295">
        <v>5</v>
      </c>
    </row>
    <row r="51" spans="1:8" x14ac:dyDescent="0.15">
      <c r="A51" s="295" t="s">
        <v>170</v>
      </c>
      <c r="B51" s="295" t="s">
        <v>17</v>
      </c>
      <c r="C51" s="295" t="s">
        <v>20</v>
      </c>
      <c r="D51" s="295" t="s">
        <v>171</v>
      </c>
      <c r="E51" s="295">
        <v>1</v>
      </c>
      <c r="F51" s="295" t="s">
        <v>350</v>
      </c>
      <c r="G51" s="295" t="s">
        <v>506</v>
      </c>
      <c r="H51" s="295">
        <v>22</v>
      </c>
    </row>
    <row r="52" spans="1:8" x14ac:dyDescent="0.15">
      <c r="A52" s="295" t="s">
        <v>174</v>
      </c>
      <c r="B52" s="295" t="s">
        <v>17</v>
      </c>
      <c r="C52" s="295" t="s">
        <v>20</v>
      </c>
      <c r="D52" s="295" t="s">
        <v>171</v>
      </c>
      <c r="E52" s="295">
        <v>3</v>
      </c>
      <c r="F52" s="295" t="s">
        <v>175</v>
      </c>
      <c r="G52" s="295" t="s">
        <v>507</v>
      </c>
      <c r="H52" s="295">
        <v>11</v>
      </c>
    </row>
    <row r="53" spans="1:8" x14ac:dyDescent="0.15">
      <c r="A53" s="295" t="s">
        <v>268</v>
      </c>
      <c r="B53" s="295" t="s">
        <v>33</v>
      </c>
      <c r="C53" s="295" t="s">
        <v>265</v>
      </c>
      <c r="D53" s="295" t="s">
        <v>266</v>
      </c>
      <c r="E53" s="295">
        <v>3</v>
      </c>
      <c r="F53" s="295" t="s">
        <v>269</v>
      </c>
      <c r="G53" s="295" t="s">
        <v>402</v>
      </c>
      <c r="H53" s="295">
        <v>5</v>
      </c>
    </row>
    <row r="54" spans="1:8" x14ac:dyDescent="0.15">
      <c r="A54" s="295" t="s">
        <v>270</v>
      </c>
      <c r="B54" s="295" t="s">
        <v>33</v>
      </c>
      <c r="C54" s="295" t="s">
        <v>265</v>
      </c>
      <c r="D54" s="295" t="s">
        <v>271</v>
      </c>
      <c r="E54" s="295">
        <v>1</v>
      </c>
      <c r="F54" s="295" t="s">
        <v>363</v>
      </c>
      <c r="G54" s="295" t="s">
        <v>403</v>
      </c>
      <c r="H54" s="295">
        <v>17</v>
      </c>
    </row>
    <row r="55" spans="1:8" x14ac:dyDescent="0.15">
      <c r="A55" s="295" t="s">
        <v>165</v>
      </c>
      <c r="B55" s="295" t="s">
        <v>17</v>
      </c>
      <c r="C55" s="295" t="s">
        <v>20</v>
      </c>
      <c r="D55" s="295" t="s">
        <v>166</v>
      </c>
      <c r="E55" s="295">
        <v>1</v>
      </c>
      <c r="F55" s="295" t="s">
        <v>167</v>
      </c>
      <c r="G55" s="295" t="s">
        <v>404</v>
      </c>
      <c r="H55" s="295">
        <v>2</v>
      </c>
    </row>
    <row r="56" spans="1:8" x14ac:dyDescent="0.15">
      <c r="A56" s="295" t="s">
        <v>306</v>
      </c>
      <c r="B56" s="295" t="s">
        <v>17</v>
      </c>
      <c r="C56" s="295" t="s">
        <v>19</v>
      </c>
      <c r="D56" s="295" t="s">
        <v>339</v>
      </c>
      <c r="E56" s="295">
        <v>3</v>
      </c>
      <c r="F56" s="295" t="s">
        <v>300</v>
      </c>
      <c r="G56" s="295" t="s">
        <v>405</v>
      </c>
      <c r="H56" s="295">
        <v>4</v>
      </c>
    </row>
    <row r="57" spans="1:8" x14ac:dyDescent="0.15">
      <c r="A57" s="295" t="s">
        <v>179</v>
      </c>
      <c r="B57" s="295" t="s">
        <v>177</v>
      </c>
      <c r="C57" s="295" t="s">
        <v>21</v>
      </c>
      <c r="D57" s="295" t="s">
        <v>178</v>
      </c>
      <c r="E57" s="295">
        <v>2</v>
      </c>
      <c r="F57" s="295" t="s">
        <v>340</v>
      </c>
      <c r="G57" s="295" t="s">
        <v>406</v>
      </c>
      <c r="H57" s="295">
        <v>5</v>
      </c>
    </row>
    <row r="58" spans="1:8" x14ac:dyDescent="0.15">
      <c r="A58" s="295" t="s">
        <v>307</v>
      </c>
      <c r="B58" s="295" t="s">
        <v>17</v>
      </c>
      <c r="C58" s="295" t="s">
        <v>19</v>
      </c>
      <c r="D58" s="295" t="s">
        <v>302</v>
      </c>
      <c r="E58" s="295">
        <v>1</v>
      </c>
      <c r="F58" s="295" t="s">
        <v>303</v>
      </c>
      <c r="G58" s="295" t="s">
        <v>407</v>
      </c>
      <c r="H58" s="295">
        <v>5</v>
      </c>
    </row>
    <row r="59" spans="1:8" x14ac:dyDescent="0.15">
      <c r="A59" s="295" t="s">
        <v>231</v>
      </c>
      <c r="B59" s="295" t="s">
        <v>208</v>
      </c>
      <c r="C59" s="295" t="s">
        <v>230</v>
      </c>
      <c r="D59" s="295" t="s">
        <v>408</v>
      </c>
      <c r="E59" s="295">
        <v>2</v>
      </c>
      <c r="F59" s="295" t="s">
        <v>508</v>
      </c>
      <c r="G59" s="295" t="s">
        <v>509</v>
      </c>
      <c r="H59" s="295">
        <v>5</v>
      </c>
    </row>
    <row r="60" spans="1:8" x14ac:dyDescent="0.15">
      <c r="A60" s="295" t="s">
        <v>309</v>
      </c>
      <c r="B60" s="295" t="s">
        <v>17</v>
      </c>
      <c r="C60" s="295" t="s">
        <v>19</v>
      </c>
      <c r="D60" s="295" t="s">
        <v>302</v>
      </c>
      <c r="E60" s="295">
        <v>3</v>
      </c>
      <c r="F60" s="295" t="s">
        <v>364</v>
      </c>
      <c r="G60" s="295" t="s">
        <v>409</v>
      </c>
      <c r="H60" s="295">
        <v>4</v>
      </c>
    </row>
    <row r="61" spans="1:8" x14ac:dyDescent="0.15">
      <c r="A61" s="295" t="s">
        <v>184</v>
      </c>
      <c r="B61" s="295" t="s">
        <v>177</v>
      </c>
      <c r="C61" s="295" t="s">
        <v>21</v>
      </c>
      <c r="D61" s="295" t="s">
        <v>183</v>
      </c>
      <c r="E61" s="295">
        <v>2</v>
      </c>
      <c r="F61" s="295" t="s">
        <v>510</v>
      </c>
      <c r="G61" s="295" t="s">
        <v>511</v>
      </c>
      <c r="H61" s="295">
        <v>5</v>
      </c>
    </row>
    <row r="62" spans="1:8" x14ac:dyDescent="0.15">
      <c r="A62" s="295" t="s">
        <v>304</v>
      </c>
      <c r="B62" s="295" t="s">
        <v>17</v>
      </c>
      <c r="C62" s="295" t="s">
        <v>19</v>
      </c>
      <c r="D62" s="295" t="s">
        <v>339</v>
      </c>
      <c r="E62" s="295">
        <v>1</v>
      </c>
      <c r="F62" s="295" t="s">
        <v>365</v>
      </c>
      <c r="G62" s="295" t="s">
        <v>410</v>
      </c>
      <c r="H62" s="295">
        <v>5</v>
      </c>
    </row>
    <row r="63" spans="1:8" x14ac:dyDescent="0.15">
      <c r="A63" s="295" t="s">
        <v>234</v>
      </c>
      <c r="B63" s="295" t="s">
        <v>208</v>
      </c>
      <c r="C63" s="295" t="s">
        <v>230</v>
      </c>
      <c r="D63" s="295" t="s">
        <v>411</v>
      </c>
      <c r="E63" s="295">
        <v>2</v>
      </c>
      <c r="F63" s="295" t="s">
        <v>341</v>
      </c>
      <c r="G63" s="295" t="s">
        <v>512</v>
      </c>
      <c r="H63" s="295">
        <v>5</v>
      </c>
    </row>
    <row r="64" spans="1:8" x14ac:dyDescent="0.15">
      <c r="A64" s="295" t="s">
        <v>155</v>
      </c>
      <c r="B64" s="295" t="s">
        <v>17</v>
      </c>
      <c r="C64" s="295" t="s">
        <v>18</v>
      </c>
      <c r="D64" s="295" t="s">
        <v>156</v>
      </c>
      <c r="E64" s="295">
        <v>1</v>
      </c>
      <c r="F64" s="295" t="s">
        <v>513</v>
      </c>
      <c r="G64" s="295" t="s">
        <v>412</v>
      </c>
      <c r="H64" s="295">
        <v>24</v>
      </c>
    </row>
    <row r="65" spans="1:8" x14ac:dyDescent="0.15">
      <c r="A65" s="295" t="s">
        <v>196</v>
      </c>
      <c r="B65" s="295" t="s">
        <v>177</v>
      </c>
      <c r="C65" s="295" t="s">
        <v>197</v>
      </c>
      <c r="D65" s="295" t="s">
        <v>198</v>
      </c>
      <c r="E65" s="295">
        <v>1</v>
      </c>
      <c r="F65" s="295" t="s">
        <v>199</v>
      </c>
      <c r="G65" s="295" t="s">
        <v>413</v>
      </c>
      <c r="H65" s="295">
        <v>5</v>
      </c>
    </row>
    <row r="66" spans="1:8" x14ac:dyDescent="0.15">
      <c r="A66" s="295" t="s">
        <v>211</v>
      </c>
      <c r="B66" s="295" t="s">
        <v>208</v>
      </c>
      <c r="C66" s="295" t="s">
        <v>209</v>
      </c>
      <c r="D66" s="295" t="s">
        <v>210</v>
      </c>
      <c r="E66" s="295">
        <v>2</v>
      </c>
      <c r="F66" s="295" t="s">
        <v>342</v>
      </c>
      <c r="G66" s="295" t="s">
        <v>414</v>
      </c>
      <c r="H66" s="295">
        <v>5</v>
      </c>
    </row>
    <row r="67" spans="1:8" x14ac:dyDescent="0.15">
      <c r="A67" s="295" t="s">
        <v>206</v>
      </c>
      <c r="B67" s="295" t="s">
        <v>177</v>
      </c>
      <c r="C67" s="295" t="s">
        <v>197</v>
      </c>
      <c r="D67" s="295" t="s">
        <v>204</v>
      </c>
      <c r="E67" s="295">
        <v>3</v>
      </c>
      <c r="F67" s="295" t="s">
        <v>366</v>
      </c>
      <c r="G67" s="295" t="s">
        <v>415</v>
      </c>
      <c r="H67" s="295">
        <v>5</v>
      </c>
    </row>
    <row r="68" spans="1:8" x14ac:dyDescent="0.15">
      <c r="A68" s="295" t="s">
        <v>164</v>
      </c>
      <c r="B68" s="295" t="s">
        <v>17</v>
      </c>
      <c r="C68" s="295" t="s">
        <v>18</v>
      </c>
      <c r="D68" s="295" t="s">
        <v>161</v>
      </c>
      <c r="E68" s="295">
        <v>3</v>
      </c>
      <c r="F68" s="295" t="s">
        <v>367</v>
      </c>
      <c r="G68" s="295" t="s">
        <v>416</v>
      </c>
      <c r="H68" s="295">
        <v>13</v>
      </c>
    </row>
    <row r="69" spans="1:8" x14ac:dyDescent="0.15">
      <c r="A69" s="295" t="s">
        <v>160</v>
      </c>
      <c r="B69" s="295" t="s">
        <v>17</v>
      </c>
      <c r="C69" s="295" t="s">
        <v>18</v>
      </c>
      <c r="D69" s="295" t="s">
        <v>161</v>
      </c>
      <c r="E69" s="295">
        <v>1</v>
      </c>
      <c r="F69" s="295" t="s">
        <v>368</v>
      </c>
      <c r="G69" s="295" t="s">
        <v>417</v>
      </c>
      <c r="H69" s="295">
        <v>10</v>
      </c>
    </row>
    <row r="70" spans="1:8" x14ac:dyDescent="0.15">
      <c r="A70" s="295" t="s">
        <v>203</v>
      </c>
      <c r="B70" s="295" t="s">
        <v>177</v>
      </c>
      <c r="C70" s="295" t="s">
        <v>197</v>
      </c>
      <c r="D70" s="295" t="s">
        <v>204</v>
      </c>
      <c r="E70" s="295">
        <v>1</v>
      </c>
      <c r="F70" s="295" t="s">
        <v>369</v>
      </c>
      <c r="G70" s="295" t="s">
        <v>418</v>
      </c>
      <c r="H70" s="295">
        <v>5</v>
      </c>
    </row>
    <row r="71" spans="1:8" x14ac:dyDescent="0.15">
      <c r="A71" s="295" t="s">
        <v>215</v>
      </c>
      <c r="B71" s="295" t="s">
        <v>208</v>
      </c>
      <c r="C71" s="295" t="s">
        <v>209</v>
      </c>
      <c r="D71" s="295" t="s">
        <v>214</v>
      </c>
      <c r="E71" s="295">
        <v>2</v>
      </c>
      <c r="F71" s="295" t="s">
        <v>343</v>
      </c>
      <c r="G71" s="295" t="s">
        <v>514</v>
      </c>
      <c r="H71" s="295">
        <v>5</v>
      </c>
    </row>
    <row r="72" spans="1:8" x14ac:dyDescent="0.15">
      <c r="A72" s="295" t="s">
        <v>201</v>
      </c>
      <c r="B72" s="295" t="s">
        <v>177</v>
      </c>
      <c r="C72" s="295" t="s">
        <v>197</v>
      </c>
      <c r="D72" s="295" t="s">
        <v>198</v>
      </c>
      <c r="E72" s="295">
        <v>3</v>
      </c>
      <c r="F72" s="295" t="s">
        <v>202</v>
      </c>
      <c r="G72" s="295" t="s">
        <v>419</v>
      </c>
      <c r="H72" s="295">
        <v>5</v>
      </c>
    </row>
    <row r="73" spans="1:8" x14ac:dyDescent="0.15">
      <c r="A73" s="295" t="s">
        <v>158</v>
      </c>
      <c r="B73" s="295" t="s">
        <v>17</v>
      </c>
      <c r="C73" s="295" t="s">
        <v>18</v>
      </c>
      <c r="D73" s="295" t="s">
        <v>156</v>
      </c>
      <c r="E73" s="295">
        <v>3</v>
      </c>
      <c r="F73" s="295" t="s">
        <v>159</v>
      </c>
      <c r="G73" s="295" t="s">
        <v>420</v>
      </c>
      <c r="H73" s="295">
        <v>13</v>
      </c>
    </row>
    <row r="74" spans="1:8" x14ac:dyDescent="0.15">
      <c r="A74" s="295" t="s">
        <v>308</v>
      </c>
      <c r="B74" s="295" t="s">
        <v>17</v>
      </c>
      <c r="C74" s="295" t="s">
        <v>19</v>
      </c>
      <c r="D74" s="295" t="s">
        <v>302</v>
      </c>
      <c r="E74" s="295">
        <v>2</v>
      </c>
      <c r="F74" s="295" t="s">
        <v>370</v>
      </c>
      <c r="G74" s="295" t="s">
        <v>421</v>
      </c>
      <c r="H74" s="295">
        <v>3</v>
      </c>
    </row>
    <row r="75" spans="1:8" x14ac:dyDescent="0.15">
      <c r="A75" s="295" t="s">
        <v>176</v>
      </c>
      <c r="B75" s="295" t="s">
        <v>177</v>
      </c>
      <c r="C75" s="295" t="s">
        <v>21</v>
      </c>
      <c r="D75" s="295" t="s">
        <v>178</v>
      </c>
      <c r="E75" s="295">
        <v>1</v>
      </c>
      <c r="F75" s="295" t="s">
        <v>344</v>
      </c>
      <c r="G75" s="295" t="s">
        <v>515</v>
      </c>
      <c r="H75" s="295">
        <v>2</v>
      </c>
    </row>
    <row r="76" spans="1:8" x14ac:dyDescent="0.15">
      <c r="A76" s="295" t="s">
        <v>229</v>
      </c>
      <c r="B76" s="295" t="s">
        <v>208</v>
      </c>
      <c r="C76" s="295" t="s">
        <v>230</v>
      </c>
      <c r="D76" s="295" t="s">
        <v>408</v>
      </c>
      <c r="E76" s="295">
        <v>1</v>
      </c>
      <c r="F76" s="295" t="s">
        <v>516</v>
      </c>
      <c r="G76" s="295" t="s">
        <v>517</v>
      </c>
      <c r="H76" s="295">
        <v>5</v>
      </c>
    </row>
    <row r="77" spans="1:8" x14ac:dyDescent="0.15">
      <c r="A77" s="295" t="s">
        <v>235</v>
      </c>
      <c r="B77" s="295" t="s">
        <v>208</v>
      </c>
      <c r="C77" s="295" t="s">
        <v>230</v>
      </c>
      <c r="D77" s="295" t="s">
        <v>411</v>
      </c>
      <c r="E77" s="295">
        <v>3</v>
      </c>
      <c r="F77" s="295" t="s">
        <v>518</v>
      </c>
      <c r="G77" s="295" t="s">
        <v>519</v>
      </c>
      <c r="H77" s="295">
        <v>5</v>
      </c>
    </row>
    <row r="78" spans="1:8" x14ac:dyDescent="0.15">
      <c r="A78" s="295" t="s">
        <v>185</v>
      </c>
      <c r="B78" s="295" t="s">
        <v>177</v>
      </c>
      <c r="C78" s="295" t="s">
        <v>21</v>
      </c>
      <c r="D78" s="295" t="s">
        <v>183</v>
      </c>
      <c r="E78" s="295">
        <v>3</v>
      </c>
      <c r="F78" s="295" t="s">
        <v>520</v>
      </c>
      <c r="G78" s="295" t="s">
        <v>521</v>
      </c>
      <c r="H78" s="295">
        <v>13</v>
      </c>
    </row>
    <row r="79" spans="1:8" x14ac:dyDescent="0.15">
      <c r="A79" s="295" t="s">
        <v>305</v>
      </c>
      <c r="B79" s="295" t="s">
        <v>17</v>
      </c>
      <c r="C79" s="295" t="s">
        <v>19</v>
      </c>
      <c r="D79" s="295" t="s">
        <v>339</v>
      </c>
      <c r="E79" s="295">
        <v>2</v>
      </c>
      <c r="F79" s="295" t="s">
        <v>371</v>
      </c>
      <c r="G79" s="295" t="s">
        <v>422</v>
      </c>
      <c r="H79" s="295">
        <v>0</v>
      </c>
    </row>
    <row r="80" spans="1:8" x14ac:dyDescent="0.15">
      <c r="A80" s="295" t="s">
        <v>182</v>
      </c>
      <c r="B80" s="295" t="s">
        <v>177</v>
      </c>
      <c r="C80" s="295" t="s">
        <v>21</v>
      </c>
      <c r="D80" s="295" t="s">
        <v>183</v>
      </c>
      <c r="E80" s="295">
        <v>1</v>
      </c>
      <c r="F80" s="295" t="s">
        <v>522</v>
      </c>
      <c r="G80" s="295" t="s">
        <v>523</v>
      </c>
      <c r="H80" s="295">
        <v>2</v>
      </c>
    </row>
    <row r="81" spans="1:8" x14ac:dyDescent="0.15">
      <c r="A81" s="295" t="s">
        <v>233</v>
      </c>
      <c r="B81" s="295" t="s">
        <v>208</v>
      </c>
      <c r="C81" s="295" t="s">
        <v>230</v>
      </c>
      <c r="D81" s="295" t="s">
        <v>411</v>
      </c>
      <c r="E81" s="295">
        <v>1</v>
      </c>
      <c r="F81" s="295" t="s">
        <v>345</v>
      </c>
      <c r="G81" s="295" t="s">
        <v>524</v>
      </c>
      <c r="H81" s="295">
        <v>5</v>
      </c>
    </row>
    <row r="82" spans="1:8" x14ac:dyDescent="0.15">
      <c r="A82" s="295" t="s">
        <v>232</v>
      </c>
      <c r="B82" s="295" t="s">
        <v>208</v>
      </c>
      <c r="C82" s="295" t="s">
        <v>230</v>
      </c>
      <c r="D82" s="295" t="s">
        <v>408</v>
      </c>
      <c r="E82" s="295">
        <v>3</v>
      </c>
      <c r="F82" s="295" t="s">
        <v>525</v>
      </c>
      <c r="G82" s="295" t="s">
        <v>526</v>
      </c>
      <c r="H82" s="295">
        <v>5</v>
      </c>
    </row>
    <row r="83" spans="1:8" x14ac:dyDescent="0.15">
      <c r="A83" s="295" t="s">
        <v>180</v>
      </c>
      <c r="B83" s="295" t="s">
        <v>177</v>
      </c>
      <c r="C83" s="295" t="s">
        <v>21</v>
      </c>
      <c r="D83" s="295" t="s">
        <v>178</v>
      </c>
      <c r="E83" s="295">
        <v>3</v>
      </c>
      <c r="F83" s="295" t="s">
        <v>181</v>
      </c>
      <c r="G83" s="295" t="s">
        <v>423</v>
      </c>
      <c r="H83" s="295">
        <v>6</v>
      </c>
    </row>
    <row r="84" spans="1:8" x14ac:dyDescent="0.15">
      <c r="A84" s="295" t="s">
        <v>207</v>
      </c>
      <c r="B84" s="295" t="s">
        <v>208</v>
      </c>
      <c r="C84" s="295" t="s">
        <v>209</v>
      </c>
      <c r="D84" s="295" t="s">
        <v>210</v>
      </c>
      <c r="E84" s="295">
        <v>1</v>
      </c>
      <c r="F84" s="295" t="s">
        <v>346</v>
      </c>
      <c r="G84" s="295" t="s">
        <v>424</v>
      </c>
      <c r="H84" s="295">
        <v>5</v>
      </c>
    </row>
    <row r="85" spans="1:8" x14ac:dyDescent="0.15">
      <c r="A85" s="295" t="s">
        <v>200</v>
      </c>
      <c r="B85" s="295" t="s">
        <v>177</v>
      </c>
      <c r="C85" s="295" t="s">
        <v>197</v>
      </c>
      <c r="D85" s="295" t="s">
        <v>198</v>
      </c>
      <c r="E85" s="295">
        <v>2</v>
      </c>
      <c r="F85" s="295" t="s">
        <v>527</v>
      </c>
      <c r="G85" s="295" t="s">
        <v>425</v>
      </c>
      <c r="H85" s="295">
        <v>5</v>
      </c>
    </row>
    <row r="86" spans="1:8" x14ac:dyDescent="0.15">
      <c r="A86" s="295" t="s">
        <v>157</v>
      </c>
      <c r="B86" s="295" t="s">
        <v>17</v>
      </c>
      <c r="C86" s="295" t="s">
        <v>18</v>
      </c>
      <c r="D86" s="295" t="s">
        <v>156</v>
      </c>
      <c r="E86" s="295">
        <v>2</v>
      </c>
      <c r="F86" s="295" t="s">
        <v>372</v>
      </c>
      <c r="G86" s="295" t="s">
        <v>426</v>
      </c>
      <c r="H86" s="295">
        <v>21</v>
      </c>
    </row>
    <row r="87" spans="1:8" x14ac:dyDescent="0.15">
      <c r="A87" s="295" t="s">
        <v>216</v>
      </c>
      <c r="B87" s="295" t="s">
        <v>208</v>
      </c>
      <c r="C87" s="295" t="s">
        <v>209</v>
      </c>
      <c r="D87" s="295" t="s">
        <v>214</v>
      </c>
      <c r="E87" s="295">
        <v>3</v>
      </c>
      <c r="F87" s="295" t="s">
        <v>217</v>
      </c>
      <c r="G87" s="295" t="s">
        <v>528</v>
      </c>
      <c r="H87" s="295">
        <v>5</v>
      </c>
    </row>
    <row r="88" spans="1:8" x14ac:dyDescent="0.15">
      <c r="A88" s="295" t="s">
        <v>213</v>
      </c>
      <c r="B88" s="295" t="s">
        <v>208</v>
      </c>
      <c r="C88" s="295" t="s">
        <v>209</v>
      </c>
      <c r="D88" s="295" t="s">
        <v>214</v>
      </c>
      <c r="E88" s="295">
        <v>1</v>
      </c>
      <c r="F88" s="295" t="s">
        <v>347</v>
      </c>
      <c r="G88" s="295" t="s">
        <v>529</v>
      </c>
      <c r="H88" s="295">
        <v>5</v>
      </c>
    </row>
    <row r="89" spans="1:8" x14ac:dyDescent="0.15">
      <c r="A89" s="295" t="s">
        <v>205</v>
      </c>
      <c r="B89" s="295" t="s">
        <v>177</v>
      </c>
      <c r="C89" s="295" t="s">
        <v>197</v>
      </c>
      <c r="D89" s="295" t="s">
        <v>204</v>
      </c>
      <c r="E89" s="295">
        <v>2</v>
      </c>
      <c r="F89" s="295" t="s">
        <v>373</v>
      </c>
      <c r="G89" s="295" t="s">
        <v>427</v>
      </c>
      <c r="H89" s="295">
        <v>20</v>
      </c>
    </row>
    <row r="90" spans="1:8" x14ac:dyDescent="0.15">
      <c r="A90" s="295" t="s">
        <v>162</v>
      </c>
      <c r="B90" s="295" t="s">
        <v>17</v>
      </c>
      <c r="C90" s="295" t="s">
        <v>18</v>
      </c>
      <c r="D90" s="295" t="s">
        <v>161</v>
      </c>
      <c r="E90" s="295">
        <v>2</v>
      </c>
      <c r="F90" s="295" t="s">
        <v>163</v>
      </c>
      <c r="G90" s="295" t="s">
        <v>428</v>
      </c>
      <c r="H90" s="295">
        <v>1</v>
      </c>
    </row>
    <row r="91" spans="1:8" x14ac:dyDescent="0.15">
      <c r="A91" s="295" t="s">
        <v>212</v>
      </c>
      <c r="B91" s="295" t="s">
        <v>208</v>
      </c>
      <c r="C91" s="295" t="s">
        <v>209</v>
      </c>
      <c r="D91" s="295" t="s">
        <v>210</v>
      </c>
      <c r="E91" s="295">
        <v>3</v>
      </c>
      <c r="F91" s="295" t="s">
        <v>530</v>
      </c>
      <c r="G91" s="295" t="s">
        <v>531</v>
      </c>
      <c r="H91" s="295">
        <v>5</v>
      </c>
    </row>
  </sheetData>
  <autoFilter ref="A1:H91" xr:uid="{00000000-0009-0000-0000-000006000000}"/>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I26"/>
  <sheetViews>
    <sheetView workbookViewId="0">
      <selection activeCell="A2" sqref="A2:I26"/>
    </sheetView>
  </sheetViews>
  <sheetFormatPr baseColWidth="10" defaultColWidth="11.5" defaultRowHeight="13" x14ac:dyDescent="0.15"/>
  <cols>
    <col min="3" max="3" width="33.5" bestFit="1" customWidth="1"/>
    <col min="4" max="4" width="27.5" customWidth="1"/>
    <col min="5" max="5" width="29.6640625" customWidth="1"/>
  </cols>
  <sheetData>
    <row r="1" spans="1:9" x14ac:dyDescent="0.15">
      <c r="A1" s="140" t="s">
        <v>120</v>
      </c>
      <c r="B1" s="140" t="s">
        <v>67</v>
      </c>
      <c r="C1" s="140" t="s">
        <v>68</v>
      </c>
      <c r="D1" s="140" t="s">
        <v>69</v>
      </c>
      <c r="E1" s="140" t="s">
        <v>70</v>
      </c>
      <c r="F1" s="140" t="s">
        <v>121</v>
      </c>
      <c r="G1" s="140" t="s">
        <v>122</v>
      </c>
      <c r="H1" s="140" t="s">
        <v>123</v>
      </c>
      <c r="I1" s="140" t="s">
        <v>124</v>
      </c>
    </row>
    <row r="2" spans="1:9" x14ac:dyDescent="0.15">
      <c r="A2" s="295">
        <v>0</v>
      </c>
      <c r="B2" s="296" t="s">
        <v>27</v>
      </c>
      <c r="C2" s="295" t="s">
        <v>439</v>
      </c>
      <c r="D2" s="295" t="s">
        <v>129</v>
      </c>
      <c r="E2" s="295" t="s">
        <v>319</v>
      </c>
      <c r="F2" s="295">
        <v>0</v>
      </c>
      <c r="G2" s="295">
        <v>0.25</v>
      </c>
      <c r="H2" s="295">
        <v>0.5</v>
      </c>
      <c r="I2" s="295">
        <v>1</v>
      </c>
    </row>
    <row r="3" spans="1:9" x14ac:dyDescent="0.15">
      <c r="A3" s="295">
        <v>1</v>
      </c>
      <c r="B3" s="296" t="s">
        <v>27</v>
      </c>
      <c r="C3" s="295" t="s">
        <v>440</v>
      </c>
      <c r="D3" s="295" t="s">
        <v>441</v>
      </c>
      <c r="E3" s="295" t="s">
        <v>442</v>
      </c>
      <c r="F3" s="295">
        <v>0</v>
      </c>
      <c r="G3" s="295">
        <v>0.25</v>
      </c>
      <c r="H3" s="295">
        <v>0.5</v>
      </c>
      <c r="I3" s="295">
        <v>1</v>
      </c>
    </row>
    <row r="4" spans="1:9" x14ac:dyDescent="0.15">
      <c r="A4" s="295">
        <v>2</v>
      </c>
      <c r="B4" s="296" t="s">
        <v>27</v>
      </c>
      <c r="C4" s="295" t="s">
        <v>127</v>
      </c>
      <c r="D4" s="295" t="s">
        <v>128</v>
      </c>
      <c r="E4" s="295" t="s">
        <v>320</v>
      </c>
      <c r="F4" s="295">
        <v>0</v>
      </c>
      <c r="G4" s="295">
        <v>0.25</v>
      </c>
      <c r="H4" s="295">
        <v>0.5</v>
      </c>
      <c r="I4" s="295">
        <v>1</v>
      </c>
    </row>
    <row r="5" spans="1:9" x14ac:dyDescent="0.15">
      <c r="A5" s="295">
        <v>3</v>
      </c>
      <c r="B5" s="296" t="s">
        <v>27</v>
      </c>
      <c r="C5" s="295" t="s">
        <v>443</v>
      </c>
      <c r="D5" s="295" t="s">
        <v>444</v>
      </c>
      <c r="E5" s="295" t="s">
        <v>445</v>
      </c>
      <c r="F5" s="295">
        <v>0</v>
      </c>
      <c r="G5" s="295">
        <v>0.25</v>
      </c>
      <c r="H5" s="295">
        <v>0.5</v>
      </c>
      <c r="I5" s="295">
        <v>1</v>
      </c>
    </row>
    <row r="6" spans="1:9" x14ac:dyDescent="0.15">
      <c r="A6" s="295">
        <v>4</v>
      </c>
      <c r="B6" s="296" t="s">
        <v>27</v>
      </c>
      <c r="C6" s="295" t="s">
        <v>446</v>
      </c>
      <c r="D6" s="295" t="s">
        <v>447</v>
      </c>
      <c r="E6" s="295" t="s">
        <v>448</v>
      </c>
      <c r="F6" s="295">
        <v>0</v>
      </c>
      <c r="G6" s="295">
        <v>0.25</v>
      </c>
      <c r="H6" s="295">
        <v>0.5</v>
      </c>
      <c r="I6" s="295">
        <v>1</v>
      </c>
    </row>
    <row r="7" spans="1:9" x14ac:dyDescent="0.15">
      <c r="A7" s="295">
        <v>5</v>
      </c>
      <c r="B7" s="296" t="s">
        <v>27</v>
      </c>
      <c r="C7" s="295" t="s">
        <v>125</v>
      </c>
      <c r="D7" s="295" t="s">
        <v>126</v>
      </c>
      <c r="E7" s="295" t="s">
        <v>321</v>
      </c>
      <c r="F7" s="295">
        <v>0</v>
      </c>
      <c r="G7" s="295">
        <v>0.25</v>
      </c>
      <c r="H7" s="295">
        <v>0.5</v>
      </c>
      <c r="I7" s="295">
        <v>1</v>
      </c>
    </row>
    <row r="8" spans="1:9" x14ac:dyDescent="0.15">
      <c r="A8" s="295">
        <v>6</v>
      </c>
      <c r="B8" s="296" t="s">
        <v>27</v>
      </c>
      <c r="C8" s="295" t="s">
        <v>147</v>
      </c>
      <c r="D8" s="295" t="s">
        <v>148</v>
      </c>
      <c r="E8" s="295" t="s">
        <v>322</v>
      </c>
      <c r="F8" s="295">
        <v>0</v>
      </c>
      <c r="G8" s="295">
        <v>0.25</v>
      </c>
      <c r="H8" s="295">
        <v>0.5</v>
      </c>
      <c r="I8" s="295">
        <v>1</v>
      </c>
    </row>
    <row r="9" spans="1:9" x14ac:dyDescent="0.15">
      <c r="A9" s="295">
        <v>7</v>
      </c>
      <c r="B9" s="296" t="s">
        <v>27</v>
      </c>
      <c r="C9" s="295" t="s">
        <v>130</v>
      </c>
      <c r="D9" s="295" t="s">
        <v>119</v>
      </c>
      <c r="E9" s="295" t="s">
        <v>323</v>
      </c>
      <c r="F9" s="295">
        <v>0</v>
      </c>
      <c r="G9" s="295">
        <v>0.25</v>
      </c>
      <c r="H9" s="295">
        <v>0.5</v>
      </c>
      <c r="I9" s="295">
        <v>1</v>
      </c>
    </row>
    <row r="10" spans="1:9" x14ac:dyDescent="0.15">
      <c r="A10" s="295">
        <v>8</v>
      </c>
      <c r="B10" s="296" t="s">
        <v>27</v>
      </c>
      <c r="C10" s="295" t="s">
        <v>324</v>
      </c>
      <c r="D10" s="295" t="s">
        <v>449</v>
      </c>
      <c r="E10" s="295" t="s">
        <v>450</v>
      </c>
      <c r="F10" s="295">
        <v>0</v>
      </c>
      <c r="G10" s="295">
        <v>0.25</v>
      </c>
      <c r="H10" s="295">
        <v>0.5</v>
      </c>
      <c r="I10" s="295">
        <v>1</v>
      </c>
    </row>
    <row r="11" spans="1:9" x14ac:dyDescent="0.15">
      <c r="A11" s="295">
        <v>9</v>
      </c>
      <c r="B11" s="296" t="s">
        <v>27</v>
      </c>
      <c r="C11" s="295" t="s">
        <v>298</v>
      </c>
      <c r="D11" s="295" t="s">
        <v>299</v>
      </c>
      <c r="E11" s="295" t="s">
        <v>325</v>
      </c>
      <c r="F11" s="295">
        <v>0</v>
      </c>
      <c r="G11" s="295">
        <v>0.25</v>
      </c>
      <c r="H11" s="295">
        <v>0.5</v>
      </c>
      <c r="I11" s="295">
        <v>1</v>
      </c>
    </row>
    <row r="12" spans="1:9" x14ac:dyDescent="0.15">
      <c r="A12" s="295">
        <v>10</v>
      </c>
      <c r="B12" s="296" t="s">
        <v>27</v>
      </c>
      <c r="C12" s="295" t="s">
        <v>144</v>
      </c>
      <c r="D12" s="295" t="s">
        <v>145</v>
      </c>
      <c r="E12" s="295" t="s">
        <v>146</v>
      </c>
      <c r="F12" s="295">
        <v>0</v>
      </c>
      <c r="G12" s="295">
        <v>0.25</v>
      </c>
      <c r="H12" s="295">
        <v>0.5</v>
      </c>
      <c r="I12" s="295">
        <v>1</v>
      </c>
    </row>
    <row r="13" spans="1:9" x14ac:dyDescent="0.15">
      <c r="A13" s="295">
        <v>11</v>
      </c>
      <c r="B13" s="296" t="s">
        <v>27</v>
      </c>
      <c r="C13" s="295" t="s">
        <v>451</v>
      </c>
      <c r="D13" s="295" t="s">
        <v>452</v>
      </c>
      <c r="E13" s="295" t="s">
        <v>453</v>
      </c>
      <c r="F13" s="295">
        <v>0</v>
      </c>
      <c r="G13" s="295">
        <v>0.25</v>
      </c>
      <c r="H13" s="295">
        <v>0.5</v>
      </c>
      <c r="I13" s="295">
        <v>1</v>
      </c>
    </row>
    <row r="14" spans="1:9" x14ac:dyDescent="0.15">
      <c r="A14" s="295">
        <v>12</v>
      </c>
      <c r="B14" s="296" t="s">
        <v>27</v>
      </c>
      <c r="C14" s="295" t="s">
        <v>131</v>
      </c>
      <c r="D14" s="295" t="s">
        <v>132</v>
      </c>
      <c r="E14" s="295" t="s">
        <v>326</v>
      </c>
      <c r="F14" s="295">
        <v>0</v>
      </c>
      <c r="G14" s="295">
        <v>0.25</v>
      </c>
      <c r="H14" s="295">
        <v>0.5</v>
      </c>
      <c r="I14" s="295">
        <v>1</v>
      </c>
    </row>
    <row r="15" spans="1:9" x14ac:dyDescent="0.15">
      <c r="A15" s="295">
        <v>13</v>
      </c>
      <c r="B15" s="296" t="s">
        <v>27</v>
      </c>
      <c r="C15" s="295" t="s">
        <v>301</v>
      </c>
      <c r="D15" s="295" t="s">
        <v>454</v>
      </c>
      <c r="E15" s="295" t="s">
        <v>143</v>
      </c>
      <c r="F15" s="295">
        <v>0</v>
      </c>
      <c r="G15" s="295">
        <v>0.25</v>
      </c>
      <c r="H15" s="295">
        <v>0.5</v>
      </c>
      <c r="I15" s="295">
        <v>1</v>
      </c>
    </row>
    <row r="16" spans="1:9" x14ac:dyDescent="0.15">
      <c r="A16" s="295">
        <v>14</v>
      </c>
      <c r="B16" s="296" t="s">
        <v>27</v>
      </c>
      <c r="C16" s="295" t="s">
        <v>134</v>
      </c>
      <c r="D16" s="295" t="s">
        <v>135</v>
      </c>
      <c r="E16" s="295" t="s">
        <v>327</v>
      </c>
      <c r="F16" s="295">
        <v>0</v>
      </c>
      <c r="G16" s="295">
        <v>0.25</v>
      </c>
      <c r="H16" s="295">
        <v>0.5</v>
      </c>
      <c r="I16" s="295">
        <v>1</v>
      </c>
    </row>
    <row r="17" spans="1:9" x14ac:dyDescent="0.15">
      <c r="A17" s="295">
        <v>15</v>
      </c>
      <c r="B17" s="296" t="s">
        <v>27</v>
      </c>
      <c r="C17" s="295" t="s">
        <v>136</v>
      </c>
      <c r="D17" s="295" t="s">
        <v>60</v>
      </c>
      <c r="E17" s="295" t="s">
        <v>61</v>
      </c>
      <c r="F17" s="295">
        <v>0</v>
      </c>
      <c r="G17" s="295">
        <v>0.25</v>
      </c>
      <c r="H17" s="295">
        <v>0.5</v>
      </c>
      <c r="I17" s="295">
        <v>1</v>
      </c>
    </row>
    <row r="18" spans="1:9" x14ac:dyDescent="0.15">
      <c r="A18" s="295">
        <v>16</v>
      </c>
      <c r="B18" s="296" t="s">
        <v>27</v>
      </c>
      <c r="C18" s="295" t="s">
        <v>328</v>
      </c>
      <c r="D18" s="295" t="s">
        <v>329</v>
      </c>
      <c r="E18" s="295" t="s">
        <v>330</v>
      </c>
      <c r="F18" s="295">
        <v>0</v>
      </c>
      <c r="G18" s="295">
        <v>0.25</v>
      </c>
      <c r="H18" s="295">
        <v>0.5</v>
      </c>
      <c r="I18" s="295">
        <v>1</v>
      </c>
    </row>
    <row r="19" spans="1:9" x14ac:dyDescent="0.15">
      <c r="A19" s="295">
        <v>17</v>
      </c>
      <c r="B19" s="296" t="s">
        <v>27</v>
      </c>
      <c r="C19" s="295" t="s">
        <v>455</v>
      </c>
      <c r="D19" s="295" t="s">
        <v>133</v>
      </c>
      <c r="E19" s="295" t="s">
        <v>331</v>
      </c>
      <c r="F19" s="295">
        <v>0</v>
      </c>
      <c r="G19" s="295">
        <v>0.25</v>
      </c>
      <c r="H19" s="295">
        <v>0.5</v>
      </c>
      <c r="I19" s="295">
        <v>1</v>
      </c>
    </row>
    <row r="20" spans="1:9" x14ac:dyDescent="0.15">
      <c r="A20" s="295">
        <v>18</v>
      </c>
      <c r="B20" s="296" t="s">
        <v>27</v>
      </c>
      <c r="C20" s="295" t="s">
        <v>137</v>
      </c>
      <c r="D20" s="295" t="s">
        <v>138</v>
      </c>
      <c r="E20" s="295" t="s">
        <v>332</v>
      </c>
      <c r="F20" s="295">
        <v>0</v>
      </c>
      <c r="G20" s="295">
        <v>0.25</v>
      </c>
      <c r="H20" s="295">
        <v>0.5</v>
      </c>
      <c r="I20" s="295">
        <v>1</v>
      </c>
    </row>
    <row r="21" spans="1:9" x14ac:dyDescent="0.15">
      <c r="A21" s="295">
        <v>19</v>
      </c>
      <c r="B21" s="296" t="s">
        <v>27</v>
      </c>
      <c r="C21" s="295" t="s">
        <v>456</v>
      </c>
      <c r="D21" s="295" t="s">
        <v>457</v>
      </c>
      <c r="E21" s="295" t="s">
        <v>458</v>
      </c>
      <c r="F21" s="295">
        <v>0</v>
      </c>
      <c r="G21" s="295">
        <v>0.25</v>
      </c>
      <c r="H21" s="295">
        <v>0.5</v>
      </c>
      <c r="I21" s="295">
        <v>1</v>
      </c>
    </row>
    <row r="22" spans="1:9" x14ac:dyDescent="0.15">
      <c r="A22" s="295">
        <v>20</v>
      </c>
      <c r="B22" s="296" t="s">
        <v>27</v>
      </c>
      <c r="C22" s="295" t="s">
        <v>139</v>
      </c>
      <c r="D22" s="295" t="s">
        <v>140</v>
      </c>
      <c r="E22" s="295" t="s">
        <v>333</v>
      </c>
      <c r="F22" s="295">
        <v>0</v>
      </c>
      <c r="G22" s="295">
        <v>0.25</v>
      </c>
      <c r="H22" s="295">
        <v>0.5</v>
      </c>
      <c r="I22" s="295">
        <v>1</v>
      </c>
    </row>
    <row r="23" spans="1:9" x14ac:dyDescent="0.15">
      <c r="A23" s="295">
        <v>21</v>
      </c>
      <c r="B23" s="296" t="s">
        <v>27</v>
      </c>
      <c r="C23" s="295" t="s">
        <v>141</v>
      </c>
      <c r="D23" s="295" t="s">
        <v>142</v>
      </c>
      <c r="E23" s="295" t="s">
        <v>351</v>
      </c>
      <c r="F23" s="295">
        <v>0</v>
      </c>
      <c r="G23" s="295">
        <v>0.25</v>
      </c>
      <c r="H23" s="295">
        <v>0.5</v>
      </c>
      <c r="I23" s="295">
        <v>1</v>
      </c>
    </row>
    <row r="24" spans="1:9" x14ac:dyDescent="0.15">
      <c r="A24" s="295">
        <v>22</v>
      </c>
      <c r="B24" s="296" t="s">
        <v>27</v>
      </c>
      <c r="C24" s="295" t="s">
        <v>459</v>
      </c>
      <c r="D24" s="295" t="s">
        <v>460</v>
      </c>
      <c r="E24" s="295" t="s">
        <v>461</v>
      </c>
      <c r="F24" s="295">
        <v>0</v>
      </c>
      <c r="G24" s="295">
        <v>0.25</v>
      </c>
      <c r="H24" s="295">
        <v>0.5</v>
      </c>
      <c r="I24" s="295">
        <v>1</v>
      </c>
    </row>
    <row r="25" spans="1:9" x14ac:dyDescent="0.15">
      <c r="A25" s="295">
        <v>23</v>
      </c>
      <c r="B25" s="296" t="s">
        <v>27</v>
      </c>
      <c r="C25" s="295" t="s">
        <v>462</v>
      </c>
      <c r="D25" s="295" t="s">
        <v>463</v>
      </c>
      <c r="E25" s="295" t="s">
        <v>464</v>
      </c>
      <c r="F25" s="295">
        <v>0</v>
      </c>
      <c r="G25" s="295">
        <v>0.25</v>
      </c>
      <c r="H25" s="295">
        <v>0.5</v>
      </c>
      <c r="I25" s="295">
        <v>1</v>
      </c>
    </row>
    <row r="26" spans="1:9" x14ac:dyDescent="0.15">
      <c r="A26" s="295">
        <v>24</v>
      </c>
      <c r="B26" s="296" t="s">
        <v>27</v>
      </c>
      <c r="C26" s="295" t="s">
        <v>465</v>
      </c>
      <c r="D26" s="295" t="s">
        <v>466</v>
      </c>
      <c r="E26" s="295" t="s">
        <v>467</v>
      </c>
      <c r="F26" s="295">
        <v>0</v>
      </c>
      <c r="G26" s="295">
        <v>0.25</v>
      </c>
      <c r="H26" s="295">
        <v>0.5</v>
      </c>
      <c r="I26" s="295">
        <v>1</v>
      </c>
    </row>
  </sheetData>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
  <sheetViews>
    <sheetView workbookViewId="0"/>
  </sheetViews>
  <sheetFormatPr baseColWidth="10" defaultColWidth="8.83203125" defaultRowHeight="13" x14ac:dyDescent="0.15"/>
  <cols>
    <col min="1" max="1" width="170.33203125" style="52" customWidth="1"/>
    <col min="2" max="16384" width="8.83203125" style="52"/>
  </cols>
  <sheetData>
    <row r="1" spans="1:1" ht="25" x14ac:dyDescent="0.15">
      <c r="A1" s="51" t="s">
        <v>50</v>
      </c>
    </row>
  </sheetData>
  <sheetProtection sheet="1" objects="1" scenarios="1"/>
  <customSheetViews>
    <customSheetView guid="{9846C184-355C-EA4B-8C35-9561D1AEE31C}">
      <pageMargins left="0.75" right="0.75" top="1" bottom="1" header="0.5" footer="0.5"/>
      <headerFooter alignWithMargins="0"/>
    </customSheetView>
  </customSheetViews>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vt:i4>
      </vt:variant>
      <vt:variant>
        <vt:lpstr>Named Ranges</vt:lpstr>
      </vt:variant>
      <vt:variant>
        <vt:i4>51</vt:i4>
      </vt:variant>
    </vt:vector>
  </HeadingPairs>
  <TitlesOfParts>
    <vt:vector size="60" baseType="lpstr">
      <vt:lpstr>Attribution and License</vt:lpstr>
      <vt:lpstr>Interview</vt:lpstr>
      <vt:lpstr>Scorecard</vt:lpstr>
      <vt:lpstr>Roadmap</vt:lpstr>
      <vt:lpstr>Roadmap Chart</vt:lpstr>
      <vt:lpstr>Lookups</vt:lpstr>
      <vt:lpstr>imp-questions</vt:lpstr>
      <vt:lpstr>imp-answers</vt:lpstr>
      <vt:lpstr>Background Images</vt:lpstr>
      <vt:lpstr>AnsA</vt:lpstr>
      <vt:lpstr>AnsATBL</vt:lpstr>
      <vt:lpstr>AnsB</vt:lpstr>
      <vt:lpstr>AnsBTBL</vt:lpstr>
      <vt:lpstr>AnsC</vt:lpstr>
      <vt:lpstr>AnsCTBL</vt:lpstr>
      <vt:lpstr>AnsD</vt:lpstr>
      <vt:lpstr>AnsDTBL</vt:lpstr>
      <vt:lpstr>AnsE</vt:lpstr>
      <vt:lpstr>AnsETBL</vt:lpstr>
      <vt:lpstr>AnsF</vt:lpstr>
      <vt:lpstr>AnsFTBL</vt:lpstr>
      <vt:lpstr>AnsG</vt:lpstr>
      <vt:lpstr>AnsGTBL</vt:lpstr>
      <vt:lpstr>AnsH</vt:lpstr>
      <vt:lpstr>AnsHTBL</vt:lpstr>
      <vt:lpstr>AnsI</vt:lpstr>
      <vt:lpstr>AnsITBL</vt:lpstr>
      <vt:lpstr>AnsJ</vt:lpstr>
      <vt:lpstr>AnsJTBL</vt:lpstr>
      <vt:lpstr>AnsK</vt:lpstr>
      <vt:lpstr>AnsKTBL</vt:lpstr>
      <vt:lpstr>AnsL</vt:lpstr>
      <vt:lpstr>AnsLTBL</vt:lpstr>
      <vt:lpstr>AnsM</vt:lpstr>
      <vt:lpstr>AnsMTBL</vt:lpstr>
      <vt:lpstr>AnsN</vt:lpstr>
      <vt:lpstr>AnsNTBL</vt:lpstr>
      <vt:lpstr>AnsO</vt:lpstr>
      <vt:lpstr>AnsOTBL</vt:lpstr>
      <vt:lpstr>AnsP</vt:lpstr>
      <vt:lpstr>AnsPTBL</vt:lpstr>
      <vt:lpstr>AnsQ</vt:lpstr>
      <vt:lpstr>AnsQTBL</vt:lpstr>
      <vt:lpstr>AnsR</vt:lpstr>
      <vt:lpstr>AnsRTBL</vt:lpstr>
      <vt:lpstr>AnsS</vt:lpstr>
      <vt:lpstr>AnsSTBL</vt:lpstr>
      <vt:lpstr>AnsT</vt:lpstr>
      <vt:lpstr>AnsTTBL</vt:lpstr>
      <vt:lpstr>AnsU</vt:lpstr>
      <vt:lpstr>AnsUTBL</vt:lpstr>
      <vt:lpstr>AnsV</vt:lpstr>
      <vt:lpstr>AnsVTBL</vt:lpstr>
      <vt:lpstr>AnsW</vt:lpstr>
      <vt:lpstr>AnsWTBL</vt:lpstr>
      <vt:lpstr>AnsX</vt:lpstr>
      <vt:lpstr>AnsXTBL</vt:lpstr>
      <vt:lpstr>AnsY</vt:lpstr>
      <vt:lpstr>AnsYTBL</vt:lpstr>
      <vt:lpstr>'Roadmap Chart'!Print_Area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The SAMM project team</dc:creator>
  <cp:keywords/>
  <dc:description/>
  <cp:lastModifiedBy>Davide Fucci</cp:lastModifiedBy>
  <dcterms:created xsi:type="dcterms:W3CDTF">2009-06-08T07:01:59Z</dcterms:created>
  <dcterms:modified xsi:type="dcterms:W3CDTF">2023-03-13T15:51:18Z</dcterms:modified>
  <cp:category/>
</cp:coreProperties>
</file>