
<file path=[Content_Types].xml><?xml version="1.0" encoding="utf-8"?>
<Types xmlns="http://schemas.openxmlformats.org/package/2006/content-type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3.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dfu/Projects/_SERT/ericsson/samm-analysis-mfs/data/survey/"/>
    </mc:Choice>
  </mc:AlternateContent>
  <xr:revisionPtr revIDLastSave="0" documentId="13_ncr:1_{B5F1A0CD-DE13-CC4C-BCB5-02B14173F6C8}" xr6:coauthVersionLast="47" xr6:coauthVersionMax="47" xr10:uidLastSave="{00000000-0000-0000-0000-000000000000}"/>
  <bookViews>
    <workbookView xWindow="0" yWindow="500" windowWidth="38400" windowHeight="21100" tabRatio="500" activeTab="1" xr2:uid="{00000000-000D-0000-FFFF-FFFF00000000}"/>
  </bookViews>
  <sheets>
    <sheet name="Attribution and License" sheetId="1" state="hidden" r:id="rId1"/>
    <sheet name="Interview" sheetId="2" r:id="rId2"/>
    <sheet name="Scorecard" sheetId="3" state="hidden" r:id="rId3"/>
    <sheet name="Roadmap" sheetId="4" state="hidden" r:id="rId4"/>
    <sheet name="Roadmap Chart" sheetId="5" state="hidden" r:id="rId5"/>
    <sheet name="Lookups" sheetId="6" state="hidden" r:id="rId6"/>
    <sheet name="imp-questions" sheetId="7" state="hidden" r:id="rId7"/>
    <sheet name="imp-answers" sheetId="8" state="hidden" r:id="rId8"/>
    <sheet name="Background Images" sheetId="9" state="hidden" r:id="rId9"/>
  </sheets>
  <definedNames>
    <definedName name="_xlnm._FilterDatabase" localSheetId="6" hidden="1">'imp-questions'!$A$1:$H$91</definedName>
    <definedName name="AnsA">Lookups!$P$4:$P$7</definedName>
    <definedName name="AnsATBL">Lookups!$P$4:$Q$7</definedName>
    <definedName name="AnsB">Lookups!$P$10:$P$13</definedName>
    <definedName name="AnsBTBL">Lookups!$P$10:$Q$13</definedName>
    <definedName name="AnsC">Lookups!$P$16:$P$19</definedName>
    <definedName name="AnsCTBL">Lookups!$P$16:$Q$19</definedName>
    <definedName name="AnsD">Lookups!$P$22:$P$25</definedName>
    <definedName name="AnsDTBL">Lookups!$P$22:$Q$25</definedName>
    <definedName name="AnsE">Lookups!$P$28:$P$31</definedName>
    <definedName name="AnsETBL">Lookups!$P$28:$Q$31</definedName>
    <definedName name="AnsF">Lookups!$P$34:$P$37</definedName>
    <definedName name="AnsFTBL">Lookups!$P$34:$Q$37</definedName>
    <definedName name="AnsG">Lookups!$P$40:$P$43</definedName>
    <definedName name="AnsGTBL">Lookups!$P$40:$Q$43</definedName>
    <definedName name="AnsH">Lookups!$P$46:$P$49</definedName>
    <definedName name="AnsHTBL">Lookups!$P$46:$Q$49</definedName>
    <definedName name="AnsI">Lookups!$P$52:$P$55</definedName>
    <definedName name="AnsITBL">Lookups!$P$52:$Q$55</definedName>
    <definedName name="AnsJ">Lookups!$P$58:$P$61</definedName>
    <definedName name="AnsJTBL">Lookups!$P$58:$Q$61</definedName>
    <definedName name="AnsK">Lookups!$P$64:$P$67</definedName>
    <definedName name="AnsKTBL">Lookups!$P$64:$Q$67</definedName>
    <definedName name="AnsL">Lookups!$P$70:$P$73</definedName>
    <definedName name="AnsLTBL">Lookups!$P$70:$Q$73</definedName>
    <definedName name="AnsM">Lookups!$P$76:$P$79</definedName>
    <definedName name="AnsMTBL">Lookups!$P$76:$Q$79</definedName>
    <definedName name="AnsN">Lookups!$P$82:$P$85</definedName>
    <definedName name="AnsNTBL">Lookups!$P$82:$Q$85</definedName>
    <definedName name="AnsO">Lookups!$P$88:$P$91</definedName>
    <definedName name="AnsOTBL">Lookups!$P$88:$Q$91</definedName>
    <definedName name="AnsP">Lookups!$P$94:$P$97</definedName>
    <definedName name="AnsPTBL">Lookups!$P$94:$Q$97</definedName>
    <definedName name="AnsQ">Lookups!$P$100:$P$103</definedName>
    <definedName name="AnsQTBL">Lookups!$P$100:$Q$103</definedName>
    <definedName name="AnsR">Lookups!$P$106:$P$109</definedName>
    <definedName name="AnsRTBL">Lookups!$P$106:$Q$109</definedName>
    <definedName name="AnsS">Lookups!$P$112:$P$115</definedName>
    <definedName name="AnsSTBL">Lookups!$P$112:$Q$115</definedName>
    <definedName name="AnsT">Lookups!$P$118:$P$121</definedName>
    <definedName name="AnsTTBL">Lookups!$P$118:$Q$121</definedName>
    <definedName name="AnsU">Lookups!$P$124:$P$127</definedName>
    <definedName name="AnsUTBL">Lookups!$P$124:$Q$127</definedName>
    <definedName name="AnsV">Lookups!$P$130:$P$133</definedName>
    <definedName name="AnsVTBL">Lookups!$P$130:$Q$133</definedName>
    <definedName name="AnsW">Lookups!$P$136:$P$139</definedName>
    <definedName name="AnsWTBL">Lookups!$P$136:$Q$139</definedName>
    <definedName name="AnsX">Lookups!$P$142:$P$145</definedName>
    <definedName name="AnsXTBL">Lookups!$P$142:$Q$145</definedName>
    <definedName name="AnsY">Lookups!$P$148:$P$151</definedName>
    <definedName name="AnsYTBL">Lookups!$P$148:$Q$151</definedName>
    <definedName name="_xlnm.Print_Area" localSheetId="4">'Roadmap Chart'!$L$3:$W$108</definedName>
    <definedName name="Z_9846C184_355C_EA4B_8C35_9561D1AEE31C_.wvu.Cols" localSheetId="2">Scorecard!$G:$G</definedName>
    <definedName name="Z_9846C184_355C_EA4B_8C35_9561D1AEE31C_.wvu.PrintArea" localSheetId="4">'Roadmap Chart'!$L$3:$W$108</definedName>
    <definedName name="Z_9846C184_355C_EA4B_8C35_9561D1AEE31C_.wvu.Rows" localSheetId="1">Interview!$1:$1</definedName>
    <definedName name="Z_9846C184_355C_EA4B_8C35_9561D1AEE31C_.wvu.Rows" localSheetId="3">Roadmap!$1:$1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18" i="2" l="1"/>
  <c r="C18" i="2"/>
  <c r="D18" i="2"/>
  <c r="E18" i="2"/>
  <c r="G18" i="2"/>
  <c r="H18" i="2" s="1"/>
  <c r="D19" i="2"/>
  <c r="C20" i="2"/>
  <c r="D20" i="2"/>
  <c r="E20" i="2"/>
  <c r="G20" i="2"/>
  <c r="H20" i="2" s="1"/>
  <c r="E14" i="3" s="1"/>
  <c r="D21" i="2"/>
  <c r="C22" i="2"/>
  <c r="D22" i="2"/>
  <c r="E22" i="2"/>
  <c r="G22" i="2"/>
  <c r="D23" i="2"/>
  <c r="B25" i="2"/>
  <c r="C25" i="2"/>
  <c r="D25" i="2"/>
  <c r="E25" i="2"/>
  <c r="G25" i="2"/>
  <c r="D26" i="2"/>
  <c r="C27" i="2"/>
  <c r="D27" i="2"/>
  <c r="E27" i="2"/>
  <c r="G27" i="2"/>
  <c r="D28" i="2"/>
  <c r="C29" i="2"/>
  <c r="D29" i="2"/>
  <c r="E29" i="2"/>
  <c r="G29" i="2"/>
  <c r="H22" i="2" s="1"/>
  <c r="F14" i="3" s="1"/>
  <c r="D30" i="2"/>
  <c r="B32" i="2"/>
  <c r="C32" i="2"/>
  <c r="D32" i="2"/>
  <c r="E32" i="2"/>
  <c r="G32" i="2"/>
  <c r="D33" i="2"/>
  <c r="C34" i="2"/>
  <c r="D34" i="2"/>
  <c r="E34" i="2"/>
  <c r="G34" i="2"/>
  <c r="H34" i="2"/>
  <c r="D35" i="2"/>
  <c r="C36" i="2"/>
  <c r="D36" i="2"/>
  <c r="E36" i="2"/>
  <c r="G36" i="2"/>
  <c r="H36" i="2" s="1"/>
  <c r="F15" i="3" s="1"/>
  <c r="D37" i="2"/>
  <c r="B39" i="2"/>
  <c r="C39" i="2"/>
  <c r="D39" i="2"/>
  <c r="E39" i="2"/>
  <c r="G39" i="2"/>
  <c r="H32" i="2" s="1"/>
  <c r="D40" i="2"/>
  <c r="C41" i="2"/>
  <c r="D41" i="2"/>
  <c r="E41" i="2"/>
  <c r="G41" i="2"/>
  <c r="D42" i="2"/>
  <c r="C43" i="2"/>
  <c r="D43" i="2"/>
  <c r="E43" i="2"/>
  <c r="G43" i="2"/>
  <c r="D44" i="2"/>
  <c r="B46" i="2"/>
  <c r="C46" i="2"/>
  <c r="D46" i="2"/>
  <c r="E46" i="2"/>
  <c r="G46" i="2"/>
  <c r="H46" i="2" s="1"/>
  <c r="D47" i="2"/>
  <c r="C48" i="2"/>
  <c r="D48" i="2"/>
  <c r="E48" i="2"/>
  <c r="G48" i="2"/>
  <c r="H48" i="2" s="1"/>
  <c r="E16" i="3" s="1"/>
  <c r="D49" i="2"/>
  <c r="C50" i="2"/>
  <c r="D50" i="2"/>
  <c r="E50" i="2"/>
  <c r="G50" i="2"/>
  <c r="H50" i="2" s="1"/>
  <c r="F16" i="3" s="1"/>
  <c r="D51" i="2"/>
  <c r="B53" i="2"/>
  <c r="C53" i="2"/>
  <c r="D53" i="2"/>
  <c r="E53" i="2"/>
  <c r="G53" i="2"/>
  <c r="D54" i="2"/>
  <c r="C55" i="2"/>
  <c r="D55" i="2"/>
  <c r="E55" i="2"/>
  <c r="G55" i="2"/>
  <c r="D56" i="2"/>
  <c r="C57" i="2"/>
  <c r="D57" i="2"/>
  <c r="E57" i="2"/>
  <c r="G57" i="2"/>
  <c r="D58" i="2"/>
  <c r="B61" i="2"/>
  <c r="C61" i="2"/>
  <c r="D61" i="2"/>
  <c r="E61" i="2"/>
  <c r="G61" i="2"/>
  <c r="D62" i="2"/>
  <c r="C63" i="2"/>
  <c r="D63" i="2"/>
  <c r="E63" i="2"/>
  <c r="G63" i="2"/>
  <c r="H63" i="2" s="1"/>
  <c r="E17" i="3" s="1"/>
  <c r="D64" i="2"/>
  <c r="C65" i="2"/>
  <c r="D65" i="2"/>
  <c r="E65" i="2"/>
  <c r="G65" i="2"/>
  <c r="H65" i="2"/>
  <c r="D66" i="2"/>
  <c r="B68" i="2"/>
  <c r="C68" i="2"/>
  <c r="D68" i="2"/>
  <c r="E68" i="2"/>
  <c r="G68" i="2"/>
  <c r="H61" i="2" s="1"/>
  <c r="D69" i="2"/>
  <c r="C70" i="2"/>
  <c r="D70" i="2"/>
  <c r="E70" i="2"/>
  <c r="G70" i="2"/>
  <c r="D71" i="2"/>
  <c r="C72" i="2"/>
  <c r="D72" i="2"/>
  <c r="E72" i="2"/>
  <c r="G72" i="2"/>
  <c r="D73" i="2"/>
  <c r="B75" i="2"/>
  <c r="C75" i="2"/>
  <c r="D75" i="2"/>
  <c r="E75" i="2"/>
  <c r="G75" i="2"/>
  <c r="H75" i="2" s="1"/>
  <c r="D76" i="2"/>
  <c r="C77" i="2"/>
  <c r="D77" i="2"/>
  <c r="E77" i="2"/>
  <c r="G77" i="2"/>
  <c r="H77" i="2"/>
  <c r="D78" i="2"/>
  <c r="C79" i="2"/>
  <c r="D79" i="2"/>
  <c r="E79" i="2"/>
  <c r="G79" i="2"/>
  <c r="D80" i="2"/>
  <c r="B82" i="2"/>
  <c r="C82" i="2"/>
  <c r="D82" i="2"/>
  <c r="E82" i="2"/>
  <c r="G82" i="2"/>
  <c r="D83" i="2"/>
  <c r="C84" i="2"/>
  <c r="D84" i="2"/>
  <c r="E84" i="2"/>
  <c r="G84" i="2"/>
  <c r="D85" i="2"/>
  <c r="C86" i="2"/>
  <c r="D86" i="2"/>
  <c r="E86" i="2"/>
  <c r="G86" i="2"/>
  <c r="H79" i="2" s="1"/>
  <c r="F18" i="3" s="1"/>
  <c r="D87" i="2"/>
  <c r="B89" i="2"/>
  <c r="C89" i="2"/>
  <c r="D89" i="2"/>
  <c r="E89" i="2"/>
  <c r="G89" i="2"/>
  <c r="H89" i="2" s="1"/>
  <c r="J89" i="2" s="1"/>
  <c r="D90" i="2"/>
  <c r="C91" i="2"/>
  <c r="D91" i="2"/>
  <c r="E91" i="2"/>
  <c r="G91" i="2"/>
  <c r="H91" i="2"/>
  <c r="D92" i="2"/>
  <c r="C93" i="2"/>
  <c r="D93" i="2"/>
  <c r="E93" i="2"/>
  <c r="G93" i="2"/>
  <c r="H93" i="2"/>
  <c r="D94" i="2"/>
  <c r="B96" i="2"/>
  <c r="C96" i="2"/>
  <c r="D96" i="2"/>
  <c r="E96" i="2"/>
  <c r="G96" i="2"/>
  <c r="D97" i="2"/>
  <c r="C98" i="2"/>
  <c r="D98" i="2"/>
  <c r="E98" i="2"/>
  <c r="G98" i="2"/>
  <c r="D99" i="2"/>
  <c r="C100" i="2"/>
  <c r="D100" i="2"/>
  <c r="E100" i="2"/>
  <c r="G100" i="2"/>
  <c r="D101" i="2"/>
  <c r="B104" i="2"/>
  <c r="C104" i="2"/>
  <c r="D104" i="2"/>
  <c r="E104" i="2"/>
  <c r="G104" i="2"/>
  <c r="H104" i="2"/>
  <c r="D105" i="2"/>
  <c r="C106" i="2"/>
  <c r="D106" i="2"/>
  <c r="E106" i="2"/>
  <c r="G106" i="2"/>
  <c r="H106" i="2"/>
  <c r="J104" i="2" s="1"/>
  <c r="D107" i="2"/>
  <c r="C108" i="2"/>
  <c r="D108" i="2"/>
  <c r="E108" i="2"/>
  <c r="G108" i="2"/>
  <c r="H108" i="2" s="1"/>
  <c r="F20" i="3" s="1"/>
  <c r="D109" i="2"/>
  <c r="B111" i="2"/>
  <c r="C111" i="2"/>
  <c r="D111" i="2"/>
  <c r="E111" i="2"/>
  <c r="G111" i="2"/>
  <c r="D112" i="2"/>
  <c r="C113" i="2"/>
  <c r="D113" i="2"/>
  <c r="E113" i="2"/>
  <c r="G113" i="2"/>
  <c r="D114" i="2"/>
  <c r="C115" i="2"/>
  <c r="D115" i="2"/>
  <c r="E115" i="2"/>
  <c r="G115" i="2"/>
  <c r="D116" i="2"/>
  <c r="B118" i="2"/>
  <c r="C118" i="2"/>
  <c r="D118" i="2"/>
  <c r="E118" i="2"/>
  <c r="G118" i="2"/>
  <c r="H118" i="2" s="1"/>
  <c r="D119" i="2"/>
  <c r="C120" i="2"/>
  <c r="D120" i="2"/>
  <c r="E120" i="2"/>
  <c r="G120" i="2"/>
  <c r="H120" i="2" s="1"/>
  <c r="E21" i="3" s="1"/>
  <c r="D121" i="2"/>
  <c r="C122" i="2"/>
  <c r="D122" i="2"/>
  <c r="E122" i="2"/>
  <c r="G122" i="2"/>
  <c r="H122" i="2" s="1"/>
  <c r="F21" i="3" s="1"/>
  <c r="D123" i="2"/>
  <c r="B125" i="2"/>
  <c r="C125" i="2"/>
  <c r="D125" i="2"/>
  <c r="E125" i="2"/>
  <c r="G125" i="2"/>
  <c r="D126" i="2"/>
  <c r="C127" i="2"/>
  <c r="D127" i="2"/>
  <c r="E127" i="2"/>
  <c r="G127" i="2"/>
  <c r="D128" i="2"/>
  <c r="C129" i="2"/>
  <c r="D129" i="2"/>
  <c r="E129" i="2"/>
  <c r="G129" i="2"/>
  <c r="D130" i="2"/>
  <c r="B132" i="2"/>
  <c r="C132" i="2"/>
  <c r="D132" i="2"/>
  <c r="E132" i="2"/>
  <c r="G132" i="2"/>
  <c r="H132" i="2"/>
  <c r="J132" i="2" s="1"/>
  <c r="D133" i="2"/>
  <c r="C134" i="2"/>
  <c r="D134" i="2"/>
  <c r="E134" i="2"/>
  <c r="G134" i="2"/>
  <c r="H134" i="2" s="1"/>
  <c r="E22" i="3" s="1"/>
  <c r="D135" i="2"/>
  <c r="C136" i="2"/>
  <c r="D136" i="2"/>
  <c r="E136" i="2"/>
  <c r="G136" i="2"/>
  <c r="H136" i="2"/>
  <c r="F22" i="3" s="1"/>
  <c r="D137" i="2"/>
  <c r="B139" i="2"/>
  <c r="C139" i="2"/>
  <c r="D139" i="2"/>
  <c r="E139" i="2"/>
  <c r="G139" i="2"/>
  <c r="D140" i="2"/>
  <c r="C141" i="2"/>
  <c r="D141" i="2"/>
  <c r="E141" i="2"/>
  <c r="G141" i="2"/>
  <c r="D142" i="2"/>
  <c r="C143" i="2"/>
  <c r="D143" i="2"/>
  <c r="E143" i="2"/>
  <c r="G143" i="2"/>
  <c r="D144" i="2"/>
  <c r="B147" i="2"/>
  <c r="C147" i="2"/>
  <c r="D147" i="2"/>
  <c r="E147" i="2"/>
  <c r="G147" i="2"/>
  <c r="H147" i="2" s="1"/>
  <c r="D148" i="2"/>
  <c r="C149" i="2"/>
  <c r="D149" i="2"/>
  <c r="E149" i="2"/>
  <c r="G149" i="2"/>
  <c r="H149" i="2"/>
  <c r="D150" i="2"/>
  <c r="C151" i="2"/>
  <c r="D151" i="2"/>
  <c r="E151" i="2"/>
  <c r="G151" i="2"/>
  <c r="D152" i="2"/>
  <c r="B154" i="2"/>
  <c r="C154" i="2"/>
  <c r="D154" i="2"/>
  <c r="E154" i="2"/>
  <c r="G154" i="2"/>
  <c r="D155" i="2"/>
  <c r="C156" i="2"/>
  <c r="D156" i="2"/>
  <c r="E156" i="2"/>
  <c r="G156" i="2"/>
  <c r="D157" i="2"/>
  <c r="C158" i="2"/>
  <c r="D158" i="2"/>
  <c r="E158" i="2"/>
  <c r="G158" i="2"/>
  <c r="H151" i="2" s="1"/>
  <c r="F23" i="3" s="1"/>
  <c r="D159" i="2"/>
  <c r="B161" i="2"/>
  <c r="C161" i="2"/>
  <c r="D161" i="2"/>
  <c r="E161" i="2"/>
  <c r="G161" i="2"/>
  <c r="H161" i="2"/>
  <c r="D162" i="2"/>
  <c r="C163" i="2"/>
  <c r="D163" i="2"/>
  <c r="E163" i="2"/>
  <c r="G163" i="2"/>
  <c r="H163" i="2" s="1"/>
  <c r="D164" i="2"/>
  <c r="C165" i="2"/>
  <c r="D165" i="2"/>
  <c r="E165" i="2"/>
  <c r="G165" i="2"/>
  <c r="H165" i="2"/>
  <c r="D166" i="2"/>
  <c r="B168" i="2"/>
  <c r="C168" i="2"/>
  <c r="D168" i="2"/>
  <c r="E168" i="2"/>
  <c r="G168" i="2"/>
  <c r="D169" i="2"/>
  <c r="C170" i="2"/>
  <c r="D170" i="2"/>
  <c r="E170" i="2"/>
  <c r="G170" i="2"/>
  <c r="D171" i="2"/>
  <c r="C172" i="2"/>
  <c r="D172" i="2"/>
  <c r="E172" i="2"/>
  <c r="G172" i="2"/>
  <c r="D173" i="2"/>
  <c r="B175" i="2"/>
  <c r="C175" i="2"/>
  <c r="D175" i="2"/>
  <c r="E175" i="2"/>
  <c r="G175" i="2"/>
  <c r="H175" i="2"/>
  <c r="J175" i="2" s="1"/>
  <c r="D176" i="2"/>
  <c r="C177" i="2"/>
  <c r="D177" i="2"/>
  <c r="E177" i="2"/>
  <c r="G177" i="2"/>
  <c r="H177" i="2"/>
  <c r="E25" i="3" s="1"/>
  <c r="D178" i="2"/>
  <c r="C179" i="2"/>
  <c r="D179" i="2"/>
  <c r="E179" i="2"/>
  <c r="G179" i="2"/>
  <c r="H179" i="2" s="1"/>
  <c r="F25" i="3" s="1"/>
  <c r="D180" i="2"/>
  <c r="B182" i="2"/>
  <c r="C182" i="2"/>
  <c r="D182" i="2"/>
  <c r="E182" i="2"/>
  <c r="G182" i="2"/>
  <c r="D183" i="2"/>
  <c r="C184" i="2"/>
  <c r="D184" i="2"/>
  <c r="E184" i="2"/>
  <c r="G184" i="2"/>
  <c r="D185" i="2"/>
  <c r="C186" i="2"/>
  <c r="D186" i="2"/>
  <c r="E186" i="2"/>
  <c r="G186" i="2"/>
  <c r="D187" i="2"/>
  <c r="B190" i="2"/>
  <c r="C190" i="2"/>
  <c r="D190" i="2"/>
  <c r="E190" i="2"/>
  <c r="G190" i="2"/>
  <c r="H190" i="2" s="1"/>
  <c r="D191" i="2"/>
  <c r="C192" i="2"/>
  <c r="D192" i="2"/>
  <c r="E192" i="2"/>
  <c r="G192" i="2"/>
  <c r="H192" i="2" s="1"/>
  <c r="E26" i="3" s="1"/>
  <c r="D193" i="2"/>
  <c r="C194" i="2"/>
  <c r="D194" i="2"/>
  <c r="E194" i="2"/>
  <c r="G194" i="2"/>
  <c r="H194" i="2" s="1"/>
  <c r="F26" i="3" s="1"/>
  <c r="D195" i="2"/>
  <c r="B197" i="2"/>
  <c r="C197" i="2"/>
  <c r="D197" i="2"/>
  <c r="E197" i="2"/>
  <c r="G197" i="2"/>
  <c r="D198" i="2"/>
  <c r="C199" i="2"/>
  <c r="D199" i="2"/>
  <c r="E199" i="2"/>
  <c r="G199" i="2"/>
  <c r="D200" i="2"/>
  <c r="C201" i="2"/>
  <c r="D201" i="2"/>
  <c r="E201" i="2"/>
  <c r="G201" i="2"/>
  <c r="D202" i="2"/>
  <c r="B204" i="2"/>
  <c r="C204" i="2"/>
  <c r="D204" i="2"/>
  <c r="E204" i="2"/>
  <c r="G204" i="2"/>
  <c r="H204" i="2"/>
  <c r="J204" i="2" s="1"/>
  <c r="D205" i="2"/>
  <c r="C206" i="2"/>
  <c r="D206" i="2"/>
  <c r="E206" i="2"/>
  <c r="G206" i="2"/>
  <c r="H206" i="2" s="1"/>
  <c r="E27" i="3" s="1"/>
  <c r="D207" i="2"/>
  <c r="C208" i="2"/>
  <c r="D208" i="2"/>
  <c r="E208" i="2"/>
  <c r="G208" i="2"/>
  <c r="H208" i="2"/>
  <c r="F27" i="3" s="1"/>
  <c r="D209" i="2"/>
  <c r="B211" i="2"/>
  <c r="C211" i="2"/>
  <c r="D211" i="2"/>
  <c r="E211" i="2"/>
  <c r="G211" i="2"/>
  <c r="D212" i="2"/>
  <c r="C213" i="2"/>
  <c r="D213" i="2"/>
  <c r="E213" i="2"/>
  <c r="G213" i="2"/>
  <c r="D214" i="2"/>
  <c r="C215" i="2"/>
  <c r="D215" i="2"/>
  <c r="E215" i="2"/>
  <c r="G215" i="2"/>
  <c r="D216" i="2"/>
  <c r="B218" i="2"/>
  <c r="C218" i="2"/>
  <c r="D218" i="2"/>
  <c r="E218" i="2"/>
  <c r="G218" i="2"/>
  <c r="H218" i="2" s="1"/>
  <c r="D219" i="2"/>
  <c r="C220" i="2"/>
  <c r="D220" i="2"/>
  <c r="E220" i="2"/>
  <c r="G220" i="2"/>
  <c r="H220" i="2"/>
  <c r="D221" i="2"/>
  <c r="C222" i="2"/>
  <c r="D222" i="2"/>
  <c r="E222" i="2"/>
  <c r="G222" i="2"/>
  <c r="H222" i="2" s="1"/>
  <c r="F28" i="3" s="1"/>
  <c r="D223" i="2"/>
  <c r="B225" i="2"/>
  <c r="C225" i="2"/>
  <c r="D225" i="2"/>
  <c r="E225" i="2"/>
  <c r="G225" i="2"/>
  <c r="D226" i="2"/>
  <c r="C227" i="2"/>
  <c r="D227" i="2"/>
  <c r="E227" i="2"/>
  <c r="G227" i="2"/>
  <c r="D228" i="2"/>
  <c r="C229" i="2"/>
  <c r="D229" i="2"/>
  <c r="E229" i="2"/>
  <c r="G229" i="2"/>
  <c r="D230" i="2"/>
  <c r="Q151" i="6"/>
  <c r="P151" i="6"/>
  <c r="Q150" i="6"/>
  <c r="P150" i="6"/>
  <c r="Q149" i="6"/>
  <c r="P149" i="6"/>
  <c r="Q148" i="6"/>
  <c r="P148" i="6"/>
  <c r="M148" i="6"/>
  <c r="Q145" i="6"/>
  <c r="P145" i="6"/>
  <c r="Q144" i="6"/>
  <c r="P144" i="6"/>
  <c r="Q143" i="6"/>
  <c r="P143" i="6"/>
  <c r="Q142" i="6"/>
  <c r="P142" i="6"/>
  <c r="M142" i="6"/>
  <c r="Q139" i="6"/>
  <c r="P139" i="6"/>
  <c r="Q138" i="6"/>
  <c r="P138" i="6"/>
  <c r="Q137" i="6"/>
  <c r="P137" i="6"/>
  <c r="Q136" i="6"/>
  <c r="P136" i="6"/>
  <c r="M136" i="6"/>
  <c r="Q133" i="6"/>
  <c r="P133" i="6"/>
  <c r="Q132" i="6"/>
  <c r="P132" i="6"/>
  <c r="Q131" i="6"/>
  <c r="P131" i="6"/>
  <c r="Q130" i="6"/>
  <c r="P130" i="6"/>
  <c r="M130" i="6"/>
  <c r="Q127" i="6"/>
  <c r="P127" i="6"/>
  <c r="Q126" i="6"/>
  <c r="P126" i="6"/>
  <c r="Q125" i="6"/>
  <c r="P125" i="6"/>
  <c r="Q124" i="6"/>
  <c r="P124" i="6"/>
  <c r="M124" i="6"/>
  <c r="Q121" i="6"/>
  <c r="P121" i="6"/>
  <c r="Q120" i="6"/>
  <c r="P120" i="6"/>
  <c r="Q119" i="6"/>
  <c r="P119" i="6"/>
  <c r="Q118" i="6"/>
  <c r="P118" i="6"/>
  <c r="M118" i="6"/>
  <c r="Q115" i="6"/>
  <c r="P115" i="6"/>
  <c r="Q114" i="6"/>
  <c r="P114" i="6"/>
  <c r="Q113" i="6"/>
  <c r="P113" i="6"/>
  <c r="Q112" i="6"/>
  <c r="P112" i="6"/>
  <c r="M112" i="6"/>
  <c r="Q109" i="6"/>
  <c r="P109" i="6"/>
  <c r="Q108" i="6"/>
  <c r="P108" i="6"/>
  <c r="Q107" i="6"/>
  <c r="P107" i="6"/>
  <c r="Q106" i="6"/>
  <c r="P106" i="6"/>
  <c r="M106" i="6"/>
  <c r="Q103" i="6"/>
  <c r="P103" i="6"/>
  <c r="Q102" i="6"/>
  <c r="P102" i="6"/>
  <c r="Q101" i="6"/>
  <c r="P101" i="6"/>
  <c r="Q100" i="6"/>
  <c r="P100" i="6"/>
  <c r="M100" i="6"/>
  <c r="Q97" i="6"/>
  <c r="P97" i="6"/>
  <c r="Q96" i="6"/>
  <c r="P96" i="6"/>
  <c r="Q95" i="6"/>
  <c r="P95" i="6"/>
  <c r="Q94" i="6"/>
  <c r="P94" i="6"/>
  <c r="M94" i="6"/>
  <c r="Q91" i="6"/>
  <c r="P91" i="6"/>
  <c r="Q90" i="6"/>
  <c r="P90" i="6"/>
  <c r="Q89" i="6"/>
  <c r="P89" i="6"/>
  <c r="Q88" i="6"/>
  <c r="P88" i="6"/>
  <c r="M88" i="6"/>
  <c r="Q85" i="6"/>
  <c r="P85" i="6"/>
  <c r="Q84" i="6"/>
  <c r="P84" i="6"/>
  <c r="Q83" i="6"/>
  <c r="P83" i="6"/>
  <c r="Q82" i="6"/>
  <c r="P82" i="6"/>
  <c r="M82" i="6"/>
  <c r="Q79" i="6"/>
  <c r="P79" i="6"/>
  <c r="Q78" i="6"/>
  <c r="P78" i="6"/>
  <c r="Q77" i="6"/>
  <c r="P77" i="6"/>
  <c r="Q76" i="6"/>
  <c r="P76" i="6"/>
  <c r="M76" i="6"/>
  <c r="Q73" i="6"/>
  <c r="P73" i="6"/>
  <c r="Q72" i="6"/>
  <c r="P72" i="6"/>
  <c r="Q71" i="6"/>
  <c r="P71" i="6"/>
  <c r="Q70" i="6"/>
  <c r="P70" i="6"/>
  <c r="M70" i="6"/>
  <c r="Q67" i="6"/>
  <c r="P67" i="6"/>
  <c r="Q66" i="6"/>
  <c r="P66" i="6"/>
  <c r="Q65" i="6"/>
  <c r="P65" i="6"/>
  <c r="Q64" i="6"/>
  <c r="P64" i="6"/>
  <c r="M64" i="6"/>
  <c r="Q61" i="6"/>
  <c r="P61" i="6"/>
  <c r="Q60" i="6"/>
  <c r="P60" i="6"/>
  <c r="Q59" i="6"/>
  <c r="P59" i="6"/>
  <c r="Q58" i="6"/>
  <c r="P58" i="6"/>
  <c r="M58" i="6"/>
  <c r="Q55" i="6"/>
  <c r="P55" i="6"/>
  <c r="Q54" i="6"/>
  <c r="P54" i="6"/>
  <c r="Q53" i="6"/>
  <c r="P53" i="6"/>
  <c r="Q52" i="6"/>
  <c r="P52" i="6"/>
  <c r="M52" i="6"/>
  <c r="Q49" i="6"/>
  <c r="P49" i="6"/>
  <c r="Q48" i="6"/>
  <c r="P48" i="6"/>
  <c r="Q47" i="6"/>
  <c r="P47" i="6"/>
  <c r="Q46" i="6"/>
  <c r="P46" i="6"/>
  <c r="M46" i="6"/>
  <c r="Q43" i="6"/>
  <c r="P43" i="6"/>
  <c r="Q42" i="6"/>
  <c r="P42" i="6"/>
  <c r="Q41" i="6"/>
  <c r="P41" i="6"/>
  <c r="Q40" i="6"/>
  <c r="P40" i="6"/>
  <c r="M40" i="6"/>
  <c r="Q37" i="6"/>
  <c r="P37" i="6"/>
  <c r="Q36" i="6"/>
  <c r="P36" i="6"/>
  <c r="Q35" i="6"/>
  <c r="P35" i="6"/>
  <c r="Q34" i="6"/>
  <c r="P34" i="6"/>
  <c r="M34" i="6"/>
  <c r="Q31" i="6"/>
  <c r="P31" i="6"/>
  <c r="Q30" i="6"/>
  <c r="P30" i="6"/>
  <c r="Q29" i="6"/>
  <c r="P29" i="6"/>
  <c r="Q28" i="6"/>
  <c r="P28" i="6"/>
  <c r="M28" i="6"/>
  <c r="Q25" i="6"/>
  <c r="P25" i="6"/>
  <c r="Q24" i="6"/>
  <c r="P24" i="6"/>
  <c r="Q23" i="6"/>
  <c r="P23" i="6"/>
  <c r="Q22" i="6"/>
  <c r="P22" i="6"/>
  <c r="M22" i="6"/>
  <c r="Q19" i="6"/>
  <c r="P19" i="6"/>
  <c r="Q18" i="6"/>
  <c r="P18" i="6"/>
  <c r="Q17" i="6"/>
  <c r="P17" i="6"/>
  <c r="Q16" i="6"/>
  <c r="P16" i="6"/>
  <c r="M16" i="6"/>
  <c r="Q13" i="6"/>
  <c r="P13" i="6"/>
  <c r="Q12" i="6"/>
  <c r="P12" i="6"/>
  <c r="Q11" i="6"/>
  <c r="P11" i="6"/>
  <c r="Q10" i="6"/>
  <c r="P10" i="6"/>
  <c r="M10" i="6"/>
  <c r="Q7" i="6"/>
  <c r="P7" i="6"/>
  <c r="Q6" i="6"/>
  <c r="P6" i="6"/>
  <c r="Q5" i="6"/>
  <c r="P5" i="6"/>
  <c r="Q4" i="6"/>
  <c r="P4" i="6"/>
  <c r="M4" i="6"/>
  <c r="M3" i="6"/>
  <c r="L128" i="5"/>
  <c r="L120" i="5"/>
  <c r="L112" i="5"/>
  <c r="L104" i="5"/>
  <c r="L96" i="5"/>
  <c r="L88" i="5"/>
  <c r="L56" i="5"/>
  <c r="L48" i="5"/>
  <c r="L41" i="5"/>
  <c r="L34" i="5"/>
  <c r="L27" i="5"/>
  <c r="Z26" i="5"/>
  <c r="Z25" i="5"/>
  <c r="Z24" i="5"/>
  <c r="Z23" i="5"/>
  <c r="Z22" i="5"/>
  <c r="Z21" i="5"/>
  <c r="Z20" i="5"/>
  <c r="Z19" i="5"/>
  <c r="Z18" i="5"/>
  <c r="Z17" i="5"/>
  <c r="L17" i="5"/>
  <c r="Z16" i="5"/>
  <c r="Z15" i="5"/>
  <c r="Z14" i="5"/>
  <c r="Z13" i="5"/>
  <c r="Z12" i="5"/>
  <c r="AE11" i="5"/>
  <c r="AD11" i="5"/>
  <c r="AC11" i="5"/>
  <c r="AB11" i="5"/>
  <c r="AA11" i="5"/>
  <c r="U11" i="5"/>
  <c r="S11" i="5"/>
  <c r="Q11" i="5"/>
  <c r="O11" i="5"/>
  <c r="B8" i="5"/>
  <c r="B7" i="5"/>
  <c r="B6" i="5"/>
  <c r="L6" i="5" s="1"/>
  <c r="L5" i="5"/>
  <c r="B5" i="5"/>
  <c r="B4" i="5"/>
  <c r="L4" i="5" s="1"/>
  <c r="L3" i="5"/>
  <c r="J154" i="4"/>
  <c r="F154" i="4"/>
  <c r="G154" i="4" s="1"/>
  <c r="E154" i="4"/>
  <c r="D154" i="4"/>
  <c r="C154" i="4"/>
  <c r="A154" i="4"/>
  <c r="F153" i="4"/>
  <c r="J153" i="4" s="1"/>
  <c r="N153" i="4" s="1"/>
  <c r="R153" i="4" s="1"/>
  <c r="V153" i="4" s="1"/>
  <c r="W153" i="4" s="1"/>
  <c r="E153" i="4"/>
  <c r="C153" i="4"/>
  <c r="A153" i="4"/>
  <c r="D153" i="4" s="1"/>
  <c r="F152" i="4"/>
  <c r="J152" i="4" s="1"/>
  <c r="D152" i="4"/>
  <c r="C152" i="4"/>
  <c r="A152" i="4"/>
  <c r="B152" i="4" s="1"/>
  <c r="F150" i="4"/>
  <c r="J150" i="4" s="1"/>
  <c r="E150" i="4"/>
  <c r="D150" i="4"/>
  <c r="C150" i="4"/>
  <c r="A150" i="4"/>
  <c r="N149" i="4"/>
  <c r="O149" i="4" s="1"/>
  <c r="F149" i="4"/>
  <c r="J149" i="4" s="1"/>
  <c r="K149" i="4" s="1"/>
  <c r="C149" i="4"/>
  <c r="A149" i="4"/>
  <c r="E149" i="4" s="1"/>
  <c r="F148" i="4"/>
  <c r="G148" i="4" s="1"/>
  <c r="B148" i="4"/>
  <c r="A148" i="4"/>
  <c r="E148" i="4" s="1"/>
  <c r="G145" i="4"/>
  <c r="F145" i="4"/>
  <c r="J145" i="4" s="1"/>
  <c r="E145" i="4"/>
  <c r="D145" i="4"/>
  <c r="C145" i="4"/>
  <c r="A145" i="4"/>
  <c r="F144" i="4"/>
  <c r="J144" i="4" s="1"/>
  <c r="K144" i="4" s="1"/>
  <c r="A144" i="4"/>
  <c r="F143" i="4"/>
  <c r="J143" i="4" s="1"/>
  <c r="N143" i="4" s="1"/>
  <c r="A143" i="4"/>
  <c r="F141" i="4"/>
  <c r="G141" i="4" s="1"/>
  <c r="H141" i="4" s="1"/>
  <c r="E141" i="4"/>
  <c r="D141" i="4"/>
  <c r="C141" i="4"/>
  <c r="A141" i="4"/>
  <c r="F140" i="4"/>
  <c r="J140" i="4" s="1"/>
  <c r="K140" i="4" s="1"/>
  <c r="D140" i="4"/>
  <c r="C140" i="4"/>
  <c r="A140" i="4"/>
  <c r="E140" i="4" s="1"/>
  <c r="F139" i="4"/>
  <c r="J139" i="4" s="1"/>
  <c r="N139" i="4" s="1"/>
  <c r="R139" i="4" s="1"/>
  <c r="V139" i="4" s="1"/>
  <c r="W139" i="4" s="1"/>
  <c r="D139" i="4"/>
  <c r="C139" i="4"/>
  <c r="B139" i="4"/>
  <c r="A139" i="4"/>
  <c r="E139" i="4" s="1"/>
  <c r="F136" i="4"/>
  <c r="J136" i="4" s="1"/>
  <c r="N136" i="4" s="1"/>
  <c r="E136" i="4"/>
  <c r="A136" i="4"/>
  <c r="D136" i="4" s="1"/>
  <c r="G135" i="4"/>
  <c r="F135" i="4"/>
  <c r="J135" i="4" s="1"/>
  <c r="E135" i="4"/>
  <c r="D135" i="4"/>
  <c r="C135" i="4"/>
  <c r="A135" i="4"/>
  <c r="F134" i="4"/>
  <c r="J134" i="4" s="1"/>
  <c r="N134" i="4" s="1"/>
  <c r="R134" i="4" s="1"/>
  <c r="V134" i="4" s="1"/>
  <c r="W134" i="4" s="1"/>
  <c r="E134" i="4"/>
  <c r="C134" i="4"/>
  <c r="A134" i="4"/>
  <c r="D134" i="4" s="1"/>
  <c r="G132" i="4"/>
  <c r="F132" i="4"/>
  <c r="J132" i="4" s="1"/>
  <c r="N132" i="4" s="1"/>
  <c r="O132" i="4" s="1"/>
  <c r="C132" i="4"/>
  <c r="A132" i="4"/>
  <c r="D132" i="4" s="1"/>
  <c r="F131" i="4"/>
  <c r="G131" i="4" s="1"/>
  <c r="E131" i="4"/>
  <c r="A131" i="4"/>
  <c r="C131" i="4" s="1"/>
  <c r="J130" i="4"/>
  <c r="K130" i="4" s="1"/>
  <c r="F130" i="4"/>
  <c r="G130" i="4" s="1"/>
  <c r="E130" i="4"/>
  <c r="D130" i="4"/>
  <c r="B130" i="4"/>
  <c r="A130" i="4"/>
  <c r="C130" i="4" s="1"/>
  <c r="J126" i="4"/>
  <c r="N126" i="4" s="1"/>
  <c r="R126" i="4" s="1"/>
  <c r="G126" i="4"/>
  <c r="F126" i="4"/>
  <c r="E126" i="4"/>
  <c r="D126" i="4"/>
  <c r="C126" i="4"/>
  <c r="A126" i="4"/>
  <c r="F125" i="4"/>
  <c r="J125" i="4" s="1"/>
  <c r="N125" i="4" s="1"/>
  <c r="R125" i="4" s="1"/>
  <c r="C125" i="4"/>
  <c r="A125" i="4"/>
  <c r="D125" i="4" s="1"/>
  <c r="F124" i="4"/>
  <c r="J124" i="4" s="1"/>
  <c r="N124" i="4" s="1"/>
  <c r="C124" i="4"/>
  <c r="A124" i="4"/>
  <c r="B124" i="4" s="1"/>
  <c r="F122" i="4"/>
  <c r="J122" i="4" s="1"/>
  <c r="A122" i="4"/>
  <c r="E122" i="4" s="1"/>
  <c r="F121" i="4"/>
  <c r="G121" i="4" s="1"/>
  <c r="E121" i="4"/>
  <c r="D121" i="4"/>
  <c r="A121" i="4"/>
  <c r="C121" i="4" s="1"/>
  <c r="F120" i="4"/>
  <c r="G120" i="4" s="1"/>
  <c r="A120" i="4"/>
  <c r="F117" i="4"/>
  <c r="J117" i="4" s="1"/>
  <c r="E117" i="4"/>
  <c r="D117" i="4"/>
  <c r="C117" i="4"/>
  <c r="A117" i="4"/>
  <c r="F116" i="4"/>
  <c r="E116" i="4"/>
  <c r="A116" i="4"/>
  <c r="G115" i="4"/>
  <c r="F115" i="4"/>
  <c r="J115" i="4" s="1"/>
  <c r="D115" i="4"/>
  <c r="C115" i="4"/>
  <c r="A115" i="4"/>
  <c r="B115" i="4" s="1"/>
  <c r="J113" i="4"/>
  <c r="K113" i="4" s="1"/>
  <c r="G113" i="4"/>
  <c r="F113" i="4"/>
  <c r="E113" i="4"/>
  <c r="D113" i="4"/>
  <c r="C113" i="4"/>
  <c r="A113" i="4"/>
  <c r="F112" i="4"/>
  <c r="A112" i="4"/>
  <c r="F111" i="4"/>
  <c r="D111" i="4"/>
  <c r="C111" i="4"/>
  <c r="B111" i="4"/>
  <c r="A111" i="4"/>
  <c r="E111" i="4" s="1"/>
  <c r="F108" i="4"/>
  <c r="E108" i="4"/>
  <c r="A108" i="4"/>
  <c r="F107" i="4"/>
  <c r="J107" i="4" s="1"/>
  <c r="E107" i="4"/>
  <c r="D107" i="4"/>
  <c r="C107" i="4"/>
  <c r="A107" i="4"/>
  <c r="F106" i="4"/>
  <c r="E106" i="4"/>
  <c r="B106" i="4"/>
  <c r="A106" i="4"/>
  <c r="F104" i="4"/>
  <c r="A104" i="4"/>
  <c r="F103" i="4"/>
  <c r="G103" i="4" s="1"/>
  <c r="E103" i="4"/>
  <c r="D103" i="4"/>
  <c r="A103" i="4"/>
  <c r="C103" i="4" s="1"/>
  <c r="F102" i="4"/>
  <c r="G102" i="4" s="1"/>
  <c r="A102" i="4"/>
  <c r="R98" i="4"/>
  <c r="O98" i="4"/>
  <c r="N98" i="4"/>
  <c r="J98" i="4"/>
  <c r="K98" i="4" s="1"/>
  <c r="G98" i="4"/>
  <c r="F98" i="4"/>
  <c r="E98" i="4"/>
  <c r="D98" i="4"/>
  <c r="C98" i="4"/>
  <c r="A98" i="4"/>
  <c r="N97" i="4"/>
  <c r="J97" i="4"/>
  <c r="K97" i="4" s="1"/>
  <c r="F97" i="4"/>
  <c r="G97" i="4" s="1"/>
  <c r="A97" i="4"/>
  <c r="R96" i="4"/>
  <c r="O96" i="4"/>
  <c r="N96" i="4"/>
  <c r="J96" i="4"/>
  <c r="K96" i="4" s="1"/>
  <c r="F96" i="4"/>
  <c r="G96" i="4" s="1"/>
  <c r="D96" i="4"/>
  <c r="C96" i="4"/>
  <c r="A96" i="4"/>
  <c r="B96" i="4" s="1"/>
  <c r="R94" i="4"/>
  <c r="N94" i="4"/>
  <c r="O94" i="4" s="1"/>
  <c r="J94" i="4"/>
  <c r="K94" i="4" s="1"/>
  <c r="G94" i="4"/>
  <c r="F94" i="4"/>
  <c r="E94" i="4"/>
  <c r="D94" i="4"/>
  <c r="C94" i="4"/>
  <c r="A94" i="4"/>
  <c r="R93" i="4"/>
  <c r="V93" i="4" s="1"/>
  <c r="W93" i="4" s="1"/>
  <c r="N93" i="4"/>
  <c r="O93" i="4" s="1"/>
  <c r="J93" i="4"/>
  <c r="K93" i="4" s="1"/>
  <c r="L93" i="4" s="1"/>
  <c r="E42" i="3" s="1"/>
  <c r="F93" i="4"/>
  <c r="G93" i="4" s="1"/>
  <c r="D93" i="4"/>
  <c r="A93" i="4"/>
  <c r="E93" i="4" s="1"/>
  <c r="R92" i="4"/>
  <c r="O92" i="4"/>
  <c r="P92" i="4" s="1"/>
  <c r="N92" i="4"/>
  <c r="G92" i="4"/>
  <c r="F92" i="4"/>
  <c r="D92" i="4"/>
  <c r="C92" i="4"/>
  <c r="B92" i="4"/>
  <c r="A92" i="4"/>
  <c r="E92" i="4" s="1"/>
  <c r="N89" i="4"/>
  <c r="J89" i="4"/>
  <c r="K89" i="4" s="1"/>
  <c r="F89" i="4"/>
  <c r="G89" i="4" s="1"/>
  <c r="E89" i="4"/>
  <c r="C89" i="4"/>
  <c r="A89" i="4"/>
  <c r="D89" i="4" s="1"/>
  <c r="W88" i="4"/>
  <c r="S88" i="4"/>
  <c r="R88" i="4"/>
  <c r="V88" i="4" s="1"/>
  <c r="O88" i="4"/>
  <c r="N88" i="4"/>
  <c r="J88" i="4"/>
  <c r="K88" i="4" s="1"/>
  <c r="F88" i="4"/>
  <c r="G88" i="4" s="1"/>
  <c r="E88" i="4"/>
  <c r="D88" i="4"/>
  <c r="C88" i="4"/>
  <c r="A88" i="4"/>
  <c r="N87" i="4"/>
  <c r="R87" i="4" s="1"/>
  <c r="S87" i="4" s="1"/>
  <c r="J87" i="4"/>
  <c r="K87" i="4" s="1"/>
  <c r="F87" i="4"/>
  <c r="G87" i="4" s="1"/>
  <c r="E87" i="4"/>
  <c r="A87" i="4"/>
  <c r="R85" i="4"/>
  <c r="O85" i="4"/>
  <c r="N85" i="4"/>
  <c r="K85" i="4"/>
  <c r="J85" i="4"/>
  <c r="F85" i="4"/>
  <c r="G85" i="4" s="1"/>
  <c r="H85" i="4" s="1"/>
  <c r="A85" i="4"/>
  <c r="X84" i="4"/>
  <c r="V84" i="4"/>
  <c r="W84" i="4" s="1"/>
  <c r="S84" i="4"/>
  <c r="O84" i="4"/>
  <c r="P84" i="4" s="1"/>
  <c r="N84" i="4"/>
  <c r="R84" i="4" s="1"/>
  <c r="J84" i="4"/>
  <c r="K84" i="4" s="1"/>
  <c r="F84" i="4"/>
  <c r="G84" i="4" s="1"/>
  <c r="A84" i="4"/>
  <c r="R83" i="4"/>
  <c r="N83" i="4"/>
  <c r="O83" i="4" s="1"/>
  <c r="F83" i="4"/>
  <c r="G83" i="4" s="1"/>
  <c r="H83" i="4" s="1"/>
  <c r="A83" i="4"/>
  <c r="R80" i="4"/>
  <c r="O80" i="4"/>
  <c r="N80" i="4"/>
  <c r="J80" i="4"/>
  <c r="K80" i="4" s="1"/>
  <c r="F80" i="4"/>
  <c r="G80" i="4" s="1"/>
  <c r="E80" i="4"/>
  <c r="D80" i="4"/>
  <c r="C80" i="4"/>
  <c r="A80" i="4"/>
  <c r="V79" i="4"/>
  <c r="W79" i="4" s="1"/>
  <c r="S79" i="4"/>
  <c r="O79" i="4"/>
  <c r="N79" i="4"/>
  <c r="R79" i="4" s="1"/>
  <c r="J79" i="4"/>
  <c r="K79" i="4" s="1"/>
  <c r="F79" i="4"/>
  <c r="G79" i="4" s="1"/>
  <c r="E79" i="4"/>
  <c r="C79" i="4"/>
  <c r="A79" i="4"/>
  <c r="D79" i="4" s="1"/>
  <c r="R78" i="4"/>
  <c r="V78" i="4" s="1"/>
  <c r="W78" i="4" s="1"/>
  <c r="O78" i="4"/>
  <c r="N78" i="4"/>
  <c r="J78" i="4"/>
  <c r="K78" i="4" s="1"/>
  <c r="F78" i="4"/>
  <c r="G78" i="4" s="1"/>
  <c r="E78" i="4"/>
  <c r="D78" i="4"/>
  <c r="C78" i="4"/>
  <c r="A78" i="4"/>
  <c r="B78" i="4" s="1"/>
  <c r="N76" i="4"/>
  <c r="J76" i="4"/>
  <c r="K76" i="4" s="1"/>
  <c r="F76" i="4"/>
  <c r="G76" i="4" s="1"/>
  <c r="E76" i="4"/>
  <c r="D76" i="4"/>
  <c r="C76" i="4"/>
  <c r="A76" i="4"/>
  <c r="R75" i="4"/>
  <c r="P75" i="4"/>
  <c r="N75" i="4"/>
  <c r="O75" i="4" s="1"/>
  <c r="J75" i="4"/>
  <c r="K75" i="4" s="1"/>
  <c r="F75" i="4"/>
  <c r="G75" i="4" s="1"/>
  <c r="D75" i="4"/>
  <c r="C75" i="4"/>
  <c r="A75" i="4"/>
  <c r="E75" i="4" s="1"/>
  <c r="N74" i="4"/>
  <c r="F74" i="4"/>
  <c r="G74" i="4" s="1"/>
  <c r="D74" i="4"/>
  <c r="C74" i="4"/>
  <c r="B74" i="4"/>
  <c r="A74" i="4"/>
  <c r="E74" i="4" s="1"/>
  <c r="F70" i="4"/>
  <c r="C70" i="4"/>
  <c r="A70" i="4"/>
  <c r="J69" i="4"/>
  <c r="N69" i="4" s="1"/>
  <c r="R69" i="4" s="1"/>
  <c r="G69" i="4"/>
  <c r="F69" i="4"/>
  <c r="E69" i="4"/>
  <c r="D69" i="4"/>
  <c r="C69" i="4"/>
  <c r="A69" i="4"/>
  <c r="F68" i="4"/>
  <c r="J68" i="4" s="1"/>
  <c r="K68" i="4" s="1"/>
  <c r="A68" i="4"/>
  <c r="F66" i="4"/>
  <c r="G66" i="4" s="1"/>
  <c r="E66" i="4"/>
  <c r="C66" i="4"/>
  <c r="A66" i="4"/>
  <c r="D66" i="4" s="1"/>
  <c r="F65" i="4"/>
  <c r="G65" i="4" s="1"/>
  <c r="A65" i="4"/>
  <c r="F64" i="4"/>
  <c r="D64" i="4"/>
  <c r="A64" i="4"/>
  <c r="F61" i="4"/>
  <c r="G61" i="4" s="1"/>
  <c r="E61" i="4"/>
  <c r="D61" i="4"/>
  <c r="C61" i="4"/>
  <c r="A61" i="4"/>
  <c r="F60" i="4"/>
  <c r="J60" i="4" s="1"/>
  <c r="N60" i="4" s="1"/>
  <c r="R60" i="4" s="1"/>
  <c r="V60" i="4" s="1"/>
  <c r="W60" i="4" s="1"/>
  <c r="A60" i="4"/>
  <c r="G59" i="4"/>
  <c r="F59" i="4"/>
  <c r="J59" i="4" s="1"/>
  <c r="E59" i="4"/>
  <c r="A59" i="4"/>
  <c r="F57" i="4"/>
  <c r="A57" i="4"/>
  <c r="E57" i="4" s="1"/>
  <c r="F56" i="4"/>
  <c r="G56" i="4" s="1"/>
  <c r="E56" i="4"/>
  <c r="C56" i="4"/>
  <c r="A56" i="4"/>
  <c r="D56" i="4" s="1"/>
  <c r="F55" i="4"/>
  <c r="A55" i="4"/>
  <c r="F52" i="4"/>
  <c r="G52" i="4" s="1"/>
  <c r="E52" i="4"/>
  <c r="A52" i="4"/>
  <c r="C52" i="4" s="1"/>
  <c r="F51" i="4"/>
  <c r="G51" i="4" s="1"/>
  <c r="D51" i="4"/>
  <c r="C51" i="4"/>
  <c r="A51" i="4"/>
  <c r="E51" i="4" s="1"/>
  <c r="F50" i="4"/>
  <c r="A50" i="4"/>
  <c r="F48" i="4"/>
  <c r="G48" i="4" s="1"/>
  <c r="E48" i="4"/>
  <c r="A48" i="4"/>
  <c r="C48" i="4" s="1"/>
  <c r="F47" i="4"/>
  <c r="J47" i="4" s="1"/>
  <c r="K47" i="4" s="1"/>
  <c r="E47" i="4"/>
  <c r="D47" i="4"/>
  <c r="C47" i="4"/>
  <c r="A47" i="4"/>
  <c r="F46" i="4"/>
  <c r="J46" i="4" s="1"/>
  <c r="N46" i="4" s="1"/>
  <c r="R46" i="4" s="1"/>
  <c r="V46" i="4" s="1"/>
  <c r="W46" i="4" s="1"/>
  <c r="E46" i="4"/>
  <c r="D46" i="4"/>
  <c r="A46" i="4"/>
  <c r="B46" i="4" s="1"/>
  <c r="F42" i="4"/>
  <c r="G42" i="4" s="1"/>
  <c r="D42" i="4"/>
  <c r="C42" i="4"/>
  <c r="A42" i="4"/>
  <c r="E42" i="4" s="1"/>
  <c r="F41" i="4"/>
  <c r="A41" i="4"/>
  <c r="C41" i="4" s="1"/>
  <c r="F40" i="4"/>
  <c r="J40" i="4" s="1"/>
  <c r="K40" i="4" s="1"/>
  <c r="D40" i="4"/>
  <c r="C40" i="4"/>
  <c r="B40" i="4"/>
  <c r="A40" i="4"/>
  <c r="E40" i="4" s="1"/>
  <c r="F38" i="4"/>
  <c r="J38" i="4" s="1"/>
  <c r="N38" i="4" s="1"/>
  <c r="O38" i="4" s="1"/>
  <c r="D38" i="4"/>
  <c r="A38" i="4"/>
  <c r="E38" i="4" s="1"/>
  <c r="F37" i="4"/>
  <c r="G37" i="4" s="1"/>
  <c r="A37" i="4"/>
  <c r="F36" i="4"/>
  <c r="G36" i="4" s="1"/>
  <c r="E36" i="4"/>
  <c r="A36" i="4"/>
  <c r="D36" i="4" s="1"/>
  <c r="F33" i="4"/>
  <c r="G33" i="4" s="1"/>
  <c r="E33" i="4"/>
  <c r="D33" i="4"/>
  <c r="A33" i="4"/>
  <c r="C33" i="4" s="1"/>
  <c r="F32" i="4"/>
  <c r="G32" i="4" s="1"/>
  <c r="A32" i="4"/>
  <c r="F31" i="4"/>
  <c r="G31" i="4" s="1"/>
  <c r="E31" i="4"/>
  <c r="A31" i="4"/>
  <c r="C31" i="4" s="1"/>
  <c r="F29" i="4"/>
  <c r="G29" i="4" s="1"/>
  <c r="H29" i="4" s="1"/>
  <c r="E29" i="4"/>
  <c r="D29" i="4"/>
  <c r="A29" i="4"/>
  <c r="C29" i="4" s="1"/>
  <c r="G28" i="4"/>
  <c r="F28" i="4"/>
  <c r="J28" i="4" s="1"/>
  <c r="K28" i="4" s="1"/>
  <c r="E28" i="4"/>
  <c r="D28" i="4"/>
  <c r="C28" i="4"/>
  <c r="A28" i="4"/>
  <c r="F27" i="4"/>
  <c r="J27" i="4" s="1"/>
  <c r="N27" i="4" s="1"/>
  <c r="R27" i="4" s="1"/>
  <c r="V27" i="4" s="1"/>
  <c r="W27" i="4" s="1"/>
  <c r="E27" i="4"/>
  <c r="D27" i="4"/>
  <c r="C27" i="4"/>
  <c r="A27" i="4"/>
  <c r="B27" i="4" s="1"/>
  <c r="F24" i="4"/>
  <c r="J24" i="4" s="1"/>
  <c r="K24" i="4" s="1"/>
  <c r="A24" i="4"/>
  <c r="F23" i="4"/>
  <c r="G23" i="4" s="1"/>
  <c r="E23" i="4"/>
  <c r="A23" i="4"/>
  <c r="C23" i="4" s="1"/>
  <c r="F22" i="4"/>
  <c r="G22" i="4" s="1"/>
  <c r="D22" i="4"/>
  <c r="C22" i="4"/>
  <c r="B22" i="4"/>
  <c r="A22" i="4"/>
  <c r="E22" i="4" s="1"/>
  <c r="R20" i="4"/>
  <c r="V20" i="4" s="1"/>
  <c r="W20" i="4" s="1"/>
  <c r="N20" i="4"/>
  <c r="O20" i="4" s="1"/>
  <c r="K20" i="4"/>
  <c r="J20" i="4"/>
  <c r="G20" i="4"/>
  <c r="E20" i="4"/>
  <c r="C20" i="4"/>
  <c r="A20" i="4"/>
  <c r="D20" i="4" s="1"/>
  <c r="F19" i="4"/>
  <c r="A19" i="4"/>
  <c r="C19" i="4" s="1"/>
  <c r="F18" i="4"/>
  <c r="G18" i="4" s="1"/>
  <c r="H18" i="4" s="1"/>
  <c r="E18" i="4"/>
  <c r="D18" i="4"/>
  <c r="A18" i="4"/>
  <c r="C18" i="4" s="1"/>
  <c r="A15" i="4"/>
  <c r="D14" i="4"/>
  <c r="D13" i="4"/>
  <c r="D12" i="4"/>
  <c r="D11" i="4"/>
  <c r="D10" i="4"/>
  <c r="B1" i="4" s="1"/>
  <c r="U108" i="3"/>
  <c r="T108" i="3"/>
  <c r="B108" i="3"/>
  <c r="A108" i="3"/>
  <c r="U107" i="3"/>
  <c r="T107" i="3"/>
  <c r="B107" i="3"/>
  <c r="A107" i="3"/>
  <c r="U106" i="3"/>
  <c r="T106" i="3"/>
  <c r="Z93" i="3" s="1"/>
  <c r="B106" i="3"/>
  <c r="A106" i="3"/>
  <c r="I98" i="3" s="1"/>
  <c r="U105" i="3"/>
  <c r="T105" i="3"/>
  <c r="B105" i="3"/>
  <c r="A105" i="3"/>
  <c r="U104" i="3"/>
  <c r="T104" i="3"/>
  <c r="B104" i="3"/>
  <c r="A104" i="3"/>
  <c r="U103" i="3"/>
  <c r="T103" i="3"/>
  <c r="Y93" i="3" s="1"/>
  <c r="B103" i="3"/>
  <c r="A103" i="3"/>
  <c r="I97" i="3" s="1"/>
  <c r="U102" i="3"/>
  <c r="T102" i="3"/>
  <c r="B102" i="3"/>
  <c r="A102" i="3"/>
  <c r="U101" i="3"/>
  <c r="T101" i="3"/>
  <c r="E101" i="3"/>
  <c r="B101" i="3"/>
  <c r="A101" i="3"/>
  <c r="U100" i="3"/>
  <c r="T100" i="3"/>
  <c r="B100" i="3"/>
  <c r="A100" i="3"/>
  <c r="I96" i="3" s="1"/>
  <c r="U99" i="3"/>
  <c r="T99" i="3"/>
  <c r="B99" i="3"/>
  <c r="A99" i="3"/>
  <c r="U98" i="3"/>
  <c r="T98" i="3"/>
  <c r="B98" i="3"/>
  <c r="A98" i="3"/>
  <c r="U97" i="3"/>
  <c r="T97" i="3"/>
  <c r="W93" i="3" s="1"/>
  <c r="B97" i="3"/>
  <c r="A97" i="3"/>
  <c r="I95" i="3" s="1"/>
  <c r="U96" i="3"/>
  <c r="T96" i="3"/>
  <c r="B96" i="3"/>
  <c r="A96" i="3"/>
  <c r="U95" i="3"/>
  <c r="T95" i="3"/>
  <c r="B95" i="3"/>
  <c r="A95" i="3"/>
  <c r="U94" i="3"/>
  <c r="T94" i="3"/>
  <c r="V93" i="3" s="1"/>
  <c r="I94" i="3"/>
  <c r="B94" i="3"/>
  <c r="A94" i="3"/>
  <c r="X93" i="3"/>
  <c r="U87" i="3"/>
  <c r="T87" i="3"/>
  <c r="B87" i="3"/>
  <c r="A87" i="3"/>
  <c r="U86" i="3"/>
  <c r="T86" i="3"/>
  <c r="B86" i="3"/>
  <c r="A86" i="3"/>
  <c r="U85" i="3"/>
  <c r="T85" i="3"/>
  <c r="Z72" i="3" s="1"/>
  <c r="B85" i="3"/>
  <c r="A85" i="3"/>
  <c r="I77" i="3" s="1"/>
  <c r="U84" i="3"/>
  <c r="T84" i="3"/>
  <c r="B84" i="3"/>
  <c r="A84" i="3"/>
  <c r="U83" i="3"/>
  <c r="T83" i="3"/>
  <c r="B83" i="3"/>
  <c r="A83" i="3"/>
  <c r="U82" i="3"/>
  <c r="T82" i="3"/>
  <c r="Y72" i="3" s="1"/>
  <c r="B82" i="3"/>
  <c r="A82" i="3"/>
  <c r="I76" i="3" s="1"/>
  <c r="U81" i="3"/>
  <c r="T81" i="3"/>
  <c r="B81" i="3"/>
  <c r="A81" i="3"/>
  <c r="U80" i="3"/>
  <c r="T80" i="3"/>
  <c r="B80" i="3"/>
  <c r="A80" i="3"/>
  <c r="U79" i="3"/>
  <c r="T79" i="3"/>
  <c r="X72" i="3" s="1"/>
  <c r="B79" i="3"/>
  <c r="A79" i="3"/>
  <c r="I75" i="3" s="1"/>
  <c r="U78" i="3"/>
  <c r="T78" i="3"/>
  <c r="B78" i="3"/>
  <c r="A78" i="3"/>
  <c r="U77" i="3"/>
  <c r="T77" i="3"/>
  <c r="B77" i="3"/>
  <c r="A77" i="3"/>
  <c r="U76" i="3"/>
  <c r="T76" i="3"/>
  <c r="W72" i="3" s="1"/>
  <c r="B76" i="3"/>
  <c r="A76" i="3"/>
  <c r="I74" i="3" s="1"/>
  <c r="U75" i="3"/>
  <c r="T75" i="3"/>
  <c r="B75" i="3"/>
  <c r="A75" i="3"/>
  <c r="U74" i="3"/>
  <c r="T74" i="3"/>
  <c r="B74" i="3"/>
  <c r="A74" i="3"/>
  <c r="U73" i="3"/>
  <c r="T73" i="3"/>
  <c r="V72" i="3" s="1"/>
  <c r="B73" i="3"/>
  <c r="A73" i="3"/>
  <c r="I73" i="3" s="1"/>
  <c r="U68" i="3"/>
  <c r="T68" i="3"/>
  <c r="B68" i="3"/>
  <c r="A68" i="3"/>
  <c r="U67" i="3"/>
  <c r="T67" i="3"/>
  <c r="B67" i="3"/>
  <c r="A67" i="3"/>
  <c r="U66" i="3"/>
  <c r="T66" i="3"/>
  <c r="Z53" i="3" s="1"/>
  <c r="B66" i="3"/>
  <c r="A66" i="3"/>
  <c r="I58" i="3" s="1"/>
  <c r="U65" i="3"/>
  <c r="T65" i="3"/>
  <c r="B65" i="3"/>
  <c r="A65" i="3"/>
  <c r="U64" i="3"/>
  <c r="T64" i="3"/>
  <c r="B64" i="3"/>
  <c r="A64" i="3"/>
  <c r="U63" i="3"/>
  <c r="T63" i="3"/>
  <c r="Y53" i="3" s="1"/>
  <c r="B63" i="3"/>
  <c r="A63" i="3"/>
  <c r="I57" i="3" s="1"/>
  <c r="U62" i="3"/>
  <c r="T62" i="3"/>
  <c r="D62" i="3"/>
  <c r="B62" i="3"/>
  <c r="A62" i="3"/>
  <c r="U61" i="3"/>
  <c r="T61" i="3"/>
  <c r="E61" i="3"/>
  <c r="B61" i="3"/>
  <c r="A61" i="3"/>
  <c r="U60" i="3"/>
  <c r="T60" i="3"/>
  <c r="X53" i="3" s="1"/>
  <c r="E60" i="3"/>
  <c r="B60" i="3"/>
  <c r="A60" i="3"/>
  <c r="I56" i="3" s="1"/>
  <c r="U59" i="3"/>
  <c r="T59" i="3"/>
  <c r="B59" i="3"/>
  <c r="A59" i="3"/>
  <c r="U58" i="3"/>
  <c r="T58" i="3"/>
  <c r="B58" i="3"/>
  <c r="A58" i="3"/>
  <c r="U57" i="3"/>
  <c r="T57" i="3"/>
  <c r="B57" i="3"/>
  <c r="A57" i="3"/>
  <c r="I55" i="3" s="1"/>
  <c r="U56" i="3"/>
  <c r="T56" i="3"/>
  <c r="B56" i="3"/>
  <c r="A56" i="3"/>
  <c r="U55" i="3"/>
  <c r="T55" i="3"/>
  <c r="B55" i="3"/>
  <c r="A55" i="3"/>
  <c r="U54" i="3"/>
  <c r="T54" i="3"/>
  <c r="V53" i="3" s="1"/>
  <c r="B54" i="3"/>
  <c r="A54" i="3"/>
  <c r="I54" i="3" s="1"/>
  <c r="W53" i="3"/>
  <c r="U48" i="3"/>
  <c r="T48" i="3"/>
  <c r="B48" i="3"/>
  <c r="A48" i="3"/>
  <c r="U47" i="3"/>
  <c r="T47" i="3"/>
  <c r="B47" i="3"/>
  <c r="A47" i="3"/>
  <c r="U46" i="3"/>
  <c r="T46" i="3"/>
  <c r="Z33" i="3" s="1"/>
  <c r="B46" i="3"/>
  <c r="A46" i="3"/>
  <c r="I38" i="3" s="1"/>
  <c r="U45" i="3"/>
  <c r="T45" i="3"/>
  <c r="B45" i="3"/>
  <c r="A45" i="3"/>
  <c r="U44" i="3"/>
  <c r="T44" i="3"/>
  <c r="B44" i="3"/>
  <c r="A44" i="3"/>
  <c r="U43" i="3"/>
  <c r="T43" i="3"/>
  <c r="Y33" i="3" s="1"/>
  <c r="B43" i="3"/>
  <c r="A43" i="3"/>
  <c r="I37" i="3" s="1"/>
  <c r="U42" i="3"/>
  <c r="T42" i="3"/>
  <c r="B42" i="3"/>
  <c r="A42" i="3"/>
  <c r="U41" i="3"/>
  <c r="T41" i="3"/>
  <c r="B41" i="3"/>
  <c r="A41" i="3"/>
  <c r="U40" i="3"/>
  <c r="T40" i="3"/>
  <c r="X33" i="3" s="1"/>
  <c r="B40" i="3"/>
  <c r="A40" i="3"/>
  <c r="I36" i="3" s="1"/>
  <c r="U39" i="3"/>
  <c r="T39" i="3"/>
  <c r="B39" i="3"/>
  <c r="A39" i="3"/>
  <c r="U38" i="3"/>
  <c r="T38" i="3"/>
  <c r="B38" i="3"/>
  <c r="A38" i="3"/>
  <c r="U37" i="3"/>
  <c r="T37" i="3"/>
  <c r="W33" i="3" s="1"/>
  <c r="B37" i="3"/>
  <c r="A37" i="3"/>
  <c r="I35" i="3" s="1"/>
  <c r="U36" i="3"/>
  <c r="T36" i="3"/>
  <c r="B36" i="3"/>
  <c r="A36" i="3"/>
  <c r="U35" i="3"/>
  <c r="T35" i="3"/>
  <c r="B35" i="3"/>
  <c r="A35" i="3"/>
  <c r="U34" i="3"/>
  <c r="T34" i="3"/>
  <c r="V33" i="3" s="1"/>
  <c r="B34" i="3"/>
  <c r="A34" i="3"/>
  <c r="I34" i="3" s="1"/>
  <c r="B28" i="3"/>
  <c r="U28" i="3" s="1"/>
  <c r="A28" i="3"/>
  <c r="T28" i="3" s="1"/>
  <c r="B27" i="3"/>
  <c r="U27" i="3" s="1"/>
  <c r="A27" i="3"/>
  <c r="T27" i="3" s="1"/>
  <c r="U26" i="3"/>
  <c r="T26" i="3"/>
  <c r="Z13" i="3" s="1"/>
  <c r="B26" i="3"/>
  <c r="A26" i="3"/>
  <c r="I18" i="3" s="1"/>
  <c r="B25" i="3"/>
  <c r="U25" i="3" s="1"/>
  <c r="A25" i="3"/>
  <c r="T25" i="3" s="1"/>
  <c r="B24" i="3"/>
  <c r="U24" i="3" s="1"/>
  <c r="A24" i="3"/>
  <c r="T24" i="3" s="1"/>
  <c r="T23" i="3"/>
  <c r="Y13" i="3" s="1"/>
  <c r="B23" i="3"/>
  <c r="U23" i="3" s="1"/>
  <c r="A23" i="3"/>
  <c r="U22" i="3"/>
  <c r="B22" i="3"/>
  <c r="A22" i="3"/>
  <c r="T22" i="3" s="1"/>
  <c r="B21" i="3"/>
  <c r="U21" i="3" s="1"/>
  <c r="A21" i="3"/>
  <c r="T21" i="3" s="1"/>
  <c r="B20" i="3"/>
  <c r="U20" i="3" s="1"/>
  <c r="A20" i="3"/>
  <c r="T20" i="3" s="1"/>
  <c r="X13" i="3" s="1"/>
  <c r="T19" i="3"/>
  <c r="B19" i="3"/>
  <c r="U19" i="3" s="1"/>
  <c r="A19" i="3"/>
  <c r="U18" i="3"/>
  <c r="B18" i="3"/>
  <c r="A18" i="3"/>
  <c r="T18" i="3" s="1"/>
  <c r="I17" i="3"/>
  <c r="B17" i="3"/>
  <c r="U17" i="3" s="1"/>
  <c r="A17" i="3"/>
  <c r="T17" i="3" s="1"/>
  <c r="W13" i="3" s="1"/>
  <c r="U16" i="3"/>
  <c r="B16" i="3"/>
  <c r="A16" i="3"/>
  <c r="T16" i="3" s="1"/>
  <c r="B15" i="3"/>
  <c r="U15" i="3" s="1"/>
  <c r="A15" i="3"/>
  <c r="T15" i="3" s="1"/>
  <c r="B14" i="3"/>
  <c r="U14" i="3" s="1"/>
  <c r="A14" i="3"/>
  <c r="T14" i="3" s="1"/>
  <c r="V13" i="3" s="1"/>
  <c r="C9" i="3"/>
  <c r="A9" i="3"/>
  <c r="C8" i="3"/>
  <c r="A8" i="3"/>
  <c r="C7" i="3"/>
  <c r="A7" i="3"/>
  <c r="C6" i="3"/>
  <c r="A6" i="3"/>
  <c r="C5" i="3"/>
  <c r="A1" i="3" s="1"/>
  <c r="A5" i="3"/>
  <c r="E28" i="3"/>
  <c r="D27" i="3"/>
  <c r="F24" i="3"/>
  <c r="E23" i="3"/>
  <c r="D22" i="3"/>
  <c r="E20" i="3"/>
  <c r="F19" i="3"/>
  <c r="E19" i="3"/>
  <c r="E18" i="3"/>
  <c r="F17" i="3"/>
  <c r="E15" i="3"/>
  <c r="B1" i="2"/>
  <c r="J46" i="2" l="1"/>
  <c r="D16" i="3"/>
  <c r="J218" i="2"/>
  <c r="D28" i="3"/>
  <c r="D17" i="3"/>
  <c r="J61" i="2"/>
  <c r="J118" i="2"/>
  <c r="J75" i="2"/>
  <c r="D18" i="3"/>
  <c r="D14" i="3"/>
  <c r="J18" i="2"/>
  <c r="J32" i="2"/>
  <c r="D15" i="3"/>
  <c r="O124" i="4"/>
  <c r="R124" i="4"/>
  <c r="V124" i="4" s="1"/>
  <c r="W124" i="4" s="1"/>
  <c r="J190" i="2"/>
  <c r="D26" i="3"/>
  <c r="J147" i="2"/>
  <c r="E24" i="3"/>
  <c r="J161" i="2"/>
  <c r="I15" i="3"/>
  <c r="H65" i="4"/>
  <c r="H94" i="4"/>
  <c r="J42" i="4"/>
  <c r="H93" i="4"/>
  <c r="L94" i="4"/>
  <c r="F42" i="3" s="1"/>
  <c r="G125" i="4"/>
  <c r="H121" i="4" s="1"/>
  <c r="K153" i="4"/>
  <c r="G24" i="4"/>
  <c r="J66" i="4"/>
  <c r="G117" i="4"/>
  <c r="H113" i="4" s="1"/>
  <c r="K125" i="4"/>
  <c r="H84" i="4"/>
  <c r="H92" i="4"/>
  <c r="J32" i="4"/>
  <c r="K32" i="4" s="1"/>
  <c r="L28" i="4" s="1"/>
  <c r="E35" i="3" s="1"/>
  <c r="J37" i="4"/>
  <c r="N37" i="4" s="1"/>
  <c r="R37" i="4" s="1"/>
  <c r="S37" i="4" s="1"/>
  <c r="G46" i="4"/>
  <c r="H48" i="4"/>
  <c r="G124" i="4"/>
  <c r="H120" i="4" s="1"/>
  <c r="I120" i="4" s="1"/>
  <c r="I14" i="3"/>
  <c r="O46" i="4"/>
  <c r="L76" i="4"/>
  <c r="F40" i="3" s="1"/>
  <c r="S46" i="4"/>
  <c r="N130" i="4"/>
  <c r="O130" i="4" s="1"/>
  <c r="L149" i="4"/>
  <c r="E48" i="3" s="1"/>
  <c r="V125" i="4"/>
  <c r="W125" i="4" s="1"/>
  <c r="S125" i="4"/>
  <c r="N135" i="4"/>
  <c r="R135" i="4" s="1"/>
  <c r="K135" i="4"/>
  <c r="O143" i="4"/>
  <c r="R143" i="4"/>
  <c r="K150" i="4"/>
  <c r="N150" i="4"/>
  <c r="H76" i="4"/>
  <c r="N145" i="4"/>
  <c r="O145" i="4" s="1"/>
  <c r="K145" i="4"/>
  <c r="N59" i="4"/>
  <c r="K59" i="4"/>
  <c r="H75" i="4"/>
  <c r="J61" i="4"/>
  <c r="L75" i="4"/>
  <c r="E40" i="3" s="1"/>
  <c r="L84" i="4"/>
  <c r="E41" i="3" s="1"/>
  <c r="L85" i="4"/>
  <c r="F41" i="3" s="1"/>
  <c r="J141" i="4"/>
  <c r="L140" i="4"/>
  <c r="E47" i="3" s="1"/>
  <c r="G140" i="4"/>
  <c r="G144" i="4"/>
  <c r="G153" i="4"/>
  <c r="G27" i="4"/>
  <c r="H27" i="4" s="1"/>
  <c r="K38" i="4"/>
  <c r="L38" i="4" s="1"/>
  <c r="F36" i="3" s="1"/>
  <c r="K60" i="4"/>
  <c r="K69" i="4"/>
  <c r="H74" i="4"/>
  <c r="I74" i="4" s="1"/>
  <c r="O27" i="4"/>
  <c r="N28" i="4"/>
  <c r="R28" i="4" s="1"/>
  <c r="R38" i="4"/>
  <c r="V38" i="4" s="1"/>
  <c r="W38" i="4" s="1"/>
  <c r="O60" i="4"/>
  <c r="G68" i="4"/>
  <c r="O69" i="4"/>
  <c r="J148" i="4"/>
  <c r="H28" i="4"/>
  <c r="J18" i="4"/>
  <c r="J36" i="4"/>
  <c r="N36" i="4" s="1"/>
  <c r="S27" i="4"/>
  <c r="N68" i="4"/>
  <c r="R68" i="4" s="1"/>
  <c r="S68" i="4" s="1"/>
  <c r="J121" i="4"/>
  <c r="N121" i="4" s="1"/>
  <c r="O121" i="4" s="1"/>
  <c r="L20" i="4"/>
  <c r="F34" i="3" s="1"/>
  <c r="G143" i="4"/>
  <c r="G152" i="4"/>
  <c r="H148" i="4" s="1"/>
  <c r="I16" i="3"/>
  <c r="J103" i="4"/>
  <c r="G139" i="4"/>
  <c r="G150" i="4"/>
  <c r="H150" i="4" s="1"/>
  <c r="O37" i="4"/>
  <c r="G47" i="4"/>
  <c r="H47" i="4" s="1"/>
  <c r="G107" i="4"/>
  <c r="H103" i="4" s="1"/>
  <c r="N113" i="4"/>
  <c r="H131" i="4"/>
  <c r="K134" i="4"/>
  <c r="L130" i="4" s="1"/>
  <c r="D46" i="3" s="1"/>
  <c r="G149" i="4"/>
  <c r="J29" i="4"/>
  <c r="N29" i="4" s="1"/>
  <c r="H20" i="4"/>
  <c r="J22" i="4"/>
  <c r="K22" i="4" s="1"/>
  <c r="J51" i="4"/>
  <c r="N51" i="4" s="1"/>
  <c r="J56" i="4"/>
  <c r="N56" i="4" s="1"/>
  <c r="B22" i="5"/>
  <c r="AE22" i="5" s="1"/>
  <c r="C24" i="3"/>
  <c r="G50" i="4"/>
  <c r="J50" i="4"/>
  <c r="D55" i="4"/>
  <c r="E55" i="4"/>
  <c r="C55" i="4"/>
  <c r="B55" i="4"/>
  <c r="N122" i="4"/>
  <c r="K122" i="4"/>
  <c r="D24" i="3"/>
  <c r="G19" i="4"/>
  <c r="H19" i="4" s="1"/>
  <c r="J19" i="4"/>
  <c r="E24" i="4"/>
  <c r="D24" i="4"/>
  <c r="C24" i="4"/>
  <c r="A16" i="4"/>
  <c r="A14" i="4" s="1"/>
  <c r="E32" i="4"/>
  <c r="D32" i="4"/>
  <c r="C32" i="4"/>
  <c r="J55" i="4"/>
  <c r="G55" i="4"/>
  <c r="H55" i="4" s="1"/>
  <c r="J57" i="4"/>
  <c r="G57" i="4"/>
  <c r="H57" i="4" s="1"/>
  <c r="C65" i="4"/>
  <c r="E65" i="4"/>
  <c r="D65" i="4"/>
  <c r="B25" i="5"/>
  <c r="AE25" i="5" s="1"/>
  <c r="C27" i="3"/>
  <c r="K42" i="4"/>
  <c r="N42" i="4"/>
  <c r="S75" i="4"/>
  <c r="T75" i="4" s="1"/>
  <c r="E79" i="3" s="1"/>
  <c r="V75" i="4"/>
  <c r="W75" i="4" s="1"/>
  <c r="X75" i="4" s="1"/>
  <c r="E100" i="3" s="1"/>
  <c r="V94" i="4"/>
  <c r="W94" i="4" s="1"/>
  <c r="S94" i="4"/>
  <c r="B26" i="5"/>
  <c r="AE26" i="5" s="1"/>
  <c r="C28" i="3"/>
  <c r="D37" i="4"/>
  <c r="E37" i="4"/>
  <c r="C37" i="4"/>
  <c r="G41" i="4"/>
  <c r="H37" i="4" s="1"/>
  <c r="J41" i="4"/>
  <c r="K51" i="4"/>
  <c r="L47" i="4" s="1"/>
  <c r="E37" i="3" s="1"/>
  <c r="O74" i="4"/>
  <c r="P74" i="4" s="1"/>
  <c r="R74" i="4"/>
  <c r="D60" i="4"/>
  <c r="E60" i="4"/>
  <c r="C60" i="4"/>
  <c r="N66" i="4"/>
  <c r="K66" i="4"/>
  <c r="N22" i="4"/>
  <c r="N40" i="4"/>
  <c r="C50" i="4"/>
  <c r="E50" i="4"/>
  <c r="D50" i="4"/>
  <c r="B50" i="4"/>
  <c r="S83" i="4"/>
  <c r="T83" i="4" s="1"/>
  <c r="V83" i="4"/>
  <c r="W83" i="4" s="1"/>
  <c r="G64" i="4"/>
  <c r="H64" i="4" s="1"/>
  <c r="J64" i="4"/>
  <c r="D68" i="4"/>
  <c r="C68" i="4"/>
  <c r="J70" i="4"/>
  <c r="G70" i="4"/>
  <c r="H66" i="4" s="1"/>
  <c r="R76" i="4"/>
  <c r="O76" i="4"/>
  <c r="P76" i="4" s="1"/>
  <c r="F60" i="3" s="1"/>
  <c r="I83" i="4"/>
  <c r="C84" i="4"/>
  <c r="E84" i="4"/>
  <c r="D84" i="4"/>
  <c r="R89" i="4"/>
  <c r="O89" i="4"/>
  <c r="P85" i="4" s="1"/>
  <c r="F61" i="3" s="1"/>
  <c r="N117" i="4"/>
  <c r="K117" i="4"/>
  <c r="L113" i="4" s="1"/>
  <c r="F44" i="3" s="1"/>
  <c r="D19" i="4"/>
  <c r="S20" i="4"/>
  <c r="J23" i="4"/>
  <c r="N24" i="4"/>
  <c r="B31" i="4"/>
  <c r="J31" i="4"/>
  <c r="N32" i="4"/>
  <c r="B36" i="4"/>
  <c r="G38" i="4"/>
  <c r="H38" i="4" s="1"/>
  <c r="G40" i="4"/>
  <c r="H36" i="4" s="1"/>
  <c r="I36" i="4" s="1"/>
  <c r="D41" i="4"/>
  <c r="K46" i="4"/>
  <c r="J52" i="4"/>
  <c r="C57" i="4"/>
  <c r="B59" i="4"/>
  <c r="D59" i="4"/>
  <c r="S60" i="4"/>
  <c r="N61" i="4"/>
  <c r="K61" i="4"/>
  <c r="C64" i="4"/>
  <c r="E64" i="4"/>
  <c r="B68" i="4"/>
  <c r="V68" i="4"/>
  <c r="W68" i="4" s="1"/>
  <c r="V69" i="4"/>
  <c r="W69" i="4" s="1"/>
  <c r="S69" i="4"/>
  <c r="V92" i="4"/>
  <c r="W92" i="4" s="1"/>
  <c r="S92" i="4"/>
  <c r="B18" i="4"/>
  <c r="E19" i="4"/>
  <c r="D23" i="4"/>
  <c r="K27" i="4"/>
  <c r="D31" i="4"/>
  <c r="J33" i="4"/>
  <c r="C36" i="4"/>
  <c r="C38" i="4"/>
  <c r="E41" i="4"/>
  <c r="C46" i="4"/>
  <c r="N47" i="4"/>
  <c r="D48" i="4"/>
  <c r="J48" i="4"/>
  <c r="D52" i="4"/>
  <c r="D57" i="4"/>
  <c r="C59" i="4"/>
  <c r="G60" i="4"/>
  <c r="H56" i="4" s="1"/>
  <c r="B64" i="4"/>
  <c r="J65" i="4"/>
  <c r="E68" i="4"/>
  <c r="D70" i="4"/>
  <c r="E70" i="4"/>
  <c r="I92" i="4"/>
  <c r="C83" i="4"/>
  <c r="D83" i="4"/>
  <c r="D85" i="4"/>
  <c r="C85" i="4"/>
  <c r="V96" i="4"/>
  <c r="W96" i="4" s="1"/>
  <c r="S96" i="4"/>
  <c r="J111" i="4"/>
  <c r="G111" i="4"/>
  <c r="H111" i="4" s="1"/>
  <c r="J112" i="4"/>
  <c r="G112" i="4"/>
  <c r="C120" i="4"/>
  <c r="B120" i="4"/>
  <c r="E120" i="4"/>
  <c r="D120" i="4"/>
  <c r="S78" i="4"/>
  <c r="B83" i="4"/>
  <c r="T84" i="4"/>
  <c r="E80" i="3" s="1"/>
  <c r="E85" i="4"/>
  <c r="D87" i="4"/>
  <c r="C87" i="4"/>
  <c r="O87" i="4"/>
  <c r="P83" i="4" s="1"/>
  <c r="G104" i="4"/>
  <c r="J104" i="4"/>
  <c r="V80" i="4"/>
  <c r="W80" i="4" s="1"/>
  <c r="S80" i="4"/>
  <c r="E83" i="4"/>
  <c r="S85" i="4"/>
  <c r="V85" i="4"/>
  <c r="W85" i="4" s="1"/>
  <c r="B87" i="4"/>
  <c r="V87" i="4"/>
  <c r="W87" i="4" s="1"/>
  <c r="K103" i="4"/>
  <c r="N103" i="4"/>
  <c r="C102" i="4"/>
  <c r="B102" i="4"/>
  <c r="N107" i="4"/>
  <c r="K107" i="4"/>
  <c r="D108" i="4"/>
  <c r="C108" i="4"/>
  <c r="J116" i="4"/>
  <c r="G116" i="4"/>
  <c r="S93" i="4"/>
  <c r="D97" i="4"/>
  <c r="C97" i="4"/>
  <c r="D102" i="4"/>
  <c r="D104" i="4"/>
  <c r="C104" i="4"/>
  <c r="J106" i="4"/>
  <c r="G106" i="4"/>
  <c r="H102" i="4" s="1"/>
  <c r="E112" i="4"/>
  <c r="D112" i="4"/>
  <c r="R121" i="4"/>
  <c r="V126" i="4"/>
  <c r="W126" i="4" s="1"/>
  <c r="S126" i="4"/>
  <c r="V135" i="4"/>
  <c r="W135" i="4" s="1"/>
  <c r="S135" i="4"/>
  <c r="R136" i="4"/>
  <c r="O136" i="4"/>
  <c r="P132" i="4" s="1"/>
  <c r="F66" i="3" s="1"/>
  <c r="C93" i="4"/>
  <c r="P94" i="4"/>
  <c r="F62" i="3" s="1"/>
  <c r="E97" i="4"/>
  <c r="R97" i="4"/>
  <c r="O97" i="4"/>
  <c r="P93" i="4" s="1"/>
  <c r="E62" i="3" s="1"/>
  <c r="V98" i="4"/>
  <c r="W98" i="4" s="1"/>
  <c r="S98" i="4"/>
  <c r="E102" i="4"/>
  <c r="E104" i="4"/>
  <c r="D106" i="4"/>
  <c r="C106" i="4"/>
  <c r="J108" i="4"/>
  <c r="G108" i="4"/>
  <c r="C112" i="4"/>
  <c r="N115" i="4"/>
  <c r="K115" i="4"/>
  <c r="D116" i="4"/>
  <c r="C116" i="4"/>
  <c r="C143" i="4"/>
  <c r="B143" i="4"/>
  <c r="E96" i="4"/>
  <c r="J102" i="4"/>
  <c r="E115" i="4"/>
  <c r="J120" i="4"/>
  <c r="K121" i="4"/>
  <c r="L121" i="4" s="1"/>
  <c r="E45" i="3" s="1"/>
  <c r="C122" i="4"/>
  <c r="G122" i="4"/>
  <c r="H122" i="4" s="1"/>
  <c r="D124" i="4"/>
  <c r="S124" i="4"/>
  <c r="E125" i="4"/>
  <c r="K126" i="4"/>
  <c r="E132" i="4"/>
  <c r="K132" i="4"/>
  <c r="L132" i="4" s="1"/>
  <c r="F46" i="3" s="1"/>
  <c r="R132" i="4"/>
  <c r="O134" i="4"/>
  <c r="P130" i="4" s="1"/>
  <c r="O135" i="4"/>
  <c r="G136" i="4"/>
  <c r="H132" i="4" s="1"/>
  <c r="O139" i="4"/>
  <c r="P139" i="4" s="1"/>
  <c r="D143" i="4"/>
  <c r="E144" i="4"/>
  <c r="D144" i="4"/>
  <c r="N144" i="4"/>
  <c r="D122" i="4"/>
  <c r="E124" i="4"/>
  <c r="K124" i="4"/>
  <c r="O125" i="4"/>
  <c r="O126" i="4"/>
  <c r="D131" i="4"/>
  <c r="J131" i="4"/>
  <c r="B134" i="4"/>
  <c r="G134" i="4"/>
  <c r="H130" i="4" s="1"/>
  <c r="S134" i="4"/>
  <c r="C136" i="4"/>
  <c r="K136" i="4"/>
  <c r="N140" i="4"/>
  <c r="E143" i="4"/>
  <c r="K143" i="4"/>
  <c r="C144" i="4"/>
  <c r="R130" i="4"/>
  <c r="K139" i="4"/>
  <c r="L139" i="4" s="1"/>
  <c r="S139" i="4"/>
  <c r="D148" i="4"/>
  <c r="C148" i="4"/>
  <c r="N152" i="4"/>
  <c r="K152" i="4"/>
  <c r="D149" i="4"/>
  <c r="R149" i="4"/>
  <c r="E152" i="4"/>
  <c r="O153" i="4"/>
  <c r="P149" i="4" s="1"/>
  <c r="E68" i="3" s="1"/>
  <c r="S153" i="4"/>
  <c r="N154" i="4"/>
  <c r="K154" i="4"/>
  <c r="L150" i="4" s="1"/>
  <c r="F48" i="3" s="1"/>
  <c r="M2" i="6"/>
  <c r="M1" i="6" s="1"/>
  <c r="R145" i="4" l="1"/>
  <c r="V37" i="4"/>
  <c r="W37" i="4" s="1"/>
  <c r="O68" i="4"/>
  <c r="H46" i="4"/>
  <c r="I27" i="4"/>
  <c r="K37" i="4"/>
  <c r="I18" i="4"/>
  <c r="S38" i="4"/>
  <c r="K29" i="4"/>
  <c r="O28" i="4"/>
  <c r="K18" i="4"/>
  <c r="L18" i="4" s="1"/>
  <c r="D34" i="3" s="1"/>
  <c r="N18" i="4"/>
  <c r="K141" i="4"/>
  <c r="L141" i="4" s="1"/>
  <c r="F47" i="3" s="1"/>
  <c r="N141" i="4"/>
  <c r="R150" i="4"/>
  <c r="O150" i="4"/>
  <c r="N148" i="4"/>
  <c r="K148" i="4"/>
  <c r="L148" i="4" s="1"/>
  <c r="V143" i="4"/>
  <c r="W143" i="4" s="1"/>
  <c r="X139" i="4" s="1"/>
  <c r="D107" i="3" s="1"/>
  <c r="S143" i="4"/>
  <c r="T139" i="4" s="1"/>
  <c r="D86" i="3" s="1"/>
  <c r="K56" i="4"/>
  <c r="L56" i="4" s="1"/>
  <c r="E38" i="3" s="1"/>
  <c r="K36" i="4"/>
  <c r="L36" i="4" s="1"/>
  <c r="D36" i="3" s="1"/>
  <c r="H139" i="4"/>
  <c r="I139" i="4" s="1"/>
  <c r="R59" i="4"/>
  <c r="O59" i="4"/>
  <c r="O113" i="4"/>
  <c r="R113" i="4"/>
  <c r="I46" i="4"/>
  <c r="H149" i="4"/>
  <c r="I148" i="4" s="1"/>
  <c r="H140" i="4"/>
  <c r="D66" i="3"/>
  <c r="S132" i="4"/>
  <c r="V132" i="4"/>
  <c r="W132" i="4" s="1"/>
  <c r="V136" i="4"/>
  <c r="W136" i="4" s="1"/>
  <c r="S136" i="4"/>
  <c r="N104" i="4"/>
  <c r="K104" i="4"/>
  <c r="O61" i="4"/>
  <c r="R61" i="4"/>
  <c r="O140" i="4"/>
  <c r="R140" i="4"/>
  <c r="V149" i="4"/>
  <c r="W149" i="4" s="1"/>
  <c r="X149" i="4" s="1"/>
  <c r="E108" i="3" s="1"/>
  <c r="S149" i="4"/>
  <c r="T149" i="4" s="1"/>
  <c r="E87" i="3" s="1"/>
  <c r="V145" i="4"/>
  <c r="W145" i="4" s="1"/>
  <c r="S145" i="4"/>
  <c r="K120" i="4"/>
  <c r="L120" i="4" s="1"/>
  <c r="N120" i="4"/>
  <c r="S121" i="4"/>
  <c r="T121" i="4" s="1"/>
  <c r="E84" i="3" s="1"/>
  <c r="V121" i="4"/>
  <c r="W121" i="4" s="1"/>
  <c r="X121" i="4" s="1"/>
  <c r="E105" i="3" s="1"/>
  <c r="K106" i="4"/>
  <c r="N106" i="4"/>
  <c r="L103" i="4"/>
  <c r="E43" i="3" s="1"/>
  <c r="Q83" i="4"/>
  <c r="D61" i="3"/>
  <c r="N112" i="4"/>
  <c r="K112" i="4"/>
  <c r="N33" i="4"/>
  <c r="K33" i="4"/>
  <c r="T92" i="4"/>
  <c r="O32" i="4"/>
  <c r="R32" i="4"/>
  <c r="K23" i="4"/>
  <c r="N23" i="4"/>
  <c r="R117" i="4"/>
  <c r="O117" i="4"/>
  <c r="V76" i="4"/>
  <c r="W76" i="4" s="1"/>
  <c r="X76" i="4" s="1"/>
  <c r="F100" i="3" s="1"/>
  <c r="S76" i="4"/>
  <c r="T76" i="4" s="1"/>
  <c r="F79" i="3" s="1"/>
  <c r="D80" i="3"/>
  <c r="D19" i="3"/>
  <c r="B12" i="5"/>
  <c r="AE12" i="5" s="1"/>
  <c r="C14" i="3"/>
  <c r="O66" i="4"/>
  <c r="R66" i="4"/>
  <c r="V74" i="4"/>
  <c r="W74" i="4" s="1"/>
  <c r="X74" i="4" s="1"/>
  <c r="S74" i="4"/>
  <c r="T74" i="4" s="1"/>
  <c r="X94" i="4"/>
  <c r="F102" i="3" s="1"/>
  <c r="I55" i="4"/>
  <c r="K19" i="4"/>
  <c r="N19" i="4"/>
  <c r="D21" i="3"/>
  <c r="T93" i="4"/>
  <c r="E81" i="3" s="1"/>
  <c r="N116" i="4"/>
  <c r="K116" i="4"/>
  <c r="R152" i="4"/>
  <c r="O152" i="4"/>
  <c r="M139" i="4"/>
  <c r="D47" i="3"/>
  <c r="O154" i="4"/>
  <c r="R154" i="4"/>
  <c r="S130" i="4"/>
  <c r="T130" i="4" s="1"/>
  <c r="V130" i="4"/>
  <c r="W130" i="4" s="1"/>
  <c r="X130" i="4" s="1"/>
  <c r="K131" i="4"/>
  <c r="L131" i="4" s="1"/>
  <c r="N131" i="4"/>
  <c r="R144" i="4"/>
  <c r="O144" i="4"/>
  <c r="R115" i="4"/>
  <c r="O115" i="4"/>
  <c r="N108" i="4"/>
  <c r="K108" i="4"/>
  <c r="V97" i="4"/>
  <c r="W97" i="4" s="1"/>
  <c r="X93" i="4" s="1"/>
  <c r="E102" i="3" s="1"/>
  <c r="S97" i="4"/>
  <c r="Q92" i="4"/>
  <c r="N48" i="4"/>
  <c r="K48" i="4"/>
  <c r="X92" i="4"/>
  <c r="K52" i="4"/>
  <c r="N52" i="4"/>
  <c r="K31" i="4"/>
  <c r="L27" i="4" s="1"/>
  <c r="N31" i="4"/>
  <c r="K64" i="4"/>
  <c r="L64" i="4" s="1"/>
  <c r="N64" i="4"/>
  <c r="R22" i="4"/>
  <c r="O22" i="4"/>
  <c r="D20" i="3"/>
  <c r="Q74" i="4"/>
  <c r="D60" i="3"/>
  <c r="N41" i="4"/>
  <c r="K41" i="4"/>
  <c r="B16" i="5"/>
  <c r="AE16" i="5" s="1"/>
  <c r="C18" i="3"/>
  <c r="K57" i="4"/>
  <c r="L57" i="4" s="1"/>
  <c r="F38" i="3" s="1"/>
  <c r="N57" i="4"/>
  <c r="N55" i="4"/>
  <c r="K55" i="4"/>
  <c r="L55" i="4" s="1"/>
  <c r="B24" i="5"/>
  <c r="AE24" i="5" s="1"/>
  <c r="C26" i="3"/>
  <c r="L122" i="4"/>
  <c r="F45" i="3" s="1"/>
  <c r="D67" i="3"/>
  <c r="V89" i="4"/>
  <c r="W89" i="4" s="1"/>
  <c r="X85" i="4" s="1"/>
  <c r="F101" i="3" s="1"/>
  <c r="S89" i="4"/>
  <c r="T85" i="4" s="1"/>
  <c r="N70" i="4"/>
  <c r="K70" i="4"/>
  <c r="L66" i="4" s="1"/>
  <c r="F39" i="3" s="1"/>
  <c r="I64" i="4"/>
  <c r="R40" i="4"/>
  <c r="O40" i="4"/>
  <c r="R36" i="4"/>
  <c r="O36" i="4"/>
  <c r="B15" i="5"/>
  <c r="AE15" i="5" s="1"/>
  <c r="C17" i="3"/>
  <c r="R51" i="4"/>
  <c r="O51" i="4"/>
  <c r="R29" i="4"/>
  <c r="O29" i="4"/>
  <c r="B13" i="5"/>
  <c r="AE13" i="5" s="1"/>
  <c r="C15" i="3"/>
  <c r="V28" i="4"/>
  <c r="W28" i="4" s="1"/>
  <c r="S28" i="4"/>
  <c r="D25" i="3"/>
  <c r="O122" i="4"/>
  <c r="P122" i="4" s="1"/>
  <c r="F65" i="3" s="1"/>
  <c r="R122" i="4"/>
  <c r="G24" i="3"/>
  <c r="Y24" i="3"/>
  <c r="K102" i="4"/>
  <c r="N102" i="4"/>
  <c r="K111" i="4"/>
  <c r="L111" i="4" s="1"/>
  <c r="N111" i="4"/>
  <c r="I130" i="4"/>
  <c r="P121" i="4"/>
  <c r="E65" i="3" s="1"/>
  <c r="R107" i="4"/>
  <c r="O107" i="4"/>
  <c r="R103" i="4"/>
  <c r="O103" i="4"/>
  <c r="H104" i="4"/>
  <c r="I102" i="4" s="1"/>
  <c r="H112" i="4"/>
  <c r="I111" i="4" s="1"/>
  <c r="K65" i="4"/>
  <c r="L65" i="4" s="1"/>
  <c r="E39" i="3" s="1"/>
  <c r="N65" i="4"/>
  <c r="R47" i="4"/>
  <c r="O47" i="4"/>
  <c r="O24" i="4"/>
  <c r="P20" i="4" s="1"/>
  <c r="F54" i="3" s="1"/>
  <c r="R24" i="4"/>
  <c r="X83" i="4"/>
  <c r="D23" i="3"/>
  <c r="B14" i="5"/>
  <c r="AE14" i="5" s="1"/>
  <c r="C16" i="3"/>
  <c r="G28" i="3"/>
  <c r="Z28" i="3"/>
  <c r="T94" i="4"/>
  <c r="F81" i="3" s="1"/>
  <c r="R42" i="4"/>
  <c r="O42" i="4"/>
  <c r="P38" i="4" s="1"/>
  <c r="F56" i="3" s="1"/>
  <c r="G27" i="3"/>
  <c r="Z27" i="3"/>
  <c r="O56" i="4"/>
  <c r="P56" i="4" s="1"/>
  <c r="E58" i="3" s="1"/>
  <c r="R56" i="4"/>
  <c r="B20" i="5"/>
  <c r="AE20" i="5" s="1"/>
  <c r="J92" i="4"/>
  <c r="K92" i="4" s="1"/>
  <c r="L92" i="4" s="1"/>
  <c r="C22" i="3"/>
  <c r="X22" i="3" s="1"/>
  <c r="N50" i="4"/>
  <c r="K50" i="4"/>
  <c r="L46" i="4" s="1"/>
  <c r="M148" i="4" l="1"/>
  <c r="D48" i="3"/>
  <c r="P103" i="4"/>
  <c r="E63" i="3" s="1"/>
  <c r="L102" i="4"/>
  <c r="P28" i="4"/>
  <c r="E55" i="3" s="1"/>
  <c r="L37" i="4"/>
  <c r="E36" i="3" s="1"/>
  <c r="L19" i="4"/>
  <c r="E34" i="3" s="1"/>
  <c r="L29" i="4"/>
  <c r="F35" i="3" s="1"/>
  <c r="P36" i="4"/>
  <c r="D56" i="3" s="1"/>
  <c r="V113" i="4"/>
  <c r="W113" i="4" s="1"/>
  <c r="S113" i="4"/>
  <c r="O148" i="4"/>
  <c r="P148" i="4" s="1"/>
  <c r="R148" i="4"/>
  <c r="P150" i="4"/>
  <c r="F68" i="3" s="1"/>
  <c r="S59" i="4"/>
  <c r="V59" i="4"/>
  <c r="W59" i="4" s="1"/>
  <c r="R141" i="4"/>
  <c r="O141" i="4"/>
  <c r="P141" i="4" s="1"/>
  <c r="F67" i="3" s="1"/>
  <c r="V150" i="4"/>
  <c r="W150" i="4" s="1"/>
  <c r="S150" i="4"/>
  <c r="R18" i="4"/>
  <c r="O18" i="4"/>
  <c r="P18" i="4" s="1"/>
  <c r="P113" i="4"/>
  <c r="F64" i="3" s="1"/>
  <c r="L48" i="4"/>
  <c r="F37" i="3" s="1"/>
  <c r="F80" i="3"/>
  <c r="U83" i="4"/>
  <c r="D35" i="3"/>
  <c r="M27" i="4"/>
  <c r="D37" i="3"/>
  <c r="D54" i="3"/>
  <c r="S24" i="4"/>
  <c r="T20" i="4" s="1"/>
  <c r="F73" i="3" s="1"/>
  <c r="V24" i="4"/>
  <c r="W24" i="4" s="1"/>
  <c r="X20" i="4" s="1"/>
  <c r="F94" i="3" s="1"/>
  <c r="S56" i="4"/>
  <c r="T56" i="4" s="1"/>
  <c r="E77" i="3" s="1"/>
  <c r="V56" i="4"/>
  <c r="W56" i="4" s="1"/>
  <c r="X56" i="4" s="1"/>
  <c r="E98" i="3" s="1"/>
  <c r="O57" i="4"/>
  <c r="P57" i="4" s="1"/>
  <c r="F58" i="3" s="1"/>
  <c r="R57" i="4"/>
  <c r="R108" i="4"/>
  <c r="O108" i="4"/>
  <c r="D106" i="3"/>
  <c r="V152" i="4"/>
  <c r="W152" i="4" s="1"/>
  <c r="S152" i="4"/>
  <c r="Y74" i="4"/>
  <c r="D100" i="3"/>
  <c r="S32" i="4"/>
  <c r="T28" i="4" s="1"/>
  <c r="E74" i="3" s="1"/>
  <c r="V32" i="4"/>
  <c r="W32" i="4" s="1"/>
  <c r="O33" i="4"/>
  <c r="R33" i="4"/>
  <c r="E19" i="5"/>
  <c r="C61" i="3"/>
  <c r="X61" i="3" s="1"/>
  <c r="M120" i="4"/>
  <c r="D45" i="3"/>
  <c r="V61" i="4"/>
  <c r="W61" i="4" s="1"/>
  <c r="S61" i="4"/>
  <c r="B21" i="5"/>
  <c r="AE21" i="5" s="1"/>
  <c r="C23" i="3"/>
  <c r="V15" i="3"/>
  <c r="G15" i="3"/>
  <c r="M92" i="4"/>
  <c r="D42" i="3"/>
  <c r="S42" i="4"/>
  <c r="T38" i="4" s="1"/>
  <c r="F75" i="3" s="1"/>
  <c r="V42" i="4"/>
  <c r="W42" i="4" s="1"/>
  <c r="X38" i="4" s="1"/>
  <c r="F96" i="3" s="1"/>
  <c r="P47" i="4"/>
  <c r="E57" i="3" s="1"/>
  <c r="O102" i="4"/>
  <c r="R102" i="4"/>
  <c r="S51" i="4"/>
  <c r="V51" i="4"/>
  <c r="W51" i="4" s="1"/>
  <c r="S36" i="4"/>
  <c r="V36" i="4"/>
  <c r="W36" i="4" s="1"/>
  <c r="E18" i="5"/>
  <c r="C60" i="3"/>
  <c r="S22" i="4"/>
  <c r="V22" i="4"/>
  <c r="W22" i="4" s="1"/>
  <c r="D39" i="3"/>
  <c r="M64" i="4"/>
  <c r="O52" i="4"/>
  <c r="R52" i="4"/>
  <c r="R48" i="4"/>
  <c r="O48" i="4"/>
  <c r="S144" i="4"/>
  <c r="V144" i="4"/>
  <c r="W144" i="4" s="1"/>
  <c r="D85" i="3"/>
  <c r="S66" i="4"/>
  <c r="V66" i="4"/>
  <c r="W66" i="4" s="1"/>
  <c r="B17" i="5"/>
  <c r="AE17" i="5" s="1"/>
  <c r="C19" i="3"/>
  <c r="V117" i="4"/>
  <c r="W117" i="4" s="1"/>
  <c r="S117" i="4"/>
  <c r="T113" i="4" s="1"/>
  <c r="F83" i="3" s="1"/>
  <c r="L112" i="4"/>
  <c r="E44" i="3" s="1"/>
  <c r="M18" i="4"/>
  <c r="O50" i="4"/>
  <c r="P46" i="4" s="1"/>
  <c r="R50" i="4"/>
  <c r="V103" i="4"/>
  <c r="W103" i="4" s="1"/>
  <c r="S103" i="4"/>
  <c r="S122" i="4"/>
  <c r="T122" i="4" s="1"/>
  <c r="F84" i="3" s="1"/>
  <c r="V122" i="4"/>
  <c r="W122" i="4" s="1"/>
  <c r="X122" i="4" s="1"/>
  <c r="F105" i="3" s="1"/>
  <c r="G26" i="3"/>
  <c r="Z26" i="3"/>
  <c r="J18" i="3"/>
  <c r="O64" i="4"/>
  <c r="P64" i="4" s="1"/>
  <c r="R64" i="4"/>
  <c r="E20" i="5"/>
  <c r="C62" i="3"/>
  <c r="X62" i="3" s="1"/>
  <c r="V16" i="3"/>
  <c r="G16" i="3"/>
  <c r="Y83" i="4"/>
  <c r="D101" i="3"/>
  <c r="V47" i="4"/>
  <c r="W47" i="4" s="1"/>
  <c r="X47" i="4" s="1"/>
  <c r="E97" i="3" s="1"/>
  <c r="S47" i="4"/>
  <c r="T47" i="4" s="1"/>
  <c r="E76" i="3" s="1"/>
  <c r="V107" i="4"/>
  <c r="W107" i="4" s="1"/>
  <c r="S107" i="4"/>
  <c r="R111" i="4"/>
  <c r="O111" i="4"/>
  <c r="P111" i="4" s="1"/>
  <c r="D43" i="3"/>
  <c r="B23" i="5"/>
  <c r="AE23" i="5" s="1"/>
  <c r="C25" i="3"/>
  <c r="P29" i="4"/>
  <c r="F55" i="3" s="1"/>
  <c r="J15" i="3"/>
  <c r="W17" i="3"/>
  <c r="G17" i="3"/>
  <c r="R70" i="4"/>
  <c r="O70" i="4"/>
  <c r="D38" i="3"/>
  <c r="M55" i="4"/>
  <c r="B18" i="5"/>
  <c r="AE18" i="5" s="1"/>
  <c r="J74" i="4"/>
  <c r="K74" i="4" s="1"/>
  <c r="L74" i="4" s="1"/>
  <c r="C20" i="3"/>
  <c r="M36" i="4"/>
  <c r="V115" i="4"/>
  <c r="W115" i="4" s="1"/>
  <c r="S115" i="4"/>
  <c r="R131" i="4"/>
  <c r="O131" i="4"/>
  <c r="P131" i="4" s="1"/>
  <c r="C25" i="5"/>
  <c r="C47" i="3"/>
  <c r="B19" i="5"/>
  <c r="AE19" i="5" s="1"/>
  <c r="J83" i="4"/>
  <c r="K83" i="4" s="1"/>
  <c r="L83" i="4" s="1"/>
  <c r="C21" i="3"/>
  <c r="X21" i="3" s="1"/>
  <c r="P66" i="4"/>
  <c r="F59" i="3" s="1"/>
  <c r="O23" i="4"/>
  <c r="R23" i="4"/>
  <c r="U92" i="4"/>
  <c r="D81" i="3"/>
  <c r="O112" i="4"/>
  <c r="R112" i="4"/>
  <c r="V140" i="4"/>
  <c r="W140" i="4" s="1"/>
  <c r="S140" i="4"/>
  <c r="L104" i="4"/>
  <c r="F43" i="3" s="1"/>
  <c r="X132" i="4"/>
  <c r="F106" i="3" s="1"/>
  <c r="R65" i="4"/>
  <c r="O65" i="4"/>
  <c r="P65" i="4" s="1"/>
  <c r="E59" i="3" s="1"/>
  <c r="D44" i="3"/>
  <c r="X28" i="4"/>
  <c r="E95" i="3" s="1"/>
  <c r="V29" i="4"/>
  <c r="W29" i="4" s="1"/>
  <c r="S29" i="4"/>
  <c r="S40" i="4"/>
  <c r="V40" i="4"/>
  <c r="W40" i="4" s="1"/>
  <c r="O55" i="4"/>
  <c r="P55" i="4" s="1"/>
  <c r="R55" i="4"/>
  <c r="W18" i="3"/>
  <c r="G18" i="3"/>
  <c r="O41" i="4"/>
  <c r="P37" i="4" s="1"/>
  <c r="E56" i="3" s="1"/>
  <c r="R41" i="4"/>
  <c r="O31" i="4"/>
  <c r="P27" i="4" s="1"/>
  <c r="R31" i="4"/>
  <c r="Y92" i="4"/>
  <c r="D102" i="3"/>
  <c r="E46" i="3"/>
  <c r="M130" i="4"/>
  <c r="V154" i="4"/>
  <c r="W154" i="4" s="1"/>
  <c r="X150" i="4" s="1"/>
  <c r="F108" i="3" s="1"/>
  <c r="S154" i="4"/>
  <c r="T150" i="4" s="1"/>
  <c r="F87" i="3" s="1"/>
  <c r="R116" i="4"/>
  <c r="O116" i="4"/>
  <c r="R19" i="4"/>
  <c r="O19" i="4"/>
  <c r="U74" i="4"/>
  <c r="D79" i="3"/>
  <c r="J14" i="3"/>
  <c r="V14" i="3"/>
  <c r="G14" i="3"/>
  <c r="R106" i="4"/>
  <c r="O106" i="4"/>
  <c r="O120" i="4"/>
  <c r="P120" i="4" s="1"/>
  <c r="R120" i="4"/>
  <c r="P140" i="4"/>
  <c r="R104" i="4"/>
  <c r="O104" i="4"/>
  <c r="T132" i="4"/>
  <c r="F85" i="3" s="1"/>
  <c r="C26" i="5"/>
  <c r="C48" i="3"/>
  <c r="T140" i="4" l="1"/>
  <c r="X113" i="4"/>
  <c r="F104" i="3" s="1"/>
  <c r="P104" i="4"/>
  <c r="F63" i="3" s="1"/>
  <c r="Q148" i="4"/>
  <c r="D68" i="3"/>
  <c r="V141" i="4"/>
  <c r="W141" i="4" s="1"/>
  <c r="X141" i="4" s="1"/>
  <c r="F107" i="3" s="1"/>
  <c r="S141" i="4"/>
  <c r="T141" i="4" s="1"/>
  <c r="F86" i="3" s="1"/>
  <c r="M46" i="4"/>
  <c r="C37" i="3" s="1"/>
  <c r="P19" i="4"/>
  <c r="E54" i="3" s="1"/>
  <c r="S148" i="4"/>
  <c r="T148" i="4" s="1"/>
  <c r="U148" i="4" s="1"/>
  <c r="V148" i="4"/>
  <c r="W148" i="4" s="1"/>
  <c r="X148" i="4" s="1"/>
  <c r="D108" i="3" s="1"/>
  <c r="P112" i="4"/>
  <c r="E64" i="3" s="1"/>
  <c r="S18" i="4"/>
  <c r="T18" i="4" s="1"/>
  <c r="D73" i="3" s="1"/>
  <c r="V18" i="4"/>
  <c r="W18" i="4" s="1"/>
  <c r="X18" i="4" s="1"/>
  <c r="D94" i="3" s="1"/>
  <c r="T103" i="4"/>
  <c r="E82" i="3" s="1"/>
  <c r="M111" i="4"/>
  <c r="C22" i="5" s="1"/>
  <c r="Q120" i="4"/>
  <c r="D65" i="3"/>
  <c r="V41" i="4"/>
  <c r="W41" i="4" s="1"/>
  <c r="X37" i="4" s="1"/>
  <c r="E96" i="3" s="1"/>
  <c r="S41" i="4"/>
  <c r="T37" i="4" s="1"/>
  <c r="E75" i="3" s="1"/>
  <c r="S131" i="4"/>
  <c r="T131" i="4" s="1"/>
  <c r="V131" i="4"/>
  <c r="W131" i="4" s="1"/>
  <c r="X131" i="4" s="1"/>
  <c r="J16" i="3"/>
  <c r="X20" i="3"/>
  <c r="G25" i="3"/>
  <c r="Y25" i="3"/>
  <c r="D64" i="3"/>
  <c r="S64" i="4"/>
  <c r="T64" i="4" s="1"/>
  <c r="V64" i="4"/>
  <c r="W64" i="4" s="1"/>
  <c r="X64" i="4" s="1"/>
  <c r="D57" i="3"/>
  <c r="V52" i="4"/>
  <c r="W52" i="4" s="1"/>
  <c r="S52" i="4"/>
  <c r="X36" i="4"/>
  <c r="S33" i="4"/>
  <c r="T29" i="4" s="1"/>
  <c r="F74" i="3" s="1"/>
  <c r="V33" i="4"/>
  <c r="W33" i="4" s="1"/>
  <c r="X29" i="4" s="1"/>
  <c r="F95" i="3" s="1"/>
  <c r="V57" i="4"/>
  <c r="W57" i="4" s="1"/>
  <c r="X57" i="4" s="1"/>
  <c r="F98" i="3" s="1"/>
  <c r="S57" i="4"/>
  <c r="T57" i="4" s="1"/>
  <c r="F77" i="3" s="1"/>
  <c r="C13" i="5"/>
  <c r="C35" i="3"/>
  <c r="S55" i="4"/>
  <c r="T55" i="4" s="1"/>
  <c r="V55" i="4"/>
  <c r="W55" i="4" s="1"/>
  <c r="X55" i="4" s="1"/>
  <c r="C44" i="3"/>
  <c r="S19" i="4"/>
  <c r="V19" i="4"/>
  <c r="W19" i="4" s="1"/>
  <c r="Q64" i="4"/>
  <c r="D59" i="3"/>
  <c r="C12" i="5"/>
  <c r="C34" i="3"/>
  <c r="T36" i="4"/>
  <c r="S102" i="4"/>
  <c r="V102" i="4"/>
  <c r="W102" i="4" s="1"/>
  <c r="C23" i="5"/>
  <c r="C45" i="3"/>
  <c r="I18" i="5"/>
  <c r="C100" i="3"/>
  <c r="G48" i="3"/>
  <c r="Z48" i="3"/>
  <c r="I20" i="5"/>
  <c r="C102" i="3"/>
  <c r="X102" i="3" s="1"/>
  <c r="D58" i="3"/>
  <c r="Q55" i="4"/>
  <c r="E86" i="3"/>
  <c r="S111" i="4"/>
  <c r="T111" i="4" s="1"/>
  <c r="V111" i="4"/>
  <c r="W111" i="4" s="1"/>
  <c r="X111" i="4" s="1"/>
  <c r="AD26" i="5"/>
  <c r="D26" i="5"/>
  <c r="V106" i="4"/>
  <c r="W106" i="4" s="1"/>
  <c r="S106" i="4"/>
  <c r="C24" i="5"/>
  <c r="C46" i="3"/>
  <c r="V31" i="4"/>
  <c r="W31" i="4" s="1"/>
  <c r="X27" i="4" s="1"/>
  <c r="S31" i="4"/>
  <c r="T27" i="4" s="1"/>
  <c r="S65" i="4"/>
  <c r="T65" i="4" s="1"/>
  <c r="E78" i="3" s="1"/>
  <c r="V65" i="4"/>
  <c r="W65" i="4" s="1"/>
  <c r="X65" i="4" s="1"/>
  <c r="E99" i="3" s="1"/>
  <c r="X140" i="4"/>
  <c r="G20" i="5"/>
  <c r="C81" i="3"/>
  <c r="X81" i="3" s="1"/>
  <c r="AD25" i="5"/>
  <c r="D25" i="5"/>
  <c r="V70" i="4"/>
  <c r="W70" i="4" s="1"/>
  <c r="X66" i="4" s="1"/>
  <c r="F99" i="3" s="1"/>
  <c r="S70" i="4"/>
  <c r="T66" i="4" s="1"/>
  <c r="F78" i="3" s="1"/>
  <c r="Q36" i="4"/>
  <c r="X103" i="4"/>
  <c r="E103" i="3" s="1"/>
  <c r="D87" i="3"/>
  <c r="W19" i="3"/>
  <c r="G19" i="3"/>
  <c r="P48" i="4"/>
  <c r="F57" i="3" s="1"/>
  <c r="C17" i="5"/>
  <c r="C39" i="3"/>
  <c r="J56" i="3"/>
  <c r="X60" i="3"/>
  <c r="P102" i="4"/>
  <c r="G19" i="5"/>
  <c r="C80" i="3"/>
  <c r="X80" i="3" s="1"/>
  <c r="S104" i="4"/>
  <c r="V104" i="4"/>
  <c r="W104" i="4" s="1"/>
  <c r="G47" i="3"/>
  <c r="Z47" i="3"/>
  <c r="M74" i="4"/>
  <c r="D40" i="3"/>
  <c r="E67" i="3"/>
  <c r="Q139" i="4"/>
  <c r="S120" i="4"/>
  <c r="T120" i="4" s="1"/>
  <c r="V120" i="4"/>
  <c r="W120" i="4" s="1"/>
  <c r="X120" i="4" s="1"/>
  <c r="G18" i="5"/>
  <c r="C79" i="3"/>
  <c r="V116" i="4"/>
  <c r="W116" i="4" s="1"/>
  <c r="S116" i="4"/>
  <c r="D55" i="3"/>
  <c r="Q27" i="4"/>
  <c r="S112" i="4"/>
  <c r="V112" i="4"/>
  <c r="W112" i="4" s="1"/>
  <c r="V23" i="4"/>
  <c r="W23" i="4" s="1"/>
  <c r="S23" i="4"/>
  <c r="M83" i="4"/>
  <c r="D41" i="3"/>
  <c r="E66" i="3"/>
  <c r="Q130" i="4"/>
  <c r="C14" i="5"/>
  <c r="C36" i="3"/>
  <c r="C16" i="5"/>
  <c r="C38" i="3"/>
  <c r="M102" i="4"/>
  <c r="I19" i="5"/>
  <c r="C101" i="3"/>
  <c r="X101" i="3" s="1"/>
  <c r="F20" i="5"/>
  <c r="AC20" i="5"/>
  <c r="V50" i="4"/>
  <c r="W50" i="4" s="1"/>
  <c r="X46" i="4" s="1"/>
  <c r="S50" i="4"/>
  <c r="T46" i="4" s="1"/>
  <c r="V48" i="4"/>
  <c r="W48" i="4" s="1"/>
  <c r="S48" i="4"/>
  <c r="F18" i="5"/>
  <c r="AC18" i="5"/>
  <c r="C20" i="5"/>
  <c r="C42" i="3"/>
  <c r="X42" i="3" s="1"/>
  <c r="J17" i="3"/>
  <c r="G23" i="3"/>
  <c r="Y23" i="3"/>
  <c r="F19" i="5"/>
  <c r="AC19" i="5"/>
  <c r="V108" i="4"/>
  <c r="W108" i="4" s="1"/>
  <c r="S108" i="4"/>
  <c r="Q18" i="4"/>
  <c r="E26" i="5"/>
  <c r="C68" i="3"/>
  <c r="C15" i="5" l="1"/>
  <c r="Y148" i="4"/>
  <c r="Q111" i="4"/>
  <c r="E22" i="5" s="1"/>
  <c r="X112" i="4"/>
  <c r="E104" i="3" s="1"/>
  <c r="T48" i="4"/>
  <c r="F76" i="3" s="1"/>
  <c r="X48" i="4"/>
  <c r="F97" i="3" s="1"/>
  <c r="U139" i="4"/>
  <c r="G68" i="3"/>
  <c r="Z68" i="3"/>
  <c r="D76" i="3"/>
  <c r="D97" i="3"/>
  <c r="E12" i="5"/>
  <c r="C54" i="3"/>
  <c r="C21" i="5"/>
  <c r="C43" i="3"/>
  <c r="D14" i="5"/>
  <c r="AD14" i="5"/>
  <c r="C19" i="5"/>
  <c r="C28" i="5" s="1"/>
  <c r="C41" i="3"/>
  <c r="X41" i="3" s="1"/>
  <c r="T112" i="4"/>
  <c r="E83" i="3" s="1"/>
  <c r="U120" i="4"/>
  <c r="D84" i="3"/>
  <c r="C18" i="5"/>
  <c r="C40" i="3"/>
  <c r="T104" i="4"/>
  <c r="F82" i="3" s="1"/>
  <c r="Q102" i="4"/>
  <c r="D63" i="3"/>
  <c r="AD17" i="5"/>
  <c r="D17" i="5"/>
  <c r="AD24" i="5"/>
  <c r="D24" i="5"/>
  <c r="J20" i="5"/>
  <c r="AA20" i="5"/>
  <c r="K20" i="5"/>
  <c r="J18" i="5"/>
  <c r="AA18" i="5"/>
  <c r="K18" i="5"/>
  <c r="I26" i="5"/>
  <c r="C108" i="3"/>
  <c r="E17" i="5"/>
  <c r="C59" i="3"/>
  <c r="G44" i="3"/>
  <c r="Y44" i="3"/>
  <c r="V35" i="3"/>
  <c r="G35" i="3"/>
  <c r="Y36" i="4"/>
  <c r="D96" i="3"/>
  <c r="AD20" i="5"/>
  <c r="D20" i="5"/>
  <c r="W38" i="3"/>
  <c r="G38" i="3"/>
  <c r="E24" i="5"/>
  <c r="C66" i="3"/>
  <c r="E13" i="5"/>
  <c r="C55" i="3"/>
  <c r="X79" i="3"/>
  <c r="J75" i="3"/>
  <c r="E25" i="5"/>
  <c r="C67" i="3"/>
  <c r="G26" i="5"/>
  <c r="C87" i="3"/>
  <c r="AB20" i="5"/>
  <c r="H20" i="5"/>
  <c r="U27" i="4"/>
  <c r="D74" i="3"/>
  <c r="Y111" i="4"/>
  <c r="D104" i="3"/>
  <c r="E16" i="5"/>
  <c r="C58" i="3"/>
  <c r="G45" i="3"/>
  <c r="Y45" i="3"/>
  <c r="X102" i="4"/>
  <c r="V34" i="3"/>
  <c r="G34" i="3"/>
  <c r="J34" i="3"/>
  <c r="AD22" i="5"/>
  <c r="D22" i="5"/>
  <c r="D13" i="5"/>
  <c r="AD13" i="5"/>
  <c r="Q46" i="4"/>
  <c r="C64" i="3"/>
  <c r="AB18" i="5"/>
  <c r="H18" i="5"/>
  <c r="E107" i="3"/>
  <c r="Y139" i="4"/>
  <c r="Y27" i="4"/>
  <c r="D95" i="3"/>
  <c r="U111" i="4"/>
  <c r="D83" i="3"/>
  <c r="AD23" i="5"/>
  <c r="D23" i="5"/>
  <c r="T102" i="4"/>
  <c r="D12" i="5"/>
  <c r="AD12" i="5"/>
  <c r="X19" i="4"/>
  <c r="Y55" i="4"/>
  <c r="D98" i="3"/>
  <c r="W37" i="3"/>
  <c r="G37" i="3"/>
  <c r="J35" i="3"/>
  <c r="Y64" i="4"/>
  <c r="D99" i="3"/>
  <c r="E106" i="3"/>
  <c r="Y130" i="4"/>
  <c r="D16" i="5"/>
  <c r="AD16" i="5"/>
  <c r="F26" i="5"/>
  <c r="AC26" i="5"/>
  <c r="J19" i="5"/>
  <c r="AA19" i="5"/>
  <c r="K19" i="5"/>
  <c r="V36" i="3"/>
  <c r="G36" i="3"/>
  <c r="Y120" i="4"/>
  <c r="D105" i="3"/>
  <c r="X104" i="4"/>
  <c r="F103" i="3" s="1"/>
  <c r="AB19" i="5"/>
  <c r="H19" i="5"/>
  <c r="G39" i="3"/>
  <c r="W39" i="3"/>
  <c r="E14" i="5"/>
  <c r="C56" i="3"/>
  <c r="G46" i="3"/>
  <c r="J38" i="3"/>
  <c r="Z46" i="3"/>
  <c r="G25" i="5"/>
  <c r="C86" i="3"/>
  <c r="J96" i="3"/>
  <c r="X100" i="3"/>
  <c r="D75" i="3"/>
  <c r="U36" i="4"/>
  <c r="T19" i="4"/>
  <c r="U55" i="4"/>
  <c r="D77" i="3"/>
  <c r="D15" i="5"/>
  <c r="AD15" i="5"/>
  <c r="U64" i="4"/>
  <c r="D78" i="3"/>
  <c r="E85" i="3"/>
  <c r="U130" i="4"/>
  <c r="E23" i="5"/>
  <c r="C65" i="3"/>
  <c r="U46" i="4" l="1"/>
  <c r="Y46" i="4"/>
  <c r="G14" i="5"/>
  <c r="C75" i="3"/>
  <c r="G86" i="3"/>
  <c r="Z86" i="3"/>
  <c r="U102" i="4"/>
  <c r="D82" i="3"/>
  <c r="W58" i="3"/>
  <c r="G58" i="3"/>
  <c r="G87" i="3"/>
  <c r="Z87" i="3"/>
  <c r="G66" i="3"/>
  <c r="Z66" i="3"/>
  <c r="J58" i="3"/>
  <c r="W59" i="3"/>
  <c r="G59" i="3"/>
  <c r="J54" i="3"/>
  <c r="V54" i="3"/>
  <c r="G54" i="3"/>
  <c r="G65" i="3"/>
  <c r="Y65" i="3"/>
  <c r="V56" i="3"/>
  <c r="G56" i="3"/>
  <c r="I23" i="5"/>
  <c r="C105" i="3"/>
  <c r="Y102" i="4"/>
  <c r="D103" i="3"/>
  <c r="AC16" i="5"/>
  <c r="F16" i="5"/>
  <c r="AB26" i="5"/>
  <c r="H26" i="5"/>
  <c r="F24" i="5"/>
  <c r="AC24" i="5"/>
  <c r="F23" i="5"/>
  <c r="AC23" i="5"/>
  <c r="G17" i="5"/>
  <c r="C78" i="3"/>
  <c r="G16" i="5"/>
  <c r="C77" i="3"/>
  <c r="AC14" i="5"/>
  <c r="F14" i="5"/>
  <c r="I17" i="5"/>
  <c r="C99" i="3"/>
  <c r="I13" i="5"/>
  <c r="C95" i="3"/>
  <c r="G67" i="3"/>
  <c r="Z67" i="3"/>
  <c r="V55" i="3"/>
  <c r="G55" i="3"/>
  <c r="Z108" i="3"/>
  <c r="G108" i="3"/>
  <c r="AD18" i="5"/>
  <c r="D18" i="5"/>
  <c r="G43" i="3"/>
  <c r="Y43" i="3"/>
  <c r="J37" i="3"/>
  <c r="E94" i="3"/>
  <c r="Y18" i="4"/>
  <c r="G22" i="5"/>
  <c r="C83" i="3"/>
  <c r="F22" i="5"/>
  <c r="AC22" i="5"/>
  <c r="G23" i="5"/>
  <c r="C84" i="3"/>
  <c r="G15" i="5"/>
  <c r="C76" i="3"/>
  <c r="AB25" i="5"/>
  <c r="H25" i="5"/>
  <c r="E15" i="5"/>
  <c r="C57" i="3"/>
  <c r="G13" i="5"/>
  <c r="C74" i="3"/>
  <c r="F17" i="5"/>
  <c r="AC17" i="5"/>
  <c r="X40" i="3"/>
  <c r="J36" i="3"/>
  <c r="AC12" i="5"/>
  <c r="F12" i="5"/>
  <c r="G24" i="5"/>
  <c r="C85" i="3"/>
  <c r="E73" i="3"/>
  <c r="U18" i="4"/>
  <c r="I24" i="5"/>
  <c r="C106" i="3"/>
  <c r="I16" i="5"/>
  <c r="C98" i="3"/>
  <c r="I25" i="5"/>
  <c r="C107" i="3"/>
  <c r="G64" i="3"/>
  <c r="Y64" i="3"/>
  <c r="I22" i="5"/>
  <c r="C104" i="3"/>
  <c r="F25" i="5"/>
  <c r="AC25" i="5"/>
  <c r="AC13" i="5"/>
  <c r="F13" i="5"/>
  <c r="I14" i="5"/>
  <c r="C96" i="3"/>
  <c r="J26" i="5"/>
  <c r="AA26" i="5"/>
  <c r="K26" i="5"/>
  <c r="E21" i="5"/>
  <c r="C63" i="3"/>
  <c r="AD19" i="5"/>
  <c r="D19" i="5"/>
  <c r="AD21" i="5"/>
  <c r="D21" i="5"/>
  <c r="I15" i="5"/>
  <c r="C97" i="3"/>
  <c r="E28" i="5" l="1"/>
  <c r="K16" i="5"/>
  <c r="J16" i="5"/>
  <c r="AA16" i="5"/>
  <c r="W76" i="3"/>
  <c r="G76" i="3"/>
  <c r="J74" i="3"/>
  <c r="J57" i="3"/>
  <c r="G63" i="3"/>
  <c r="Y63" i="3"/>
  <c r="J22" i="5"/>
  <c r="AA22" i="5"/>
  <c r="K22" i="5"/>
  <c r="J25" i="5"/>
  <c r="AA25" i="5"/>
  <c r="K25" i="5"/>
  <c r="J24" i="5"/>
  <c r="AA24" i="5"/>
  <c r="K24" i="5"/>
  <c r="AB24" i="5"/>
  <c r="H24" i="5"/>
  <c r="V74" i="3"/>
  <c r="G74" i="3"/>
  <c r="G84" i="3"/>
  <c r="Y84" i="3"/>
  <c r="G83" i="3"/>
  <c r="Y83" i="3"/>
  <c r="K13" i="5"/>
  <c r="J13" i="5"/>
  <c r="AA13" i="5"/>
  <c r="G78" i="3"/>
  <c r="W78" i="3"/>
  <c r="G105" i="3"/>
  <c r="Y105" i="3"/>
  <c r="G12" i="5"/>
  <c r="C73" i="3"/>
  <c r="AB13" i="5"/>
  <c r="H13" i="5"/>
  <c r="AB23" i="5"/>
  <c r="H23" i="5"/>
  <c r="AB22" i="5"/>
  <c r="H22" i="5"/>
  <c r="AB17" i="5"/>
  <c r="H17" i="5"/>
  <c r="J23" i="5"/>
  <c r="AA23" i="5"/>
  <c r="K23" i="5"/>
  <c r="F21" i="5"/>
  <c r="AC21" i="5"/>
  <c r="W98" i="3"/>
  <c r="G98" i="3"/>
  <c r="W97" i="3"/>
  <c r="G97" i="3"/>
  <c r="J95" i="3"/>
  <c r="K14" i="5"/>
  <c r="J14" i="5"/>
  <c r="AA14" i="5"/>
  <c r="G99" i="3"/>
  <c r="W99" i="3"/>
  <c r="V75" i="3"/>
  <c r="G75" i="3"/>
  <c r="V96" i="3"/>
  <c r="G96" i="3"/>
  <c r="J55" i="3"/>
  <c r="W57" i="3"/>
  <c r="G57" i="3"/>
  <c r="I12" i="5"/>
  <c r="C94" i="3"/>
  <c r="W77" i="3"/>
  <c r="G77" i="3"/>
  <c r="K15" i="5"/>
  <c r="J15" i="5"/>
  <c r="AA15" i="5"/>
  <c r="Y104" i="3"/>
  <c r="G104" i="3"/>
  <c r="G107" i="3"/>
  <c r="Z107" i="3"/>
  <c r="Z106" i="3"/>
  <c r="J98" i="3"/>
  <c r="G106" i="3"/>
  <c r="G85" i="3"/>
  <c r="J77" i="3"/>
  <c r="Z85" i="3"/>
  <c r="AC15" i="5"/>
  <c r="F15" i="5"/>
  <c r="AB15" i="5"/>
  <c r="H15" i="5"/>
  <c r="V95" i="3"/>
  <c r="G95" i="3"/>
  <c r="K17" i="5"/>
  <c r="AA17" i="5"/>
  <c r="J17" i="5"/>
  <c r="AB16" i="5"/>
  <c r="H16" i="5"/>
  <c r="I21" i="5"/>
  <c r="C103" i="3"/>
  <c r="G21" i="5"/>
  <c r="C82" i="3"/>
  <c r="AB14" i="5"/>
  <c r="H14" i="5"/>
  <c r="J97" i="3" l="1"/>
  <c r="G103" i="3"/>
  <c r="Y103" i="3"/>
  <c r="J94" i="3"/>
  <c r="V94" i="3"/>
  <c r="G94" i="3"/>
  <c r="V73" i="3"/>
  <c r="G73" i="3"/>
  <c r="J73" i="3"/>
  <c r="J21" i="5"/>
  <c r="AA21" i="5"/>
  <c r="K21" i="5"/>
  <c r="I28" i="5"/>
  <c r="K12" i="5"/>
  <c r="J12" i="5"/>
  <c r="AA12" i="5"/>
  <c r="G28" i="5"/>
  <c r="AB12" i="5"/>
  <c r="H12" i="5"/>
  <c r="G82" i="3"/>
  <c r="Y82" i="3"/>
  <c r="J76" i="3"/>
  <c r="AB21" i="5"/>
  <c r="H21" i="5"/>
  <c r="K28" i="5" l="1"/>
  <c r="G29" i="5"/>
  <c r="I29" i="5"/>
  <c r="K29" i="5" l="1"/>
  <c r="C29" i="5"/>
  <c r="E29" i="5"/>
</calcChain>
</file>

<file path=xl/sharedStrings.xml><?xml version="1.0" encoding="utf-8"?>
<sst xmlns="http://schemas.openxmlformats.org/spreadsheetml/2006/main" count="1329" uniqueCount="561">
  <si>
    <t xml:space="preserve">OWASP Software Assurance Maturity Model (SAMM) </t>
  </si>
  <si>
    <t>Version:</t>
  </si>
  <si>
    <t>2.0</t>
  </si>
  <si>
    <t>Description:</t>
  </si>
  <si>
    <t>Our mission is to provide an effective and measurable way for all types of organizations to analyze and improve their software security posture. We want to raise awareness and educate organizations on how to design, develop, and deploy secure software through our self-assessment model.</t>
  </si>
  <si>
    <t>License:</t>
  </si>
  <si>
    <t>Creative Commons Attribution-ShareAlike 4.0 License</t>
  </si>
  <si>
    <t>This work is licensed under the Creative Commons Attribution-Share Alike 3.0 License. To view a copy of this license, visit http://creativecommons.org/licenses/by-sa/3.0/legalcode; or, (b) send a letter to Creative Commons, 171 2nd Street, Suite 300, San Francisco, California, 94105, USA.</t>
  </si>
  <si>
    <t>Element:</t>
  </si>
  <si>
    <t>Toolbox for v2.0</t>
  </si>
  <si>
    <t>Authors:</t>
  </si>
  <si>
    <t>Yan Kravchenko</t>
  </si>
  <si>
    <t>Contributors:</t>
  </si>
  <si>
    <t>The SAMM project team</t>
  </si>
  <si>
    <t>Toolbox for v1.5</t>
  </si>
  <si>
    <t>Brian Glas</t>
  </si>
  <si>
    <t>Roadmap Chart Template v1.0</t>
  </si>
  <si>
    <t>Author:</t>
  </si>
  <si>
    <t>Colin Watson</t>
  </si>
  <si>
    <t>Aidan Lynch</t>
  </si>
  <si>
    <t>Interview Template v1.0</t>
  </si>
  <si>
    <t>Author(s):</t>
  </si>
  <si>
    <t>Nick Coblentz, Eoin Keary, and Seba Deleersnyder</t>
  </si>
  <si>
    <t>SAMM</t>
  </si>
  <si>
    <t>The Software Assurance Maturity Model (SAMM) was created by Pravir Chandra and is now an Open Web Application Security Project (OWASP) project.</t>
  </si>
  <si>
    <t>SAMM is licensed under the Creative Commons Attribution-Share Alike 4.0 License</t>
  </si>
  <si>
    <t>https://owaspsamm.org/</t>
  </si>
  <si>
    <t>Instructions</t>
  </si>
  <si>
    <t>Add your name (cell D14) and start time (cell I14).</t>
  </si>
  <si>
    <t>very easy</t>
  </si>
  <si>
    <t>very confident</t>
  </si>
  <si>
    <t>easy</t>
  </si>
  <si>
    <t>confident</t>
  </si>
  <si>
    <t>If you answer at least one question in a Stream (column F), also answer how easy it was for you to answer (column L) and how confident you were to answer it (column M). If you are not able to answer a question in a Stream, leave it blank.</t>
  </si>
  <si>
    <t>difficult</t>
  </si>
  <si>
    <t>unconfident</t>
  </si>
  <si>
    <t>If you are not familiar with a Stream at all, you may choose to leave the entire Stream blank.</t>
  </si>
  <si>
    <t>very difficult</t>
  </si>
  <si>
    <t>very unconfident</t>
  </si>
  <si>
    <t>Add end time and the bottom (cell I232).</t>
  </si>
  <si>
    <t>Organization:</t>
  </si>
  <si>
    <t>Team/Application:</t>
  </si>
  <si>
    <t>Interview Date:</t>
  </si>
  <si>
    <t xml:space="preserve">Team Lead: </t>
  </si>
  <si>
    <t>Name:</t>
  </si>
  <si>
    <t>Start Time (hh:mm):</t>
  </si>
  <si>
    <t>How easy was it for you to answer the questions in this stream?</t>
  </si>
  <si>
    <t>How confident are you with your answers to the questions in this stream?</t>
  </si>
  <si>
    <t>Governance</t>
  </si>
  <si>
    <t>Stream</t>
  </si>
  <si>
    <t>Level</t>
  </si>
  <si>
    <t>Strategy &amp; Metrics</t>
  </si>
  <si>
    <t>Answer</t>
  </si>
  <si>
    <t>Comments</t>
  </si>
  <si>
    <t>Rating</t>
  </si>
  <si>
    <t>G-SM-A-1-1</t>
  </si>
  <si>
    <t>Yes, it covers organization-specific risks</t>
  </si>
  <si>
    <t>G-SM-A-2-1</t>
  </si>
  <si>
    <t>Yes, we consult the plan before making significant decisions</t>
  </si>
  <si>
    <t>G-SM-A-3-1</t>
  </si>
  <si>
    <t>Yes, but review is ad-hoc</t>
  </si>
  <si>
    <t>G-SM-B-1-1</t>
  </si>
  <si>
    <t>Yes, for all three metrics categories</t>
  </si>
  <si>
    <t>G-SM-B-2-1</t>
  </si>
  <si>
    <t>No</t>
  </si>
  <si>
    <t>G-SM-B-3-1</t>
  </si>
  <si>
    <t>Policy &amp; Compliance</t>
  </si>
  <si>
    <t>G-PC-A-1-1</t>
  </si>
  <si>
    <t>Yes, for most or all of the applications</t>
  </si>
  <si>
    <t>G-PC-A-2-1</t>
  </si>
  <si>
    <t>Yes, some content</t>
  </si>
  <si>
    <t>G-PC-A-3-1</t>
  </si>
  <si>
    <t>Yes, we report at regular times</t>
  </si>
  <si>
    <t>G-PC-B-1-1</t>
  </si>
  <si>
    <t>G-PC-B-2-1</t>
  </si>
  <si>
    <t>Yes, for at least half of the obligations</t>
  </si>
  <si>
    <t>G-PC-B-3-1</t>
  </si>
  <si>
    <t>Education &amp; Guidance</t>
  </si>
  <si>
    <t>G-EG-A-1-1</t>
  </si>
  <si>
    <t>Yes, some of them</t>
  </si>
  <si>
    <t>G-EG-A-2-1</t>
  </si>
  <si>
    <t>Yes, for at least half of the training</t>
  </si>
  <si>
    <t>G-EG-A-3-1</t>
  </si>
  <si>
    <t>Yes, for most or all of the training</t>
  </si>
  <si>
    <t>G-EG-B-1-1</t>
  </si>
  <si>
    <t>Yes, for most or all of the teams</t>
  </si>
  <si>
    <t>Team Security Master</t>
  </si>
  <si>
    <t>G-EG-B-2-1</t>
  </si>
  <si>
    <t>Yes, for the entire organization</t>
  </si>
  <si>
    <t>G-EG-B-3-1</t>
  </si>
  <si>
    <t>Yes, for part of the organization</t>
  </si>
  <si>
    <t>Design</t>
  </si>
  <si>
    <t>Threat Assessment</t>
  </si>
  <si>
    <t>D-TA-A-1-1</t>
  </si>
  <si>
    <t>Yes, most or all of them</t>
  </si>
  <si>
    <t>D-TA-A-2-1</t>
  </si>
  <si>
    <t>D-TA-A-3-1</t>
  </si>
  <si>
    <t>Yes, sporadically</t>
  </si>
  <si>
    <t>D-TA-B-1-1</t>
  </si>
  <si>
    <t>D-TA-B-2-1</t>
  </si>
  <si>
    <t>Security Masters / 
Team Security Masters</t>
  </si>
  <si>
    <t>D-TA-B-3-1</t>
  </si>
  <si>
    <t>Security Requirements</t>
  </si>
  <si>
    <t>D-SR-A-1-1</t>
  </si>
  <si>
    <t>D-SR-A-2-1</t>
  </si>
  <si>
    <t>Yes, most or all of the time</t>
  </si>
  <si>
    <t>D-SR-A-3-1</t>
  </si>
  <si>
    <t>D-SR-B-1-1</t>
  </si>
  <si>
    <t>D-SR-B-2-1</t>
  </si>
  <si>
    <t>Yes, some of the time</t>
  </si>
  <si>
    <t>D-SR-B-3-1</t>
  </si>
  <si>
    <t>Secure Architecture</t>
  </si>
  <si>
    <t>D-SA-A-1-1</t>
  </si>
  <si>
    <t>D-SA-A-2-1</t>
  </si>
  <si>
    <t>Yes, for some applications</t>
  </si>
  <si>
    <t>D-SA-A-3-1</t>
  </si>
  <si>
    <t>D-SA-B-1-1</t>
  </si>
  <si>
    <t>D-SA-B-2-1</t>
  </si>
  <si>
    <t>Yes, for at least half of the technology domains</t>
  </si>
  <si>
    <t>D-SA-B-3-1</t>
  </si>
  <si>
    <t>Implementation</t>
  </si>
  <si>
    <t>Secure Build</t>
  </si>
  <si>
    <t>I-SB-A-1-1</t>
  </si>
  <si>
    <t>I-SB-A-2-1</t>
  </si>
  <si>
    <t>Yes, for at least half of the applications</t>
  </si>
  <si>
    <t>I-SB-A-3-1</t>
  </si>
  <si>
    <t>I-SB-B-1-1</t>
  </si>
  <si>
    <t>I-SB-B-2-1</t>
  </si>
  <si>
    <t>I-SB-B-3-1</t>
  </si>
  <si>
    <t>Secure Deployment</t>
  </si>
  <si>
    <t>I-SD-A-1-1</t>
  </si>
  <si>
    <t>I-SD-A-2-1</t>
  </si>
  <si>
    <t>I-SD-A-3-1</t>
  </si>
  <si>
    <t>I-SD-B-1-1</t>
  </si>
  <si>
    <t>I-SD-B-2-1</t>
  </si>
  <si>
    <t>Oracle secrets stored in encrypted vault for instance</t>
  </si>
  <si>
    <t>I-SD-B-3-1</t>
  </si>
  <si>
    <t>Defect Management</t>
  </si>
  <si>
    <t>I-DM-A-1-1</t>
  </si>
  <si>
    <t>I-DM-A-2-1</t>
  </si>
  <si>
    <t>I-DM-A-3-1</t>
  </si>
  <si>
    <t>I-DM-B-1-1</t>
  </si>
  <si>
    <t>I-DM-B-2-1</t>
  </si>
  <si>
    <t>I-DM-B-3-1</t>
  </si>
  <si>
    <t>Verification</t>
  </si>
  <si>
    <t>Architecture Assessment</t>
  </si>
  <si>
    <t>V-AA-A-1-1</t>
  </si>
  <si>
    <t>V-AA-A-2-1</t>
  </si>
  <si>
    <t>V-AA-A-3-1</t>
  </si>
  <si>
    <t>V-AA-B-1-1</t>
  </si>
  <si>
    <t>V-AA-B-2-1</t>
  </si>
  <si>
    <t>V-AA-B-3-1</t>
  </si>
  <si>
    <t>Requirements Testing</t>
  </si>
  <si>
    <t>V-RT-A-1-1</t>
  </si>
  <si>
    <t>V-RT-A-2-1</t>
  </si>
  <si>
    <t>V-RT-A-3-1</t>
  </si>
  <si>
    <t>V-RT-B-1-1</t>
  </si>
  <si>
    <t>V-RT-B-2-1</t>
  </si>
  <si>
    <t>V-RT-B-3-1</t>
  </si>
  <si>
    <t>Security Testing</t>
  </si>
  <si>
    <t>V-ST-A-1-1</t>
  </si>
  <si>
    <t>Yes, at least half of them</t>
  </si>
  <si>
    <t>V-ST-A-2-1</t>
  </si>
  <si>
    <t>V-ST-A-3-1</t>
  </si>
  <si>
    <t>Yes, some of it</t>
  </si>
  <si>
    <t>V-ST-B-1-1</t>
  </si>
  <si>
    <t>V-ST-B-2-1</t>
  </si>
  <si>
    <t>V-ST-B-3-1</t>
  </si>
  <si>
    <t>Operations</t>
  </si>
  <si>
    <t>Incident Management</t>
  </si>
  <si>
    <t>O-IM-A-1-1</t>
  </si>
  <si>
    <t>O-IM-A-2-1</t>
  </si>
  <si>
    <t>O-IM-A-3-1</t>
  </si>
  <si>
    <t>O-IM-B-1-1</t>
  </si>
  <si>
    <t>O-IM-B-2-1</t>
  </si>
  <si>
    <t>O-IM-B-3-1</t>
  </si>
  <si>
    <t>Environment Management</t>
  </si>
  <si>
    <t>O-EM-A-1-1</t>
  </si>
  <si>
    <t>Yes, for at least half of the components</t>
  </si>
  <si>
    <t>O-EM-A-2-1</t>
  </si>
  <si>
    <t>Yes, for some components</t>
  </si>
  <si>
    <t>O-EM-A-3-1</t>
  </si>
  <si>
    <t>O-EM-B-1-1</t>
  </si>
  <si>
    <t>O-EM-B-2-1</t>
  </si>
  <si>
    <t>O-EM-B-3-1</t>
  </si>
  <si>
    <t>Operational Management</t>
  </si>
  <si>
    <t>O-OM-A-1-1</t>
  </si>
  <si>
    <t>O-OM-A-2-1</t>
  </si>
  <si>
    <t>O-OM-A-3-1</t>
  </si>
  <si>
    <t>O-OM-B-1-1</t>
  </si>
  <si>
    <t>O-OM-B-2-1</t>
  </si>
  <si>
    <t>O-OM-B-3-1</t>
  </si>
  <si>
    <t>End Time (hh:mm):</t>
  </si>
  <si>
    <t>Libreoffice crashes caused fatigue. Didnt answe it all in one sitting.</t>
  </si>
  <si>
    <r>
      <rPr>
        <b/>
        <sz val="10"/>
        <rFont val="Trebuchet MS"/>
        <family val="2"/>
      </rPr>
      <t xml:space="preserve">Notes:
</t>
    </r>
    <r>
      <rPr>
        <sz val="10"/>
        <rFont val="Trebuchet MS"/>
        <family val="2"/>
      </rPr>
      <t>Data in this worksheet is automatically imported from the Interview and Roadmap worksheets and will automatically update when changed in the respective worksheets.  This is mostly a read-only worksheet, changes should be made in Interview or Roadmap worksheets.</t>
    </r>
  </si>
  <si>
    <t>Current Maturity Score</t>
  </si>
  <si>
    <t>Maturity</t>
  </si>
  <si>
    <t>Business Functions</t>
  </si>
  <si>
    <t>Security Practices</t>
  </si>
  <si>
    <t>Current</t>
  </si>
  <si>
    <t>Translated Value</t>
  </si>
  <si>
    <t>Phase 1 Maturity Score</t>
  </si>
  <si>
    <t>Phase 2 Maturity Score</t>
  </si>
  <si>
    <t>Phase 3 Maturity Score</t>
  </si>
  <si>
    <t>Phase 4 Maturity Score</t>
  </si>
  <si>
    <t>Interview an individual based on the questions below organized according to SAMM Business Functions and Security Practices.</t>
  </si>
  <si>
    <t>Select the best answer from the multiple choice drop down selections in the answer column.</t>
  </si>
  <si>
    <t>Document additional information such as how and why in the "Interview Notes" column.</t>
  </si>
  <si>
    <t>The formulas in hidden columns F-H will calculate the scores and update the Rating boxes and other worksheets as needed.</t>
  </si>
  <si>
    <t>Once the interview is complete, go to the "Scorecard" sheet and follow instructions.</t>
  </si>
  <si>
    <t>Phase I</t>
  </si>
  <si>
    <t>Phase II</t>
  </si>
  <si>
    <t>Phase III</t>
  </si>
  <si>
    <t>Phase IV</t>
  </si>
  <si>
    <t>Software Assurance Maturity Model (SAMM) Roadmap</t>
  </si>
  <si>
    <t>Date</t>
  </si>
  <si>
    <t>Team Lead:</t>
  </si>
  <si>
    <t>Source Data</t>
  </si>
  <si>
    <t>As-Is</t>
  </si>
  <si>
    <t>To-Be</t>
  </si>
  <si>
    <t>Security Practice</t>
  </si>
  <si>
    <t>Security Practices/Phase</t>
  </si>
  <si>
    <t>Start</t>
  </si>
  <si>
    <t>Phase 1</t>
  </si>
  <si>
    <t>After 1</t>
  </si>
  <si>
    <t>Phase 2</t>
  </si>
  <si>
    <t>After 2</t>
  </si>
  <si>
    <t>Phase 3</t>
  </si>
  <si>
    <t>May</t>
  </si>
  <si>
    <t>Phase 4</t>
  </si>
  <si>
    <t>After 4</t>
  </si>
  <si>
    <t>Current GAP</t>
  </si>
  <si>
    <t>Strategy &amp; metrics</t>
  </si>
  <si>
    <t>SAMM velocity:</t>
  </si>
  <si>
    <t>Valid Maturity Levels</t>
  </si>
  <si>
    <r>
      <rPr>
        <b/>
        <sz val="10"/>
        <rFont val="Trebuchet MS"/>
        <family val="2"/>
      </rPr>
      <t xml:space="preserve">Notes:
</t>
    </r>
    <r>
      <rPr>
        <sz val="10"/>
        <rFont val="Trebuchet MS"/>
        <family val="2"/>
      </rPr>
      <t>Data in this worksheet is used to feed the Interview worksheet and Roadmap worksheet and provides answers and values.  
Please do not edit without understanding the potential impact to the SAMM model as it will alter the scoring model.
There are currently seven categories of answers, the colors/numbers in column I indicate which questions in which Business Function are using that specific answer category.</t>
    </r>
  </si>
  <si>
    <t>Rating Scale</t>
  </si>
  <si>
    <t>Yes</t>
  </si>
  <si>
    <t>A</t>
  </si>
  <si>
    <t>2+</t>
  </si>
  <si>
    <t>Yes, it's less than a year old</t>
  </si>
  <si>
    <t>Yes, it's a number of years old</t>
  </si>
  <si>
    <t>1+</t>
  </si>
  <si>
    <t>Yes, it's a pretty mature program</t>
  </si>
  <si>
    <t>0+</t>
  </si>
  <si>
    <t>B</t>
  </si>
  <si>
    <t>2,3,6,9</t>
  </si>
  <si>
    <t>Yes, some of them are aware</t>
  </si>
  <si>
    <t>4,15</t>
  </si>
  <si>
    <t>Yes, approx. half of them are aware</t>
  </si>
  <si>
    <t>1,3,5,12</t>
  </si>
  <si>
    <t>Yes, most of them are aware</t>
  </si>
  <si>
    <t>C</t>
  </si>
  <si>
    <t>4,5,7,12,13,14,16,17,18</t>
  </si>
  <si>
    <t>1,2,3,6,7,8,10,11,12,15,19</t>
  </si>
  <si>
    <t>Yes, a small percentage are/do</t>
  </si>
  <si>
    <t>1,2,3,5,8,10,13,14,17,18</t>
  </si>
  <si>
    <t>Yes, at least half of them are/do</t>
  </si>
  <si>
    <t>6,7,9,11,14,15,16,17</t>
  </si>
  <si>
    <t>Yes, the majority of them are/do</t>
  </si>
  <si>
    <t>D</t>
  </si>
  <si>
    <t>8,15,20</t>
  </si>
  <si>
    <t>Yes, we did it once</t>
  </si>
  <si>
    <t>Yes, we do it every few years</t>
  </si>
  <si>
    <t>Yes, we do it at least annually</t>
  </si>
  <si>
    <t>E</t>
  </si>
  <si>
    <t>No, it is not applicable</t>
  </si>
  <si>
    <t>Yes, but on an adhoc basis</t>
  </si>
  <si>
    <t>F</t>
  </si>
  <si>
    <t>11,19</t>
  </si>
  <si>
    <t>9,14,17</t>
  </si>
  <si>
    <t>Yes, teams write/run their own</t>
  </si>
  <si>
    <t>Yes, there is a standard set</t>
  </si>
  <si>
    <t>Yes, the standard set is integrated</t>
  </si>
  <si>
    <t>G</t>
  </si>
  <si>
    <t>16,18</t>
  </si>
  <si>
    <t>Yes, localized to business areas</t>
  </si>
  <si>
    <t>6,7,9,11,12,16,19</t>
  </si>
  <si>
    <t>Yes, across the organization</t>
  </si>
  <si>
    <t>4,8,10,13</t>
  </si>
  <si>
    <t>Yes, across the organization and required</t>
  </si>
  <si>
    <t>H</t>
  </si>
  <si>
    <t>ID</t>
  </si>
  <si>
    <t>Business Function</t>
  </si>
  <si>
    <t>Activity</t>
  </si>
  <si>
    <t>Question</t>
  </si>
  <si>
    <t>Guidance</t>
  </si>
  <si>
    <t>Answer Option</t>
  </si>
  <si>
    <t>Configuration Hardening</t>
  </si>
  <si>
    <t>Do you monitor and enforce conformity with hardening baselines?</t>
  </si>
  <si>
    <t>You perform conformity checks regularly, preferably using automation
You store conformity check results in an accessible location
You follow an established process to address reported non-conformities
You review each baseline at least annually, and update it when required</t>
  </si>
  <si>
    <t>System Decomissioning / Legacy Management</t>
  </si>
  <si>
    <t>Do you regularly evaluate the lifecycle state and support status of every software asset and underlying infrastructure component, and estimate their end of life?</t>
  </si>
  <si>
    <t>Your end of life management process is agreed upon
You inform customers and user groups of product timelines to prevent disruption of service or support
You review the process at least annually</t>
  </si>
  <si>
    <t>Scalable Baseline</t>
  </si>
  <si>
    <t>Do you integrate automated security testing into the build and deploy process?</t>
  </si>
  <si>
    <t>Management and business stakeholders track and review test results throughout the development cycle
You merge test results into a central dashboard and feed them into defect management</t>
  </si>
  <si>
    <t>Supplier Security</t>
  </si>
  <si>
    <t>Are vendors aligned with standard security controls and software development tools and processes that the organization utilizes?</t>
  </si>
  <si>
    <t>The vendor has a secure SDLC that includes secure build, secure deployment, defect management, and incident management that align with those used in your organization
You verify the solution meets quality and security objectives before every major release
When standard verification processes are not available, you use compensating controls such as software composition analysis and independent penetration testing</t>
  </si>
  <si>
    <t>Requirements-driven Testing</t>
  </si>
  <si>
    <t>Control Verification</t>
  </si>
  <si>
    <t>Do you automatically test applications for security regressions?</t>
  </si>
  <si>
    <t>You consistently write tests for all identified bugs (possibly exceeding a pre-defined severity threshhold)
You collect security tests in a test suite that is part of the existing unit testing framework</t>
  </si>
  <si>
    <t>Deployment Process</t>
  </si>
  <si>
    <t>Are deployment processes automated and employing security checks?</t>
  </si>
  <si>
    <t>Deployment processes are automated on all stages
Deployment includes automated security testing procedures
You alert responsible staff to identified vulnerabilities
You have logs available for your past deployments for a defined period of time</t>
  </si>
  <si>
    <t>Misuse/Abuse Testing</t>
  </si>
  <si>
    <t>Do you test applications using randomization or fuzzing techniques?</t>
  </si>
  <si>
    <t>Testing covers most or all of the application's main input parameters
You record and inspect all application crashes for security impact on a best-effort basis</t>
  </si>
  <si>
    <t>Software Requirements</t>
  </si>
  <si>
    <t>Do project teams specify security requirements during development?</t>
  </si>
  <si>
    <t>Teams derive security requirements from functional requirements and customer or organization concerns
Security requirements are specific, measurable, and reasonable
Security requirements are in line with the organizational baseline</t>
  </si>
  <si>
    <t>Deep Understanding</t>
  </si>
  <si>
    <t>Do you manually review the security quality of selected high-risk components?</t>
  </si>
  <si>
    <t>Criteria exist to help the reviewer focus on high-risk components
Qualified personnel conduct reviews following documented guidelines
You address findings in accordance with the organization's defect management policy</t>
  </si>
  <si>
    <t>Data Protection</t>
  </si>
  <si>
    <t>Do you protect and handle information according to protection requirements for data stored and processed on each application?</t>
  </si>
  <si>
    <t>You know the data elements processed and stored by each application
You know the type and sensitivity level of each identified data element
You have controls to prevent propagation of unsanitized sensitive data from production to lower environments</t>
  </si>
  <si>
    <t>Architecture Mitigation</t>
  </si>
  <si>
    <t>Do you regularly evaluate the threats to your architecture?</t>
  </si>
  <si>
    <t>You systematically review each threat identified in the Threat Assessment
Trained or experienced people lead review exercise
You identify mitigating design-level features for each identified threat
You log unhandled threats as defects</t>
  </si>
  <si>
    <t>Patching and Updating</t>
  </si>
  <si>
    <t>Do you identify and patch vulnerable components?</t>
  </si>
  <si>
    <t>You have an up-to-date list of components, including version information
You regularly review public sources for vulnerabilities related to your components</t>
  </si>
  <si>
    <t>Do you regularly evaluate components and review patch level status?</t>
  </si>
  <si>
    <t>You update the list with components and versions
You identify and update missing updates according to existing SLA
You review and update the process based on feedback from the people who perform patching</t>
  </si>
  <si>
    <t>Do you regularly review and update the data catalog and your data protection policies and procedures?</t>
  </si>
  <si>
    <t>You have automated monitoring to detect attempted or actual violations of the Data Protection Policy
You have tools for data loss prevention, access control and tracking, or anomalous behavior detection
You periodically audit the operation of automated mechanisms, including backups and record deletions</t>
  </si>
  <si>
    <t>Do you perform denial of service and security stress testing?</t>
  </si>
  <si>
    <t>Stress tests target specific application resources (e.g. memory exhaustion by saving large amounts of data to a user session)
You design tests around relevant personas with well-defined capabilities (knowledge, resources)
You feed the results back to the Design practices</t>
  </si>
  <si>
    <t>Do you use a standard requirements framework to streamline the elicitation of security requirements?</t>
  </si>
  <si>
    <t>A security requirements framework is available for project teams
The framework is categorized by common requirements and standards-based requirements
The framework gives clear guidance on the quality of requirements and how to describe them
The framework is adaptable to specific business requirements</t>
  </si>
  <si>
    <t>Do you use the results of security testing to improve the development lifecycle?</t>
  </si>
  <si>
    <t>You use results from other security activities to improve integrated security testing during development
You review test results and incorporate them into security awareness training and security testing playbooks
Stakeholders review the test results and handle them in accordance with the organization's risk management</t>
  </si>
  <si>
    <t>Secret Management</t>
  </si>
  <si>
    <t>Do you inject production secrets into configuration files during deployment?</t>
  </si>
  <si>
    <t>Source code files no longer contain active application secrets
Under normal circumstances, no humans access secrets during deployment procedures
You log and alert to any abnormal access to secrets</t>
  </si>
  <si>
    <t>Do you scan applications with automated security testing tools?</t>
  </si>
  <si>
    <t>You dynamically generate inputs for security tests using automated tools
You choose the security testing tools to fit the organization's architecture and technology stack, and balance depth and accuracy of inspection with usability of findings to the organization</t>
  </si>
  <si>
    <t>Do stakeholders review vendor collaborations for security requirements and methodology?</t>
  </si>
  <si>
    <t>You consider including specific security requirements, activities, and processes when creating third-party agreements
A vendor questionnaire is available and used to assess the strengths and weaknesses of your suppliers</t>
  </si>
  <si>
    <t>Do you test applications for the correct functioning of standard security controls?</t>
  </si>
  <si>
    <t>Security testing at least verifies the implementation of authentication, access control, input validation, encoding and escaping data, and encryption controls
Security testing executes whenever the application changes its use of the controls</t>
  </si>
  <si>
    <t>Do you identify and remove systems, applications, application dependencies, or services that are no longer used, have reached end of life, or are no longer actively developed or supported?</t>
  </si>
  <si>
    <t>You do not use unsupported applications or dependencies
You manage customer/user migration from older versions for each product and customer/user group</t>
  </si>
  <si>
    <t>Architecture Validation</t>
  </si>
  <si>
    <t>Do you regularly review the security mechanisms of your architecture?</t>
  </si>
  <si>
    <t>You review compliance with internal and external requirements
You systematically review each interface in the system
You use a formalized review method and structured validation
You log missing security mechanisms as defects</t>
  </si>
  <si>
    <t>Do you harden configurations for key components of your technology stacks?</t>
  </si>
  <si>
    <t>You have identified the key components in each technology stack used
You have an established configuration standard for each key component</t>
  </si>
  <si>
    <t>Incident Detection</t>
  </si>
  <si>
    <t>Do you follow a documented process for incident detection?</t>
  </si>
  <si>
    <t>The process has a dedicated owner
You store process documentation in an accessible location
The process considers an escalation path for further analysis
You train employees responsible for incident detection in this process
You have a checklist of potential attacks to simplify incident detection</t>
  </si>
  <si>
    <t>Organization and Culture</t>
  </si>
  <si>
    <t>Does the organization have a Secure Software Center of Excellence (SSCE)?</t>
  </si>
  <si>
    <t>The SSCE has a charter defining its role in the organization
Development teams review all significant architectural changes with the SSCE
The SSCE publishes SDLC standards and guidelines related to Application Security
Product Champions are responsible for promoting the use of specific security tools</t>
  </si>
  <si>
    <t>Incident Response</t>
  </si>
  <si>
    <t>Do you use a repeatable process for incident handling?</t>
  </si>
  <si>
    <t>You have an agreed upon incident classification
The process considers Root Case Analysis for high severity incidents
Employees responsible for incident response are trained in this process
Forensic analysis tooling is available</t>
  </si>
  <si>
    <t>Training and Awareness</t>
  </si>
  <si>
    <t>Is training customized for individual roles such as developers, testers, or security champions?</t>
  </si>
  <si>
    <t>Training includes all topics from maturity level 1, and adds more specific tools, techniques, and demonstrations
Training is mandatory for all employees and contractors
Training includes input from in-house SMEs and trainees
Training includes demonstrations of tools and techniques developed in-house
You use feedback to enhance and make future training more relevant</t>
  </si>
  <si>
    <t>Do you practice proper lifecycle management for application secrets?</t>
  </si>
  <si>
    <t>You generate and synchronize secrets using a vetted solution
Secrets are different between different application instances
Secrets are regularly updated</t>
  </si>
  <si>
    <t>Do you review the application architecture for mitigations of typical threats on an ad-hoc basis?</t>
  </si>
  <si>
    <t>You have an agreed upon model of the overall software architecture
Security savvy staff conduct the review
You consider different types of threats, including insider and data-related one</t>
  </si>
  <si>
    <t>Do you maintain a data catalog, including types, sensitivity levels, and processing and storage locations?</t>
  </si>
  <si>
    <t>The data catalog is stored in an accessible location
You know which data elements are subject to specific regulation
You have controls for protecting and preserving data throughout its lifetime
You have retention requirements for data, and you destroy backups in a timely manner after the relevant retention period ends</t>
  </si>
  <si>
    <t>Do you define, structure, and include prioritization in the artifacts of the security requirements gathering process?</t>
  </si>
  <si>
    <t>Security requirements take into consideration domain specific knowledge when applying policies and guidance to product development
Domain experts are involved in the requirements definition process
You have an agreed upon structured notation for security requirements
Development teams have a security champion dedicated to reviewing security requirements and outcomes</t>
  </si>
  <si>
    <t>Do you create abuse cases from functional requirements and use them to drive security tests?</t>
  </si>
  <si>
    <t>Important business functionality has corresponding abuse cases
You build abuse stories around relevant personas with well-defined motivations and characteristics
You capture identified weaknesses as security requirements</t>
  </si>
  <si>
    <t>Do you perform penetration testing for your applications at regular intervals?</t>
  </si>
  <si>
    <t>Penetration testing uses application-specific security test cases to evaluate security
Penetration testing looks for both technical and logical issues in the application
Stakeholders review the test results and handle them in accordance with the organization's risk management
Qualified personnnel performs penetration testing</t>
  </si>
  <si>
    <t>Do you follow an established process for updating components of your technology stacks?</t>
  </si>
  <si>
    <t>The process includes vendor information for third-party patches
The process considers external sources to gather information about zero day attacks, and includes appropriate risk mitigation steps
The process includes guidance for prioritizing component updates</t>
  </si>
  <si>
    <t>Do you regularly review the effectiveness of the security controls?</t>
  </si>
  <si>
    <t>You evaluate the preventive, detective, and response capabilities of security controls
You evaluate the strategy alignment, appropriate support, and scalability of security controls
You evaluate the effectiveness at least yearly
You log identified shortcomings as defects</t>
  </si>
  <si>
    <t>Do you use repeatable deployment processes?</t>
  </si>
  <si>
    <t>You have enough information to run the deployment processes
Your deployment documentation up to date
Your deployment documentation is accessible to relevant stakeholders
You ensure that only defined qualified personnel can trigger a deployment
You harden the tools that are used within the deployment process</t>
  </si>
  <si>
    <t>Do you consistently validate the integrity of deployed artifacts?</t>
  </si>
  <si>
    <t>You prevent or roll back deployment if you detect an integrity breach
The verification is done against signatures created during the build time
If checking of signatures is not possible (e.g. externally build software), you introduce compensating measures</t>
  </si>
  <si>
    <t>Do you review the application architecture for key security objectives on an ad-hoc basis?</t>
  </si>
  <si>
    <t>You have an agreed upon model of the overall software architecture
You include components, interfaces, and integrations in the architecture model
You verify the correct provision of general security mechanisms
You log missing security controls as defects</t>
  </si>
  <si>
    <t>Do you follow an established process for removing all associated resources, as part of decommissioning of unused systems, applications, application dependencies, or services?</t>
  </si>
  <si>
    <t>You document the status of support for all released versions of your products, in an accessible location
The process includes replacement or upgrade of third-party applications, or application dependencies, that have reached end of life
Operating environments do not contain orphaned accounts, firewall rules, or other configuration artifacts</t>
  </si>
  <si>
    <t>Do you customize the automated security tools to your applications and technology stacks?</t>
  </si>
  <si>
    <t>You tune and select tool features which match your application or technology stack
You minimize false positives by silencing or automatically filter irrelevant warnings or low probability findings
You minimize false negatives by leverage tool extensions or DSLs to customize tools for your application or organizational standards</t>
  </si>
  <si>
    <t>Do you consistently write and execute test scripts to verify the functionality of security requirements?</t>
  </si>
  <si>
    <t>You tailor tests to each application and assert expected security functionality
You capture test results as a pass or fail condition
Tests use a standardized framework or DSL</t>
  </si>
  <si>
    <t>Do vendors meet the security responsibilities and quality measures of service level agreements defined by the organization?</t>
  </si>
  <si>
    <t>You discuss security requirements with the vendor when creating vendor agreements
Vendor agreements provide specific guidance on security defect remediation within an agreed upon timeframe
The organization has a templated agreement of responsibilities and service levels for key vendor security processes
You measure key performance indicators</t>
  </si>
  <si>
    <t>Do you have hardening baselines for your components?</t>
  </si>
  <si>
    <t>You have assigned an owner for each baseline
The owner keeps their assigned baselines up to date
You store baselines in an accessible location
You train employees responsible for configurations in these baselines</t>
  </si>
  <si>
    <t>Do you regularly update your reference architectures based on architecture assessment findings?</t>
  </si>
  <si>
    <t>You assess your architectures in a standardized, documented manner
You use recurring findings to trigger a review of reference architectures
You independently review the quality of the architecture assessments on an ad-hoc basis
You use reference architecture updates to trigger reviews of relevant shared solutions, in a risk-based manner</t>
  </si>
  <si>
    <t>Do you limit access to application secrets according to the least privilege principle?</t>
  </si>
  <si>
    <t>You store production secrets protected in a secured location
Developers do not have access to production secrets
Production secrets are not available in non-production environments</t>
  </si>
  <si>
    <t>Have you implemented a Learning Management System or equivalent to track employee training and certification processes?</t>
  </si>
  <si>
    <t>A Learning Management System (LMS) is used to track trainings and certifications
Training is based on internal standards, policies, and procedures
You use certification programs or attendance records to determine access to development systems and resources</t>
  </si>
  <si>
    <t>Do you have a dedicated incident response team available?</t>
  </si>
  <si>
    <t>The team performs Root Cause Analysis for all security incidents unless there is a specific reason not to do so
You review and update the response process at least annually</t>
  </si>
  <si>
    <t>Do you analyze log data for security incidents periodically?</t>
  </si>
  <si>
    <t>You have a contact point for the creation of security incidents
You analyze data in accordance with the log data retention periods
The frequency of this analysis is aligned with the criticality of your applications</t>
  </si>
  <si>
    <t>Have you identified a Security Champion for each development team?</t>
  </si>
  <si>
    <t>Security Champions receive appropriate training
Application Security and Development teams receive periodic briefings from Security Champions on the overall status of security initiatives and fixes
The Security Champion reviews the results of external testing before adding to the application backlog</t>
  </si>
  <si>
    <t>Is there a centralized portal where developers and application security professionals from different teams and business units are able to communicate and share information?</t>
  </si>
  <si>
    <t>The organization promotes use of a single portal across different teams and business units
The portal is used for timely information such as notification of security incidents, tool updates, architectural standard changes, and other related announcements
The portal is widely recognized by developers and architects as a centralized repository of the organization-specific application security information
All content is considered persistent and searchable
The portal provides access to application-specific security metrics</t>
  </si>
  <si>
    <t>Do you review and update the incident detection process regularly?</t>
  </si>
  <si>
    <t>You perform reviews at least annually
You update the checklist of potential attacks with external and internal data</t>
  </si>
  <si>
    <t>Do you respond to detected incidents?</t>
  </si>
  <si>
    <t>You have a defined person or role for incident handling
You document security incidents</t>
  </si>
  <si>
    <t>Do you require employees involved with application development to take SDLC training?</t>
  </si>
  <si>
    <t>Training is repeatable, consistent, and available to anyone involved with software development lifecycle
Training includes the latest OWASP Top 10 if appropriate and includes concepts such as Least Privilege, Defense-in-Depth, Fail Secure (Safe), Complete Mediation, Session Management, Open Design, and Psychological Acceptability
Training requires a sign-off or an acknowledgement from attendees
You have updated the training in the last 12 months
Training is required during employees' onboarding process</t>
  </si>
  <si>
    <t>Policy &amp; Standards</t>
  </si>
  <si>
    <t>Do you regularly report on policy and standard compliance, and use that information to guide compliance improvement efforts?</t>
  </si>
  <si>
    <t>You have procedures (automated, if possible) to regularly generate compliance reports
You deliver compliance reports to all relevant stakeholders
Stakeholders use the reported compliance status information to identify areas for improvement</t>
  </si>
  <si>
    <t>Application Risk Profile</t>
  </si>
  <si>
    <t>Do you use centralized and quantified application risk profiles to evaluate business risk?</t>
  </si>
  <si>
    <t>The application risk profile is in line with the organizational risk standard
The application risk profile covers impact to security and privacy
You validate the quality of the risk profile manually and/or automatically
The application risk profiles are stored in a central inventory</t>
  </si>
  <si>
    <t>Compliance Management</t>
  </si>
  <si>
    <t>Do you have a complete picture of your external compliance obligations?</t>
  </si>
  <si>
    <t>You have identified all sources of external compliance obligations
You have captured and reconciled compliance obligations from all sources</t>
  </si>
  <si>
    <t>Defect Tracking</t>
  </si>
  <si>
    <t>Do you keep an overview of the state of security defects across the organization?</t>
  </si>
  <si>
    <t>A single severity scheme is applied to all defects across the organization
The scheme includes SLAs for fixing particular severity classes
You regularly report compliance to SLAs</t>
  </si>
  <si>
    <t>Do you regularly report on adherence to external compliance obligations and use that information to guide efforts to close compliance gaps?</t>
  </si>
  <si>
    <t>You have established, well-defined compliance metrics
You measure and report on applications' compliance metrics regularly
Stakeholders use the reported compliance status information to identify compliance gaps and prioritize gap remediation efforts</t>
  </si>
  <si>
    <t>Threat Modeling</t>
  </si>
  <si>
    <t>Do you use a standard methodology, aligned on your application risk levels?</t>
  </si>
  <si>
    <t>You train your architects, security champions, and other stakeholders on how to do practical threat modeling
Your threat modeling methodology includes at least diagramming, threat identification, design flaw mitigations, and how to validate your threat model artifacts
Changes in the application or business context trigger a review of the relevant threat models
You capture the threat modeling artifacts with tools that are used by your application teams</t>
  </si>
  <si>
    <t>Do you have and apply a common set of policies and standards throughout your organization?</t>
  </si>
  <si>
    <t>You have adapted existing standards appropriate for the organization’s industry to account for domain-specific considerations
Your standards are aligned with your policies and incorporate technology-specific implementation guidance</t>
  </si>
  <si>
    <t>Metrics and Feedback</t>
  </si>
  <si>
    <t>Do you improve your security assurance program upon standardized metrics?</t>
  </si>
  <si>
    <t>You document metrics for defect classification and categorization and keep them up to date
Executive management regularly receives information about defects and has acted upon it in the last year
You regularly share technical details about security defects among teams</t>
  </si>
  <si>
    <t>Create and Promote</t>
  </si>
  <si>
    <t>Do you understand the enterprise-wide risk appetite for your applications ?</t>
  </si>
  <si>
    <t>You capture the risk appetite of your organization's executive leadership
The organization's leadership vet and approve the set of risks
You identify the main business and technical threats to your assets and data
You document risks and store them in an accessible location</t>
  </si>
  <si>
    <t>Security Architecture</t>
  </si>
  <si>
    <t>Architecture Design</t>
  </si>
  <si>
    <t>Do teams use security principles during design?</t>
  </si>
  <si>
    <t>You have an agreed upon checklist of security principles
You store your checklist in an accessible location
Relevant stakeholders understand security principles</t>
  </si>
  <si>
    <t>Build Process</t>
  </si>
  <si>
    <t>Is the build process fully automated?</t>
  </si>
  <si>
    <t>The build process itself doesn't require any human interaction
Your build tools are hardened as per best practice and vendor guidance
You encrypt the secrets required by the build tools and control access based on the principle of least privilege</t>
  </si>
  <si>
    <t>Technology Management</t>
  </si>
  <si>
    <t>Do you enforce the use of recommended technologies within the organization?</t>
  </si>
  <si>
    <t>You monitor applications regularly for the correct use of the recommended technologies
You solve violations against the list accoranding to organizational policies
You take action if the number of violations falls outside the yearly objectives</t>
  </si>
  <si>
    <t>Measure and Improve</t>
  </si>
  <si>
    <t>Do you update the Application Security strategy and roadmap based on application security metrics and KPIs?</t>
  </si>
  <si>
    <t>You review KPIs at least yearly for their efficiency and effectiveness
KPIs and application security metrics trigger most of the changes to the application security strategy</t>
  </si>
  <si>
    <t>Do you use a set of metrics to measure the effectiveness and efficiency of the application security program across applications?</t>
  </si>
  <si>
    <t>You document each metric, including a description of the sources, measurement coverage, and guidance on how to use it to explain application security trends
Metrics include measures of efforts, results, and the environment measurement categories
Most of the metrics are frequently measured, easy or inexpensive to gather, and expressed as a cardinal number or a percentage
Application security and development teams publish metrics</t>
  </si>
  <si>
    <t>Do you evaluate the security quality of important technologies used for development?</t>
  </si>
  <si>
    <t>You have a list of the most important technologies used in or in support of each application
You identify and track technological risks
You ensure the risks to these technologies are in line with the organizational baseline</t>
  </si>
  <si>
    <t>Software Dependencies</t>
  </si>
  <si>
    <t>Do you handle 3rd party dependency risk by a formal process?</t>
  </si>
  <si>
    <t>You keep a list of approved dependencies that meet predefined criteria
You automatically evaluate dependencies for new CVEs and alert responsible staff
You automatically detect and alert to license changes with possible impact on legal application usage
You track and alert to usage of unmaintained dependencies
You reliably detect and remove unnecessary dependencies from the software</t>
  </si>
  <si>
    <t>Do you base your design on available reference architectures?</t>
  </si>
  <si>
    <t>You have one or more approved reference architectures documented and available to stakeholders
You improve the reference architectures continuously based on insights and best practices
You provide a set of components, libraries, and tools to implement each reference architecture</t>
  </si>
  <si>
    <t>Do you regularly review and update the Strategic Plan for Application Security?</t>
  </si>
  <si>
    <t>You review and update the plan in response to significant changes in the business environment, the organization, or its risk appetite
Plan update steps include reviewing the plan with all the stakeholders and updating the business drivers and strategies
You adjust the plan and roadmap based on lessons learned from completed roadmap activities
You publish progress information on roadmap activities, making sure they are available to all stakeholders</t>
  </si>
  <si>
    <t>Do you have a standard set of security requirements and verification procedures addressing the organization's external compliance obligations?</t>
  </si>
  <si>
    <t>You map each external compliance obligation to a well-defined set of application requirements
You define verification procedures, including automated tests, to verify compliance with compliance-related requirements</t>
  </si>
  <si>
    <t>Do you classify applications according to business risk based on a simple and predefined set of questions?</t>
  </si>
  <si>
    <t>An agreed-upon risk classification exists
The application team understands the risk classification
The risk classification covers critical aspects of business risks the organization is facing
The organization has an inventory for the applications in scope</t>
  </si>
  <si>
    <t>Do you track all known security defects in accessible locations?</t>
  </si>
  <si>
    <t>You can easily get an overview of all security defects impacting one application
You have at least a rudimentary classification scheme in place
The process includes a strategy for handling false positives and duplicate entries
The defect management system covers defects from various sources and activities</t>
  </si>
  <si>
    <t>Do you regularly evaluate the effectiveness of your security metrics so that its input helps drive your security strategy?</t>
  </si>
  <si>
    <t>You have analyzed the effectivenss of the security metrics at least once in the last year
Where possible, you verify the correctness of the data automatically
The metrics is aggregated with other sources like threat intelligence or incident management
You derived at least one strategic activity from the metrics in the last year</t>
  </si>
  <si>
    <t>Do you regularly review and update the threat modeling methodology for your applications?</t>
  </si>
  <si>
    <t>The threat model methodology considers historical feedback for improvement
You regularly (e.g., yearly) review the existing threat models to verify that no new threats are relevant for your applications
You automate parts of your threat modeling process with threat modeling tools</t>
  </si>
  <si>
    <t>Do you publish the organization's policies as test scripts or run-books for easy interpretation by development teams?</t>
  </si>
  <si>
    <t>You create verification checklists and test scripts where applicable, aligned with the policy's requirements and the implementation guidance in the associated standards
You create versions adapted to each development methodology and technology the organization uses</t>
  </si>
  <si>
    <t>Do you identify and manage architectural design flaws with threat modeling?</t>
  </si>
  <si>
    <t>You perform threat modeling for high-risk applications
You use simple threat checklists, such as STRIDE
You persist the outcome of a threat model for later use</t>
  </si>
  <si>
    <t>Do you use basic metrics about recorded security defects to carry out quick win improvement activities?</t>
  </si>
  <si>
    <t>You analyzed your recorded metrics at least once in the last year
At least basic information about this initiative is recorded and available
You have identified and carried out at least one quick win activity based on the data</t>
  </si>
  <si>
    <t>Do you enforce SLAs for fixing security defects?</t>
  </si>
  <si>
    <t>You automatically alert of SLA breaches and transfer respective defects to the risk management process
You integrate relevant tooling (e.g. monitoring, build, deployment) with the defect management system</t>
  </si>
  <si>
    <t>Do you regularly review and update the risk profiles for your applications?</t>
  </si>
  <si>
    <t>The organizational risk standard considers historical feedback to improve the evaluation method
Significant changes in the application or business context trigger a review of the relevant risk profiles</t>
  </si>
  <si>
    <t>Is your full build process formally described?</t>
  </si>
  <si>
    <t>You have enough information to recreate the build processes
Your build documentation up to date
Your build documentation is stored in an accessible location
Produced artifact checksums are created during build to support later verification
You harden the tools that are used within the build process</t>
  </si>
  <si>
    <t>Do you use shared security services during design?</t>
  </si>
  <si>
    <t>You have a documented list of reusable security services, available to relevant stakeholders
You have reviewed the baseline security posture for each selected service
Your designers are trained to integrate each selected service following available guidance</t>
  </si>
  <si>
    <t>Do you have a strategic plan for application security and use it to make decisions?</t>
  </si>
  <si>
    <t>The plan reflects the organization's business priorities and risk appetite
The plan includes measurable milestones and a budget
The plan is consistent with the organization's business drivers and risks
The plan lays out a roadmap for strategic and tactical initiatives
You have buy-in from stakeholders, including development teams</t>
  </si>
  <si>
    <t>Do you prevent build of software if it's affected by vulnerabilities in dependencies?</t>
  </si>
  <si>
    <t>Your build system is connected to a system for tracking 3rd party dependency risk, causing build to fail unless the vulnerability is evaluated to be a false positive or the risk is explicitly accepted
You scan your dependencies using a static analysis tool
You report findings back to dependency authors using an established responsible disclosure process
Using a new dependency not evaluated for security risks causes the build to fail</t>
  </si>
  <si>
    <t>Do you have solid knowledge about dependencies you're relying on?</t>
  </si>
  <si>
    <t>You have a current bill of materials (BOM) for every application
You can quickly find out which applications are affected by a particular CVE
You have analyzed, addressed, and documented findings from dependencies at least once in the last three months</t>
  </si>
  <si>
    <t>Do you have a list of recommended technologies for the organization?</t>
  </si>
  <si>
    <t>The list is based on technologies used in the software portfolio
Lead architects and developers review and approve the list
You share the list across the organization
You review and update the list at least yearly</t>
  </si>
  <si>
    <t>Did you define Key Perfomance Indicators (KPI) from available application security metrics?</t>
  </si>
  <si>
    <t>You defined KPIs after gathering enough information to establish realistic objectives
You developed KPIs with the buy-in from the leadership and teams responsible for application security
KPIs are available to the application teams and include acceptability thresholds and guidance in case teams need to take action
Success of the application security program is clearly visible based on defined KPIs</t>
  </si>
  <si>
    <t>Do you enforce automated security checks in your build processes?</t>
  </si>
  <si>
    <t>Builds fail if the application doesn't meet a predefined security baseline
You have a maximum accepted severity for vulnerabilties
You log warnings and failures in a centralized system
You select and configure tools to evaluate each application against its security requirements at least once a year</t>
  </si>
  <si>
    <t>ANS_SET_CODE</t>
  </si>
  <si>
    <t>A_W</t>
  </si>
  <si>
    <t>B_W</t>
  </si>
  <si>
    <t>C_W</t>
  </si>
  <si>
    <t>D_W</t>
  </si>
  <si>
    <t>Yes, at least half of the content</t>
  </si>
  <si>
    <t>Yes, most or all of the content</t>
  </si>
  <si>
    <t>Yes, for some of the metrics</t>
  </si>
  <si>
    <t>Yes, for at least half of the metrics</t>
  </si>
  <si>
    <t>Yes, for most or all of the metrics</t>
  </si>
  <si>
    <t>Yes, for some obligations</t>
  </si>
  <si>
    <t>Yes, for most or all of the obligations</t>
  </si>
  <si>
    <t>Yes, but reporting is ad-hoc</t>
  </si>
  <si>
    <t>Yes, we report at least annually</t>
  </si>
  <si>
    <t>Yes, upon change of the application</t>
  </si>
  <si>
    <t>Yes, at least annually</t>
  </si>
  <si>
    <t>Yes, at least half of the time</t>
  </si>
  <si>
    <t>Yes, for some of the training</t>
  </si>
  <si>
    <t>Yes, for some of the policies and standards</t>
  </si>
  <si>
    <t>Yes, for at least half of the policies and standards</t>
  </si>
  <si>
    <t>Yes, for most or all of the policies and standards</t>
  </si>
  <si>
    <t>Yes, for one metrics category</t>
  </si>
  <si>
    <t>Yes, for two metrics categories</t>
  </si>
  <si>
    <t>Yes, we started implementing it</t>
  </si>
  <si>
    <t>Yes, for most or all of the components</t>
  </si>
  <si>
    <t>Yes, we review it at regular times</t>
  </si>
  <si>
    <t>Yes, we review it at least annually</t>
  </si>
  <si>
    <t>Yes, for some of our data</t>
  </si>
  <si>
    <t>Yes, for at least half of our data</t>
  </si>
  <si>
    <t>Yes, for most or all of our data</t>
  </si>
  <si>
    <t>Yes, we do it when requested</t>
  </si>
  <si>
    <t>Yes, for some incident types</t>
  </si>
  <si>
    <t>Yes, for at least half of the incident types</t>
  </si>
  <si>
    <t>Yes, for most or all of the incident types</t>
  </si>
  <si>
    <t>Yes, for some incidents</t>
  </si>
  <si>
    <t>Yes, for at least half of the incidents</t>
  </si>
  <si>
    <t>Yes, for most or all of the incidents</t>
  </si>
  <si>
    <t>Yes, for some of the assets</t>
  </si>
  <si>
    <t>Yes, for at least half of the assets</t>
  </si>
  <si>
    <t>Yes, for most or all of the assets</t>
  </si>
  <si>
    <t>Yes, but we improve it ad-hoc</t>
  </si>
  <si>
    <t>Yes, we we improve it at regular times</t>
  </si>
  <si>
    <t>Yes, we improve it at least annually</t>
  </si>
  <si>
    <t>Yes, for some of the technology domains</t>
  </si>
  <si>
    <t>Yes, for most or all of the technology domains</t>
  </si>
  <si>
    <t>Yes, we review it annually</t>
  </si>
  <si>
    <t>Yes, we consult the plan often, and it is aligned with our application security strategy</t>
  </si>
  <si>
    <t>Yes, for some teams</t>
  </si>
  <si>
    <t>Yes, for at least half of the teams</t>
  </si>
  <si>
    <t>Yes, at least half of it</t>
  </si>
  <si>
    <t>Yes, most or all of it</t>
  </si>
  <si>
    <t>Yes, it covers general risks</t>
  </si>
  <si>
    <t>Yes, it covers risks and opportunities</t>
  </si>
  <si>
    <t>Software Assurance Maturity Model (SAMM) Roadmap Chart Template Background Images</t>
  </si>
  <si>
    <t>Role</t>
  </si>
  <si>
    <t>development</t>
  </si>
  <si>
    <t>Security Masters and Team Security Masters (Security Champion is a specific role on COMPANY higher up in our organisation)</t>
  </si>
  <si>
    <t>If you wish to provide additional informaiton for a question, please use the Comments column (column I) for it. Please also take Additional Infos for COMPANY (column K) into account.</t>
  </si>
  <si>
    <t>COMPANY</t>
  </si>
  <si>
    <t>Additional Infos for COMPANY</t>
  </si>
  <si>
    <t>bfea410146cd967b392a87771e690515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</si>
</sst>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d\-mmm\-yy"/>
    <numFmt numFmtId="166" formatCode="hh:mm:ss\ AM/PM"/>
    <numFmt numFmtId="167" formatCode="m/d/yyyy"/>
  </numFmts>
  <fonts count="30">
    <font>
      <sz val="10"/>
      <name val="Arial"/>
      <family val="2"/>
    </font>
    <font>
      <sz val="10"/>
      <name val="Arial"/>
      <family val="2"/>
    </font>
    <font>
      <b/>
      <sz val="10"/>
      <color rgb="FFFFFFFF"/>
      <name val="Arial"/>
      <family val="2"/>
    </font>
    <font>
      <sz val="10"/>
      <color rgb="FFFFFFFF"/>
      <name val="Arial"/>
      <family val="2"/>
    </font>
    <font>
      <sz val="10"/>
      <color rgb="FFFFFFFF"/>
      <name val="Trebuchet MS"/>
      <family val="2"/>
    </font>
    <font>
      <sz val="20"/>
      <color rgb="FFFFFFFF"/>
      <name val="Trebuchet MS"/>
      <family val="2"/>
    </font>
    <font>
      <b/>
      <sz val="10"/>
      <color rgb="FFFFFFFF"/>
      <name val="Trebuchet MS"/>
      <family val="2"/>
    </font>
    <font>
      <b/>
      <u/>
      <sz val="10"/>
      <color rgb="FFFFFFFF"/>
      <name val="Arial"/>
      <family val="2"/>
    </font>
    <font>
      <b/>
      <sz val="10"/>
      <name val="Arial"/>
      <family val="2"/>
    </font>
    <font>
      <b/>
      <sz val="11"/>
      <name val="Arial"/>
      <family val="2"/>
    </font>
    <font>
      <b/>
      <sz val="14"/>
      <color rgb="FF010000"/>
      <name val="Arial"/>
      <family val="2"/>
    </font>
    <font>
      <b/>
      <sz val="11"/>
      <color rgb="FF010000"/>
      <name val="Arial"/>
      <family val="2"/>
    </font>
    <font>
      <sz val="10"/>
      <color rgb="FF010000"/>
      <name val="Arial"/>
      <family val="2"/>
    </font>
    <font>
      <b/>
      <sz val="10"/>
      <color rgb="FF010000"/>
      <name val="Arial"/>
      <family val="2"/>
    </font>
    <font>
      <b/>
      <sz val="18"/>
      <name val="Arial"/>
      <family val="2"/>
    </font>
    <font>
      <b/>
      <sz val="22"/>
      <color rgb="FF010000"/>
      <name val="Arial"/>
      <family val="2"/>
    </font>
    <font>
      <i/>
      <sz val="10"/>
      <color rgb="FF010000"/>
      <name val="Arial"/>
      <family val="2"/>
    </font>
    <font>
      <b/>
      <sz val="10"/>
      <name val="Trebuchet MS"/>
      <family val="2"/>
    </font>
    <font>
      <sz val="10"/>
      <name val="Trebuchet MS"/>
      <family val="2"/>
    </font>
    <font>
      <b/>
      <sz val="12"/>
      <color rgb="FF010000"/>
      <name val="Arial"/>
      <family val="2"/>
    </font>
    <font>
      <b/>
      <sz val="12"/>
      <name val="Arial"/>
      <family val="2"/>
    </font>
    <font>
      <sz val="20"/>
      <name val="Trebuchet MS"/>
      <family val="2"/>
    </font>
    <font>
      <sz val="11"/>
      <name val="Trebuchet MS"/>
      <family val="2"/>
    </font>
    <font>
      <b/>
      <sz val="10"/>
      <color rgb="FF3290C4"/>
      <name val="Trebuchet MS"/>
      <family val="2"/>
    </font>
    <font>
      <b/>
      <sz val="10"/>
      <color rgb="FFB75727"/>
      <name val="Trebuchet MS"/>
      <family val="2"/>
    </font>
    <font>
      <b/>
      <sz val="10"/>
      <color rgb="FFFFC221"/>
      <name val="Trebuchet MS"/>
      <family val="2"/>
    </font>
    <font>
      <b/>
      <sz val="10"/>
      <color rgb="FF37793E"/>
      <name val="Trebuchet MS"/>
      <family val="2"/>
    </font>
    <font>
      <b/>
      <sz val="10"/>
      <color rgb="FF791F17"/>
      <name val="Trebuchet MS"/>
      <family val="2"/>
    </font>
    <font>
      <u/>
      <sz val="10"/>
      <name val="Trebuchet MS"/>
      <family val="2"/>
    </font>
    <font>
      <sz val="10"/>
      <name val="Lohit Devanagari"/>
      <family val="2"/>
    </font>
  </fonts>
  <fills count="24">
    <fill>
      <patternFill patternType="none"/>
    </fill>
    <fill>
      <patternFill patternType="gray125"/>
    </fill>
    <fill>
      <patternFill patternType="solid">
        <fgColor rgb="FFDDDDDD"/>
        <bgColor rgb="FFD9D9D9"/>
      </patternFill>
    </fill>
    <fill>
      <patternFill patternType="solid">
        <fgColor rgb="FF333333"/>
        <bgColor rgb="FF003366"/>
      </patternFill>
    </fill>
    <fill>
      <patternFill patternType="solid">
        <fgColor rgb="FF95B3D7"/>
        <bgColor rgb="FF94BCDD"/>
      </patternFill>
    </fill>
    <fill>
      <patternFill patternType="solid">
        <fgColor rgb="FFDCE6F2"/>
        <bgColor rgb="FFDDDDDD"/>
      </patternFill>
    </fill>
    <fill>
      <patternFill patternType="solid">
        <fgColor rgb="FFEBF1DE"/>
        <bgColor rgb="FFF2F2F2"/>
      </patternFill>
    </fill>
    <fill>
      <patternFill patternType="solid">
        <fgColor rgb="FFF2F2F2"/>
        <bgColor rgb="FFEBF1DE"/>
      </patternFill>
    </fill>
    <fill>
      <patternFill patternType="solid">
        <fgColor rgb="FF3290C4"/>
        <bgColor rgb="FF2988A1"/>
      </patternFill>
    </fill>
    <fill>
      <patternFill patternType="solid">
        <fgColor rgb="FF94BCDD"/>
        <bgColor rgb="FF95B3D7"/>
      </patternFill>
    </fill>
    <fill>
      <patternFill patternType="solid">
        <fgColor rgb="FFD9D9D9"/>
        <bgColor rgb="FFDDDDDD"/>
      </patternFill>
    </fill>
    <fill>
      <patternFill patternType="solid">
        <fgColor rgb="FFDDD9C3"/>
        <bgColor rgb="FFD9D9D9"/>
      </patternFill>
    </fill>
    <fill>
      <patternFill patternType="solid">
        <fgColor rgb="FFB75727"/>
        <bgColor rgb="FFC0504D"/>
      </patternFill>
    </fill>
    <fill>
      <patternFill patternType="solid">
        <fgColor rgb="FFD59E7B"/>
        <bgColor rgb="FFD9A619"/>
      </patternFill>
    </fill>
    <fill>
      <patternFill patternType="solid">
        <fgColor rgb="FFD9A619"/>
        <bgColor rgb="FFBDBF17"/>
      </patternFill>
    </fill>
    <fill>
      <patternFill patternType="solid">
        <fgColor rgb="FFFFC221"/>
        <bgColor rgb="FFFFC000"/>
      </patternFill>
    </fill>
    <fill>
      <patternFill patternType="solid">
        <fgColor rgb="FFD5D514"/>
        <bgColor rgb="FFD4D513"/>
      </patternFill>
    </fill>
    <fill>
      <patternFill patternType="solid">
        <fgColor rgb="FF37793E"/>
        <bgColor rgb="FF595959"/>
      </patternFill>
    </fill>
    <fill>
      <patternFill patternType="solid">
        <fgColor rgb="FF8BAA88"/>
        <bgColor rgb="FF8BA988"/>
      </patternFill>
    </fill>
    <fill>
      <patternFill patternType="solid">
        <fgColor rgb="FF8BA988"/>
        <bgColor rgb="FF8BAA88"/>
      </patternFill>
    </fill>
    <fill>
      <patternFill patternType="solid">
        <fgColor rgb="FF791F17"/>
        <bgColor rgb="FF7E1F1D"/>
      </patternFill>
    </fill>
    <fill>
      <patternFill patternType="solid">
        <fgColor rgb="FFB07667"/>
        <bgColor rgb="FF878787"/>
      </patternFill>
    </fill>
    <fill>
      <patternFill patternType="solid">
        <fgColor rgb="FFFFFFFF"/>
        <bgColor rgb="FFF2F2F2"/>
      </patternFill>
    </fill>
    <fill>
      <patternFill patternType="solid">
        <fgColor rgb="FFC0C0C0"/>
        <bgColor rgb="FFA7C0DE"/>
      </patternFill>
    </fill>
  </fills>
  <borders count="74">
    <border>
      <left/>
      <right/>
      <top/>
      <bottom/>
      <diagonal/>
    </border>
    <border>
      <left style="medium">
        <color auto="1"/>
      </left>
      <right style="medium">
        <color auto="1"/>
      </right>
      <top style="medium">
        <color auto="1"/>
      </top>
      <bottom style="thin">
        <color rgb="FF010000"/>
      </bottom>
      <diagonal/>
    </border>
    <border>
      <left style="medium">
        <color auto="1"/>
      </left>
      <right style="medium">
        <color auto="1"/>
      </right>
      <top style="thin">
        <color rgb="FF010000"/>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rgb="FF010000"/>
      </bottom>
      <diagonal/>
    </border>
    <border>
      <left style="thin">
        <color rgb="FF010000"/>
      </left>
      <right/>
      <top style="thin">
        <color rgb="FF010000"/>
      </top>
      <bottom style="thin">
        <color rgb="FF010000"/>
      </bottom>
      <diagonal/>
    </border>
    <border>
      <left/>
      <right/>
      <top style="thin">
        <color rgb="FF010000"/>
      </top>
      <bottom style="thin">
        <color rgb="FF010000"/>
      </bottom>
      <diagonal/>
    </border>
    <border>
      <left/>
      <right style="thin">
        <color rgb="FF010000"/>
      </right>
      <top style="thin">
        <color rgb="FF010000"/>
      </top>
      <bottom style="thin">
        <color rgb="FF010000"/>
      </bottom>
      <diagonal/>
    </border>
    <border>
      <left style="thin">
        <color rgb="FF010000"/>
      </left>
      <right style="thin">
        <color rgb="FF010000"/>
      </right>
      <top style="thin">
        <color rgb="FF010000"/>
      </top>
      <bottom style="thin">
        <color rgb="FF010000"/>
      </bottom>
      <diagonal/>
    </border>
    <border>
      <left style="thin">
        <color rgb="FF010000"/>
      </left>
      <right/>
      <top style="thin">
        <color rgb="FF010000"/>
      </top>
      <bottom/>
      <diagonal/>
    </border>
    <border>
      <left style="thin">
        <color auto="1"/>
      </left>
      <right style="thin">
        <color auto="1"/>
      </right>
      <top style="thin">
        <color rgb="FF010000"/>
      </top>
      <bottom style="thin">
        <color auto="1"/>
      </bottom>
      <diagonal/>
    </border>
    <border>
      <left/>
      <right style="thin">
        <color rgb="FF010000"/>
      </right>
      <top style="thin">
        <color rgb="FF010000"/>
      </top>
      <bottom/>
      <diagonal/>
    </border>
    <border>
      <left style="thin">
        <color rgb="FF010000"/>
      </left>
      <right style="thin">
        <color rgb="FF010000"/>
      </right>
      <top style="thin">
        <color rgb="FF010000"/>
      </top>
      <bottom/>
      <diagonal/>
    </border>
    <border>
      <left style="thin">
        <color auto="1"/>
      </left>
      <right/>
      <top style="thin">
        <color auto="1"/>
      </top>
      <bottom/>
      <diagonal/>
    </border>
    <border>
      <left/>
      <right style="thin">
        <color rgb="FF010000"/>
      </right>
      <top style="thin">
        <color auto="1"/>
      </top>
      <bottom style="thin">
        <color auto="1"/>
      </bottom>
      <diagonal/>
    </border>
    <border>
      <left style="thin">
        <color rgb="FF010000"/>
      </left>
      <right style="thin">
        <color rgb="FF010000"/>
      </right>
      <top style="thin">
        <color auto="1"/>
      </top>
      <bottom style="thin">
        <color auto="1"/>
      </bottom>
      <diagonal/>
    </border>
    <border>
      <left style="thin">
        <color rgb="FF010000"/>
      </left>
      <right style="thin">
        <color auto="1"/>
      </right>
      <top style="thin">
        <color auto="1"/>
      </top>
      <bottom style="thin">
        <color auto="1"/>
      </bottom>
      <diagonal/>
    </border>
    <border>
      <left/>
      <right style="thin">
        <color rgb="FF010000"/>
      </right>
      <top/>
      <bottom/>
      <diagonal/>
    </border>
    <border>
      <left style="thin">
        <color rgb="FF010000"/>
      </left>
      <right style="thin">
        <color rgb="FF010000"/>
      </right>
      <top/>
      <bottom/>
      <diagonal/>
    </border>
    <border>
      <left style="thin">
        <color rgb="FF010000"/>
      </left>
      <right style="thin">
        <color rgb="FF010000"/>
      </right>
      <top style="thin">
        <color rgb="FF010000"/>
      </top>
      <bottom style="thin">
        <color auto="1"/>
      </bottom>
      <diagonal/>
    </border>
    <border>
      <left style="thin">
        <color rgb="FF010000"/>
      </left>
      <right/>
      <top/>
      <bottom/>
      <diagonal/>
    </border>
    <border>
      <left style="thin">
        <color auto="1"/>
      </left>
      <right/>
      <top style="thin">
        <color auto="1"/>
      </top>
      <bottom style="thin">
        <color auto="1"/>
      </bottom>
      <diagonal/>
    </border>
    <border>
      <left/>
      <right style="thin">
        <color rgb="FF010000"/>
      </right>
      <top style="thin">
        <color auto="1"/>
      </top>
      <bottom/>
      <diagonal/>
    </border>
    <border>
      <left style="thin">
        <color rgb="FF010000"/>
      </left>
      <right style="thin">
        <color rgb="FF010000"/>
      </right>
      <top style="thin">
        <color auto="1"/>
      </top>
      <bottom/>
      <diagonal/>
    </border>
    <border>
      <left style="thin">
        <color rgb="FF010000"/>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rgb="FF010000"/>
      </right>
      <top style="thin">
        <color auto="1"/>
      </top>
      <bottom style="thin">
        <color auto="1"/>
      </bottom>
      <diagonal/>
    </border>
    <border>
      <left style="thin">
        <color rgb="FF010000"/>
      </left>
      <right/>
      <top style="thin">
        <color auto="1"/>
      </top>
      <bottom style="thin">
        <color auto="1"/>
      </bottom>
      <diagonal/>
    </border>
    <border>
      <left style="thin">
        <color rgb="FF010000"/>
      </left>
      <right/>
      <top/>
      <bottom style="thin">
        <color auto="1"/>
      </bottom>
      <diagonal/>
    </border>
    <border>
      <left style="thin">
        <color rgb="FF010000"/>
      </left>
      <right style="thin">
        <color rgb="FF010000"/>
      </right>
      <top/>
      <bottom style="thin">
        <color auto="1"/>
      </bottom>
      <diagonal/>
    </border>
    <border>
      <left style="thin">
        <color rgb="FF010000"/>
      </left>
      <right style="thin">
        <color rgb="FF010000"/>
      </right>
      <top/>
      <bottom style="thin">
        <color rgb="FF010000"/>
      </bottom>
      <diagonal/>
    </border>
    <border>
      <left style="thin">
        <color rgb="FF010000"/>
      </left>
      <right style="thin">
        <color auto="1"/>
      </right>
      <top/>
      <bottom style="thin">
        <color auto="1"/>
      </bottom>
      <diagonal/>
    </border>
    <border>
      <left style="thin">
        <color rgb="FF010000"/>
      </left>
      <right style="thin">
        <color auto="1"/>
      </right>
      <top/>
      <bottom/>
      <diagonal/>
    </border>
    <border>
      <left/>
      <right style="thin">
        <color rgb="FF010000"/>
      </right>
      <top/>
      <bottom style="thin">
        <color rgb="FF010000"/>
      </bottom>
      <diagonal/>
    </border>
    <border>
      <left/>
      <right style="thin">
        <color rgb="FF010000"/>
      </right>
      <top style="thin">
        <color rgb="FF010000"/>
      </top>
      <bottom style="thin">
        <color auto="1"/>
      </bottom>
      <diagonal/>
    </border>
    <border>
      <left style="thin">
        <color rgb="FF010000"/>
      </left>
      <right/>
      <top style="thin">
        <color rgb="FF010000"/>
      </top>
      <bottom style="thin">
        <color auto="1"/>
      </bottom>
      <diagonal/>
    </border>
    <border>
      <left style="thin">
        <color rgb="FF010000"/>
      </left>
      <right/>
      <top/>
      <bottom style="thin">
        <color rgb="FF010000"/>
      </bottom>
      <diagonal/>
    </border>
    <border>
      <left style="medium">
        <color auto="1"/>
      </left>
      <right style="medium">
        <color auto="1"/>
      </right>
      <top style="medium">
        <color auto="1"/>
      </top>
      <bottom style="medium">
        <color auto="1"/>
      </bottom>
      <diagonal/>
    </border>
    <border>
      <left/>
      <right/>
      <top style="thin">
        <color rgb="FF010000"/>
      </top>
      <bottom/>
      <diagonal/>
    </border>
    <border>
      <left style="medium">
        <color auto="1"/>
      </left>
      <right/>
      <top style="medium">
        <color auto="1"/>
      </top>
      <bottom style="thin">
        <color rgb="FF010000"/>
      </bottom>
      <diagonal/>
    </border>
    <border>
      <left/>
      <right/>
      <top style="medium">
        <color auto="1"/>
      </top>
      <bottom style="thin">
        <color rgb="FF010000"/>
      </bottom>
      <diagonal/>
    </border>
    <border>
      <left style="medium">
        <color auto="1"/>
      </left>
      <right/>
      <top style="thin">
        <color rgb="FF010000"/>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medium">
        <color auto="1"/>
      </bottom>
      <diagonal/>
    </border>
    <border>
      <left/>
      <right/>
      <top style="thin">
        <color auto="1"/>
      </top>
      <bottom style="thin">
        <color rgb="FF010000"/>
      </bottom>
      <diagonal/>
    </border>
    <border>
      <left style="thin">
        <color auto="1"/>
      </left>
      <right style="thin">
        <color auto="1"/>
      </right>
      <top style="thin">
        <color auto="1"/>
      </top>
      <bottom style="thin">
        <color rgb="FF010000"/>
      </bottom>
      <diagonal/>
    </border>
    <border>
      <left style="thin">
        <color rgb="FF010000"/>
      </left>
      <right style="thin">
        <color auto="1"/>
      </right>
      <top style="thin">
        <color rgb="FF010000"/>
      </top>
      <bottom style="thin">
        <color auto="1"/>
      </bottom>
      <diagonal/>
    </border>
    <border>
      <left style="thin">
        <color rgb="FF010000"/>
      </left>
      <right style="thin">
        <color auto="1"/>
      </right>
      <top style="thin">
        <color rgb="FF010000"/>
      </top>
      <bottom style="thin">
        <color rgb="FF010000"/>
      </bottom>
      <diagonal/>
    </border>
    <border>
      <left style="thin">
        <color auto="1"/>
      </left>
      <right style="thin">
        <color rgb="FF010000"/>
      </right>
      <top style="thin">
        <color rgb="FF010000"/>
      </top>
      <bottom style="thin">
        <color auto="1"/>
      </bottom>
      <diagonal/>
    </border>
    <border>
      <left style="thin">
        <color auto="1"/>
      </left>
      <right style="thin">
        <color auto="1"/>
      </right>
      <top style="thin">
        <color rgb="FF010000"/>
      </top>
      <bottom style="thin">
        <color rgb="FF010000"/>
      </bottom>
      <diagonal/>
    </border>
    <border>
      <left style="thin">
        <color rgb="FF010000"/>
      </left>
      <right style="thin">
        <color auto="1"/>
      </right>
      <top style="thin">
        <color rgb="FF010000"/>
      </top>
      <bottom/>
      <diagonal/>
    </border>
    <border>
      <left style="thin">
        <color auto="1"/>
      </left>
      <right style="thin">
        <color auto="1"/>
      </right>
      <top style="thin">
        <color rgb="FF010000"/>
      </top>
      <bottom/>
      <diagonal/>
    </border>
    <border>
      <left/>
      <right/>
      <top style="medium">
        <color auto="1"/>
      </top>
      <bottom style="medium">
        <color auto="1"/>
      </bottom>
      <diagonal/>
    </border>
    <border>
      <left/>
      <right/>
      <top style="medium">
        <color auto="1"/>
      </top>
      <bottom/>
      <diagonal/>
    </border>
    <border>
      <left style="thin">
        <color auto="1"/>
      </left>
      <right style="thin">
        <color auto="1"/>
      </right>
      <top/>
      <bottom/>
      <diagonal/>
    </border>
    <border>
      <left/>
      <right/>
      <top/>
      <bottom style="thin">
        <color auto="1"/>
      </bottom>
      <diagonal/>
    </border>
    <border>
      <left/>
      <right/>
      <top style="thin">
        <color auto="1"/>
      </top>
      <bottom/>
      <diagonal/>
    </border>
    <border>
      <left style="thin">
        <color auto="1"/>
      </left>
      <right/>
      <top/>
      <bottom/>
      <diagonal/>
    </border>
    <border>
      <left style="thin">
        <color auto="1"/>
      </left>
      <right style="thin">
        <color auto="1"/>
      </right>
      <top/>
      <bottom style="medium">
        <color auto="1"/>
      </bottom>
      <diagonal/>
    </border>
    <border>
      <left style="thin">
        <color auto="1"/>
      </left>
      <right/>
      <top/>
      <bottom style="thin">
        <color auto="1"/>
      </bottom>
      <diagonal/>
    </border>
  </borders>
  <cellStyleXfs count="2">
    <xf numFmtId="0" fontId="0" fillId="0" borderId="0"/>
    <xf numFmtId="9" fontId="29" fillId="0" borderId="0" applyBorder="0" applyProtection="0"/>
  </cellStyleXfs>
  <cellXfs count="513">
    <xf numFmtId="0" fontId="0" fillId="0" borderId="0" xfId="0"/>
    <xf numFmtId="0" fontId="4" fillId="3" borderId="0" xfId="0" applyFont="1" applyFill="1"/>
    <xf numFmtId="0" fontId="5" fillId="3" borderId="0" xfId="0" applyFont="1" applyFill="1" applyAlignment="1">
      <alignment horizontal="left" vertical="top"/>
    </xf>
    <xf numFmtId="0" fontId="5" fillId="3" borderId="0" xfId="0" applyFont="1" applyFill="1"/>
    <xf numFmtId="0" fontId="4" fillId="3" borderId="0" xfId="0" applyFont="1" applyFill="1" applyAlignment="1">
      <alignment horizontal="left" vertical="top"/>
    </xf>
    <xf numFmtId="0" fontId="4" fillId="3" borderId="0" xfId="0" applyFont="1" applyFill="1" applyAlignment="1">
      <alignment horizontal="left" vertical="top" wrapText="1"/>
    </xf>
    <xf numFmtId="0" fontId="6" fillId="3" borderId="0" xfId="0" applyFont="1" applyFill="1" applyAlignment="1">
      <alignment horizontal="left" vertical="top"/>
    </xf>
    <xf numFmtId="0" fontId="6" fillId="3" borderId="0" xfId="0" applyFont="1" applyFill="1" applyAlignment="1">
      <alignment horizontal="left" vertical="top" wrapText="1"/>
    </xf>
    <xf numFmtId="0" fontId="6" fillId="3" borderId="0" xfId="0" applyFont="1" applyFill="1"/>
    <xf numFmtId="0" fontId="7" fillId="3" borderId="0" xfId="0" applyFont="1" applyFill="1" applyAlignment="1">
      <alignment horizontal="left" vertical="top"/>
    </xf>
    <xf numFmtId="0" fontId="1" fillId="0" borderId="0" xfId="0" applyFont="1" applyAlignment="1">
      <alignment horizontal="center"/>
    </xf>
    <xf numFmtId="0" fontId="1" fillId="0" borderId="0" xfId="0" applyFont="1" applyAlignment="1">
      <alignment vertical="top"/>
    </xf>
    <xf numFmtId="0" fontId="1" fillId="0" borderId="0" xfId="0" applyFont="1" applyAlignment="1">
      <alignment wrapText="1"/>
    </xf>
    <xf numFmtId="0" fontId="1" fillId="0" borderId="0" xfId="0" applyFont="1" applyAlignment="1">
      <alignment horizontal="center" wrapText="1"/>
    </xf>
    <xf numFmtId="0" fontId="8" fillId="0" borderId="0" xfId="0" applyFont="1" applyAlignment="1">
      <alignment horizontal="center"/>
    </xf>
    <xf numFmtId="164" fontId="1" fillId="0" borderId="0" xfId="0" applyNumberFormat="1" applyFont="1" applyAlignment="1">
      <alignment horizontal="center"/>
    </xf>
    <xf numFmtId="0" fontId="9" fillId="0" borderId="0" xfId="0" applyFont="1" applyAlignment="1">
      <alignment horizontal="left"/>
    </xf>
    <xf numFmtId="0" fontId="11" fillId="0" borderId="0" xfId="0" applyFont="1" applyAlignment="1">
      <alignment horizontal="left" wrapText="1"/>
    </xf>
    <xf numFmtId="0" fontId="12" fillId="0" borderId="0" xfId="0" applyFont="1" applyAlignment="1">
      <alignment wrapText="1"/>
    </xf>
    <xf numFmtId="0" fontId="12" fillId="0" borderId="0" xfId="0" applyFont="1" applyAlignment="1">
      <alignment vertical="top" wrapText="1"/>
    </xf>
    <xf numFmtId="0" fontId="12" fillId="0" borderId="0" xfId="0" applyFont="1" applyAlignment="1">
      <alignment horizontal="center" wrapText="1"/>
    </xf>
    <xf numFmtId="0" fontId="13" fillId="0" borderId="0" xfId="0" applyFont="1" applyAlignment="1">
      <alignment horizontal="center" wrapText="1"/>
    </xf>
    <xf numFmtId="164" fontId="12" fillId="0" borderId="0" xfId="0" applyNumberFormat="1" applyFont="1" applyAlignment="1">
      <alignment horizontal="center" wrapText="1"/>
    </xf>
    <xf numFmtId="0" fontId="12" fillId="0" borderId="0" xfId="0" applyFont="1"/>
    <xf numFmtId="0" fontId="3" fillId="0" borderId="0" xfId="0" applyFont="1" applyAlignment="1">
      <alignment wrapText="1"/>
    </xf>
    <xf numFmtId="0" fontId="12" fillId="0" borderId="6" xfId="0" applyFont="1" applyBorder="1" applyAlignment="1">
      <alignment wrapText="1"/>
    </xf>
    <xf numFmtId="0" fontId="12" fillId="0" borderId="8" xfId="0" applyFont="1" applyBorder="1" applyAlignment="1">
      <alignment wrapText="1"/>
    </xf>
    <xf numFmtId="165" fontId="12" fillId="0" borderId="8" xfId="0" applyNumberFormat="1" applyFont="1" applyBorder="1" applyAlignment="1">
      <alignment horizontal="left" wrapText="1"/>
    </xf>
    <xf numFmtId="165" fontId="12" fillId="0" borderId="0" xfId="0" applyNumberFormat="1" applyFont="1" applyAlignment="1">
      <alignment horizontal="center" wrapText="1"/>
    </xf>
    <xf numFmtId="0" fontId="14" fillId="0" borderId="0" xfId="0" applyFont="1"/>
    <xf numFmtId="0" fontId="12" fillId="6" borderId="10" xfId="0" applyFont="1" applyFill="1" applyBorder="1" applyAlignment="1" applyProtection="1">
      <alignment vertical="center" wrapText="1"/>
      <protection locked="0"/>
    </xf>
    <xf numFmtId="0" fontId="12" fillId="0" borderId="0" xfId="0" applyFont="1" applyAlignment="1">
      <alignment horizontal="center" vertical="center" wrapText="1"/>
    </xf>
    <xf numFmtId="0" fontId="13" fillId="0" borderId="11" xfId="0" applyFont="1" applyBorder="1" applyAlignment="1">
      <alignment horizontal="center" vertical="center" wrapText="1"/>
    </xf>
    <xf numFmtId="0" fontId="12" fillId="0" borderId="12" xfId="0" applyFont="1" applyBorder="1" applyAlignment="1">
      <alignment horizontal="center" vertical="center" wrapText="1"/>
    </xf>
    <xf numFmtId="164" fontId="12" fillId="0" borderId="12" xfId="0" applyNumberFormat="1" applyFont="1" applyBorder="1" applyAlignment="1">
      <alignment horizontal="center" vertical="center" wrapText="1"/>
    </xf>
    <xf numFmtId="166" fontId="12" fillId="6" borderId="13" xfId="0" applyNumberFormat="1" applyFont="1" applyFill="1" applyBorder="1" applyAlignment="1" applyProtection="1">
      <alignment horizontal="center" vertical="center"/>
      <protection locked="0"/>
    </xf>
    <xf numFmtId="0" fontId="11" fillId="0" borderId="0" xfId="0" applyFont="1" applyAlignment="1">
      <alignment horizontal="left" vertical="center" wrapText="1"/>
    </xf>
    <xf numFmtId="0" fontId="13" fillId="7" borderId="11" xfId="0" applyFont="1" applyFill="1" applyBorder="1" applyAlignment="1">
      <alignment vertical="center"/>
    </xf>
    <xf numFmtId="0" fontId="13" fillId="0" borderId="11" xfId="0" applyFont="1" applyBorder="1" applyAlignment="1">
      <alignment vertical="center" wrapText="1"/>
    </xf>
    <xf numFmtId="0" fontId="13" fillId="9" borderId="15" xfId="0" applyFont="1" applyFill="1" applyBorder="1" applyAlignment="1">
      <alignment wrapText="1"/>
    </xf>
    <xf numFmtId="0" fontId="13" fillId="9" borderId="16" xfId="0" applyFont="1" applyFill="1" applyBorder="1" applyAlignment="1">
      <alignment horizontal="center" wrapText="1"/>
    </xf>
    <xf numFmtId="0" fontId="13" fillId="9" borderId="15" xfId="0" applyFont="1" applyFill="1" applyBorder="1" applyAlignment="1">
      <alignment horizontal="center" wrapText="1"/>
    </xf>
    <xf numFmtId="0" fontId="13" fillId="9" borderId="17" xfId="0" applyFont="1" applyFill="1" applyBorder="1" applyAlignment="1">
      <alignment horizontal="center" wrapText="1"/>
    </xf>
    <xf numFmtId="0" fontId="13" fillId="9" borderId="18" xfId="0" applyFont="1" applyFill="1" applyBorder="1" applyAlignment="1">
      <alignment horizontal="center" wrapText="1"/>
    </xf>
    <xf numFmtId="164" fontId="13" fillId="9" borderId="18" xfId="0" applyNumberFormat="1" applyFont="1" applyFill="1" applyBorder="1" applyAlignment="1">
      <alignment horizontal="center" wrapText="1"/>
    </xf>
    <xf numFmtId="0" fontId="13" fillId="9" borderId="18" xfId="0" applyFont="1" applyFill="1" applyBorder="1" applyAlignment="1">
      <alignment horizontal="center"/>
    </xf>
    <xf numFmtId="0" fontId="13" fillId="9" borderId="15" xfId="0" applyFont="1" applyFill="1" applyBorder="1" applyAlignment="1">
      <alignment horizontal="center"/>
    </xf>
    <xf numFmtId="0" fontId="0" fillId="0" borderId="0" xfId="0" applyAlignment="1">
      <alignment horizontal="center"/>
    </xf>
    <xf numFmtId="0" fontId="13" fillId="9" borderId="20" xfId="0" applyFont="1" applyFill="1" applyBorder="1" applyAlignment="1">
      <alignment horizontal="center" wrapText="1"/>
    </xf>
    <xf numFmtId="0" fontId="13" fillId="0" borderId="21" xfId="0" applyFont="1" applyBorder="1" applyAlignment="1">
      <alignment vertical="top" wrapText="1"/>
    </xf>
    <xf numFmtId="0" fontId="13" fillId="0" borderId="21" xfId="0" applyFont="1" applyBorder="1" applyAlignment="1">
      <alignment horizontal="center" wrapText="1"/>
    </xf>
    <xf numFmtId="0" fontId="13" fillId="6" borderId="22" xfId="0" applyFont="1" applyFill="1" applyBorder="1" applyAlignment="1" applyProtection="1">
      <alignment horizontal="center" wrapText="1"/>
      <protection locked="0"/>
    </xf>
    <xf numFmtId="0" fontId="12" fillId="0" borderId="22" xfId="0" applyFont="1" applyBorder="1" applyAlignment="1">
      <alignment horizontal="center"/>
    </xf>
    <xf numFmtId="164" fontId="12" fillId="0" borderId="22" xfId="0" applyNumberFormat="1" applyFont="1" applyBorder="1" applyAlignment="1">
      <alignment horizontal="center"/>
    </xf>
    <xf numFmtId="0" fontId="16" fillId="10" borderId="23" xfId="0" applyFont="1" applyFill="1" applyBorder="1" applyAlignment="1">
      <alignment horizontal="right" vertical="top" wrapText="1"/>
    </xf>
    <xf numFmtId="0" fontId="12" fillId="10" borderId="24" xfId="0" applyFont="1" applyFill="1" applyBorder="1" applyAlignment="1">
      <alignment vertical="top" wrapText="1"/>
    </xf>
    <xf numFmtId="0" fontId="12" fillId="10" borderId="24" xfId="0" applyFont="1" applyFill="1" applyBorder="1" applyAlignment="1">
      <alignment horizontal="center" wrapText="1"/>
    </xf>
    <xf numFmtId="0" fontId="12" fillId="10" borderId="25" xfId="0" applyFont="1" applyFill="1" applyBorder="1" applyAlignment="1">
      <alignment wrapText="1"/>
    </xf>
    <xf numFmtId="0" fontId="12" fillId="10" borderId="25" xfId="0" applyFont="1" applyFill="1" applyBorder="1" applyAlignment="1">
      <alignment horizontal="center" wrapText="1"/>
    </xf>
    <xf numFmtId="164" fontId="12" fillId="10" borderId="26" xfId="0" applyNumberFormat="1" applyFont="1" applyFill="1" applyBorder="1" applyAlignment="1">
      <alignment horizontal="center"/>
    </xf>
    <xf numFmtId="0" fontId="13" fillId="0" borderId="27" xfId="0" applyFont="1" applyBorder="1" applyAlignment="1">
      <alignment horizontal="center" wrapText="1"/>
    </xf>
    <xf numFmtId="0" fontId="13" fillId="6" borderId="28" xfId="0" applyFont="1" applyFill="1" applyBorder="1" applyAlignment="1" applyProtection="1">
      <alignment horizontal="center" wrapText="1"/>
      <protection locked="0"/>
    </xf>
    <xf numFmtId="0" fontId="12" fillId="0" borderId="28" xfId="0" applyFont="1" applyBorder="1" applyAlignment="1">
      <alignment horizontal="center"/>
    </xf>
    <xf numFmtId="164" fontId="12" fillId="0" borderId="28" xfId="0" applyNumberFormat="1" applyFont="1" applyBorder="1" applyAlignment="1">
      <alignment horizontal="center" wrapText="1"/>
    </xf>
    <xf numFmtId="0" fontId="11" fillId="0" borderId="30" xfId="0" applyFont="1" applyBorder="1" applyAlignment="1">
      <alignment horizontal="left" wrapText="1"/>
    </xf>
    <xf numFmtId="0" fontId="16" fillId="10" borderId="31" xfId="0" applyFont="1" applyFill="1" applyBorder="1" applyAlignment="1">
      <alignment horizontal="right" vertical="top" wrapText="1"/>
    </xf>
    <xf numFmtId="0" fontId="13" fillId="10" borderId="25" xfId="0" applyFont="1" applyFill="1" applyBorder="1" applyAlignment="1">
      <alignment horizontal="center" wrapText="1"/>
    </xf>
    <xf numFmtId="164" fontId="12" fillId="10" borderId="26" xfId="0" applyNumberFormat="1" applyFont="1" applyFill="1" applyBorder="1" applyAlignment="1">
      <alignment horizontal="center" wrapText="1"/>
    </xf>
    <xf numFmtId="0" fontId="12" fillId="10" borderId="32" xfId="0" applyFont="1" applyFill="1" applyBorder="1" applyAlignment="1">
      <alignment vertical="top" wrapText="1"/>
    </xf>
    <xf numFmtId="0" fontId="12" fillId="10" borderId="32" xfId="0" applyFont="1" applyFill="1" applyBorder="1" applyAlignment="1">
      <alignment horizontal="center" wrapText="1"/>
    </xf>
    <xf numFmtId="0" fontId="13" fillId="10" borderId="33" xfId="0" applyFont="1" applyFill="1" applyBorder="1" applyAlignment="1">
      <alignment horizontal="center" wrapText="1"/>
    </xf>
    <xf numFmtId="0" fontId="12" fillId="10" borderId="33" xfId="0" applyFont="1" applyFill="1" applyBorder="1" applyAlignment="1">
      <alignment horizontal="center" wrapText="1"/>
    </xf>
    <xf numFmtId="164" fontId="12" fillId="10" borderId="34" xfId="0" applyNumberFormat="1" applyFont="1" applyFill="1" applyBorder="1" applyAlignment="1">
      <alignment horizontal="center" wrapText="1"/>
    </xf>
    <xf numFmtId="0" fontId="12" fillId="11" borderId="31" xfId="0" applyFont="1" applyFill="1" applyBorder="1" applyAlignment="1">
      <alignment wrapText="1"/>
    </xf>
    <xf numFmtId="0" fontId="12" fillId="11" borderId="12" xfId="0" applyFont="1" applyFill="1" applyBorder="1" applyAlignment="1">
      <alignment wrapText="1"/>
    </xf>
    <xf numFmtId="0" fontId="11" fillId="0" borderId="12" xfId="0" applyFont="1" applyBorder="1" applyAlignment="1">
      <alignment horizontal="left" wrapText="1"/>
    </xf>
    <xf numFmtId="0" fontId="12" fillId="11" borderId="13" xfId="0" applyFont="1" applyFill="1" applyBorder="1" applyAlignment="1">
      <alignment wrapText="1"/>
    </xf>
    <xf numFmtId="0" fontId="13" fillId="9" borderId="35" xfId="0" applyFont="1" applyFill="1" applyBorder="1" applyAlignment="1">
      <alignment horizontal="center" wrapText="1"/>
    </xf>
    <xf numFmtId="0" fontId="13" fillId="0" borderId="27" xfId="0" applyFont="1" applyBorder="1" applyAlignment="1">
      <alignment vertical="top" wrapText="1"/>
    </xf>
    <xf numFmtId="164" fontId="12" fillId="0" borderId="28" xfId="0" applyNumberFormat="1" applyFont="1" applyBorder="1" applyAlignment="1">
      <alignment horizontal="center"/>
    </xf>
    <xf numFmtId="0" fontId="13" fillId="9" borderId="24" xfId="0" applyFont="1" applyFill="1" applyBorder="1" applyAlignment="1">
      <alignment horizontal="center" wrapText="1"/>
    </xf>
    <xf numFmtId="0" fontId="13" fillId="9" borderId="25" xfId="0" applyFont="1" applyFill="1" applyBorder="1" applyAlignment="1">
      <alignment horizontal="center" wrapText="1"/>
    </xf>
    <xf numFmtId="164" fontId="13" fillId="9" borderId="25" xfId="0" applyNumberFormat="1" applyFont="1" applyFill="1" applyBorder="1" applyAlignment="1">
      <alignment horizontal="center" wrapText="1"/>
    </xf>
    <xf numFmtId="0" fontId="13" fillId="9" borderId="25" xfId="0" applyFont="1" applyFill="1" applyBorder="1" applyAlignment="1">
      <alignment horizontal="center"/>
    </xf>
    <xf numFmtId="0" fontId="13" fillId="9" borderId="37" xfId="0" applyFont="1" applyFill="1" applyBorder="1" applyAlignment="1">
      <alignment horizontal="center"/>
    </xf>
    <xf numFmtId="0" fontId="13" fillId="9" borderId="37" xfId="0" applyFont="1" applyFill="1" applyBorder="1" applyAlignment="1">
      <alignment wrapText="1"/>
    </xf>
    <xf numFmtId="0" fontId="13" fillId="9" borderId="12" xfId="0" applyFont="1" applyFill="1" applyBorder="1" applyAlignment="1">
      <alignment wrapText="1"/>
    </xf>
    <xf numFmtId="0" fontId="13" fillId="9" borderId="13" xfId="0" applyFont="1" applyFill="1" applyBorder="1" applyAlignment="1">
      <alignment wrapText="1"/>
    </xf>
    <xf numFmtId="0" fontId="13" fillId="6" borderId="25" xfId="0" applyFont="1" applyFill="1" applyBorder="1" applyAlignment="1" applyProtection="1">
      <alignment horizontal="center" wrapText="1"/>
      <protection locked="0"/>
    </xf>
    <xf numFmtId="164" fontId="12" fillId="0" borderId="39" xfId="0" applyNumberFormat="1" applyFont="1" applyBorder="1" applyAlignment="1">
      <alignment horizontal="center" wrapText="1"/>
    </xf>
    <xf numFmtId="0" fontId="13" fillId="10" borderId="39" xfId="0" applyFont="1" applyFill="1" applyBorder="1" applyAlignment="1">
      <alignment horizontal="center" wrapText="1"/>
    </xf>
    <xf numFmtId="0" fontId="12" fillId="10" borderId="39" xfId="0" applyFont="1" applyFill="1" applyBorder="1" applyAlignment="1">
      <alignment horizontal="center" wrapText="1"/>
    </xf>
    <xf numFmtId="164" fontId="12" fillId="10" borderId="41" xfId="0" applyNumberFormat="1" applyFont="1" applyFill="1" applyBorder="1" applyAlignment="1">
      <alignment horizontal="center" wrapText="1"/>
    </xf>
    <xf numFmtId="0" fontId="13" fillId="10" borderId="28" xfId="0" applyFont="1" applyFill="1" applyBorder="1" applyAlignment="1">
      <alignment horizontal="center" wrapText="1"/>
    </xf>
    <xf numFmtId="0" fontId="12" fillId="10" borderId="28" xfId="0" applyFont="1" applyFill="1" applyBorder="1" applyAlignment="1">
      <alignment horizontal="center" wrapText="1"/>
    </xf>
    <xf numFmtId="164" fontId="12" fillId="10" borderId="42" xfId="0" applyNumberFormat="1" applyFont="1" applyFill="1" applyBorder="1" applyAlignment="1">
      <alignment horizontal="center" wrapText="1"/>
    </xf>
    <xf numFmtId="0" fontId="1" fillId="0" borderId="0" xfId="0" applyFont="1"/>
    <xf numFmtId="0" fontId="2" fillId="12" borderId="14" xfId="0" applyFont="1" applyFill="1" applyBorder="1" applyAlignment="1">
      <alignment wrapText="1"/>
    </xf>
    <xf numFmtId="0" fontId="13" fillId="13" borderId="18" xfId="0" applyFont="1" applyFill="1" applyBorder="1" applyAlignment="1">
      <alignment horizontal="center" wrapText="1"/>
    </xf>
    <xf numFmtId="0" fontId="13" fillId="13" borderId="17" xfId="0" applyFont="1" applyFill="1" applyBorder="1" applyAlignment="1">
      <alignment horizontal="center" wrapText="1"/>
    </xf>
    <xf numFmtId="164" fontId="13" fillId="13" borderId="18" xfId="0" applyNumberFormat="1" applyFont="1" applyFill="1" applyBorder="1" applyAlignment="1">
      <alignment horizontal="center" wrapText="1"/>
    </xf>
    <xf numFmtId="0" fontId="13" fillId="13" borderId="18" xfId="0" applyFont="1" applyFill="1" applyBorder="1" applyAlignment="1">
      <alignment horizontal="center"/>
    </xf>
    <xf numFmtId="0" fontId="13" fillId="13" borderId="15" xfId="0" applyFont="1" applyFill="1" applyBorder="1" applyAlignment="1">
      <alignment horizontal="center"/>
    </xf>
    <xf numFmtId="0" fontId="13" fillId="13" borderId="15" xfId="0" applyFont="1" applyFill="1" applyBorder="1" applyAlignment="1">
      <alignment wrapText="1"/>
    </xf>
    <xf numFmtId="0" fontId="13" fillId="13" borderId="16" xfId="0" applyFont="1" applyFill="1" applyBorder="1" applyAlignment="1">
      <alignment wrapText="1"/>
    </xf>
    <xf numFmtId="0" fontId="13" fillId="13" borderId="17" xfId="0" applyFont="1" applyFill="1" applyBorder="1" applyAlignment="1">
      <alignment wrapText="1"/>
    </xf>
    <xf numFmtId="0" fontId="13" fillId="13" borderId="15" xfId="0" applyFont="1" applyFill="1" applyBorder="1" applyAlignment="1">
      <alignment horizontal="center" vertical="center" wrapText="1"/>
    </xf>
    <xf numFmtId="0" fontId="13" fillId="13" borderId="20" xfId="0" applyFont="1" applyFill="1" applyBorder="1" applyAlignment="1">
      <alignment horizontal="center" wrapText="1"/>
    </xf>
    <xf numFmtId="0" fontId="13" fillId="6" borderId="29" xfId="0" applyFont="1" applyFill="1" applyBorder="1" applyAlignment="1" applyProtection="1">
      <alignment horizontal="center" wrapText="1"/>
      <protection locked="0"/>
    </xf>
    <xf numFmtId="0" fontId="11" fillId="0" borderId="0" xfId="0" applyFont="1" applyAlignment="1" applyProtection="1">
      <alignment horizontal="left" wrapText="1"/>
      <protection locked="0"/>
    </xf>
    <xf numFmtId="0" fontId="12" fillId="0" borderId="39" xfId="0" applyFont="1" applyBorder="1" applyAlignment="1">
      <alignment horizontal="center"/>
    </xf>
    <xf numFmtId="0" fontId="11" fillId="0" borderId="30" xfId="0" applyFont="1" applyBorder="1" applyAlignment="1" applyProtection="1">
      <alignment horizontal="left" wrapText="1"/>
      <protection locked="0"/>
    </xf>
    <xf numFmtId="0" fontId="13" fillId="13" borderId="24" xfId="0" applyFont="1" applyFill="1" applyBorder="1" applyAlignment="1">
      <alignment horizontal="center" wrapText="1"/>
    </xf>
    <xf numFmtId="0" fontId="13" fillId="13" borderId="25" xfId="0" applyFont="1" applyFill="1" applyBorder="1" applyAlignment="1">
      <alignment horizontal="center" wrapText="1"/>
    </xf>
    <xf numFmtId="164" fontId="13" fillId="13" borderId="25" xfId="0" applyNumberFormat="1" applyFont="1" applyFill="1" applyBorder="1" applyAlignment="1">
      <alignment horizontal="center" wrapText="1"/>
    </xf>
    <xf numFmtId="0" fontId="13" fillId="13" borderId="25" xfId="0" applyFont="1" applyFill="1" applyBorder="1" applyAlignment="1">
      <alignment horizontal="center"/>
    </xf>
    <xf numFmtId="0" fontId="13" fillId="13" borderId="37" xfId="0" applyFont="1" applyFill="1" applyBorder="1" applyAlignment="1">
      <alignment horizontal="center"/>
    </xf>
    <xf numFmtId="0" fontId="13" fillId="13" borderId="37" xfId="0" applyFont="1" applyFill="1" applyBorder="1" applyAlignment="1">
      <alignment wrapText="1"/>
    </xf>
    <xf numFmtId="0" fontId="13" fillId="13" borderId="12" xfId="0" applyFont="1" applyFill="1" applyBorder="1" applyAlignment="1">
      <alignment wrapText="1"/>
    </xf>
    <xf numFmtId="0" fontId="13" fillId="13" borderId="13" xfId="0" applyFont="1" applyFill="1" applyBorder="1" applyAlignment="1">
      <alignment wrapText="1"/>
    </xf>
    <xf numFmtId="0" fontId="13" fillId="13" borderId="35" xfId="0" applyFont="1" applyFill="1" applyBorder="1" applyAlignment="1">
      <alignment horizontal="center" wrapText="1"/>
    </xf>
    <xf numFmtId="0" fontId="13" fillId="6" borderId="39" xfId="0" applyFont="1" applyFill="1" applyBorder="1" applyAlignment="1" applyProtection="1">
      <alignment horizontal="center" wrapText="1"/>
      <protection locked="0"/>
    </xf>
    <xf numFmtId="0" fontId="2" fillId="14" borderId="12" xfId="0" applyFont="1" applyFill="1" applyBorder="1" applyAlignment="1">
      <alignment wrapText="1"/>
    </xf>
    <xf numFmtId="0" fontId="2" fillId="14" borderId="13" xfId="0" applyFont="1" applyFill="1" applyBorder="1" applyAlignment="1">
      <alignment wrapText="1"/>
    </xf>
    <xf numFmtId="0" fontId="13" fillId="15" borderId="40" xfId="0" applyFont="1" applyFill="1" applyBorder="1" applyAlignment="1">
      <alignment horizontal="center" wrapText="1"/>
    </xf>
    <xf numFmtId="0" fontId="13" fillId="15" borderId="43" xfId="0" applyFont="1" applyFill="1" applyBorder="1" applyAlignment="1">
      <alignment horizontal="center" wrapText="1"/>
    </xf>
    <xf numFmtId="164" fontId="13" fillId="15" borderId="40" xfId="0" applyNumberFormat="1" applyFont="1" applyFill="1" applyBorder="1" applyAlignment="1">
      <alignment horizontal="center" wrapText="1"/>
    </xf>
    <xf numFmtId="0" fontId="13" fillId="15" borderId="40" xfId="0" applyFont="1" applyFill="1" applyBorder="1" applyAlignment="1">
      <alignment horizontal="center"/>
    </xf>
    <xf numFmtId="0" fontId="13" fillId="15" borderId="46" xfId="0" applyFont="1" applyFill="1" applyBorder="1" applyAlignment="1">
      <alignment horizontal="center"/>
    </xf>
    <xf numFmtId="0" fontId="13" fillId="15" borderId="46" xfId="0" applyFont="1" applyFill="1" applyBorder="1" applyAlignment="1">
      <alignment wrapText="1"/>
    </xf>
    <xf numFmtId="0" fontId="13" fillId="15" borderId="14" xfId="0" applyFont="1" applyFill="1" applyBorder="1" applyAlignment="1">
      <alignment wrapText="1"/>
    </xf>
    <xf numFmtId="0" fontId="13" fillId="15" borderId="43" xfId="0" applyFont="1" applyFill="1" applyBorder="1" applyAlignment="1">
      <alignment wrapText="1"/>
    </xf>
    <xf numFmtId="0" fontId="13" fillId="15" borderId="15" xfId="0" applyFont="1" applyFill="1" applyBorder="1" applyAlignment="1">
      <alignment horizontal="center" vertical="center" wrapText="1"/>
    </xf>
    <xf numFmtId="0" fontId="13" fillId="15" borderId="20" xfId="0" applyFont="1" applyFill="1" applyBorder="1" applyAlignment="1">
      <alignment horizontal="center" wrapText="1"/>
    </xf>
    <xf numFmtId="0" fontId="13" fillId="16" borderId="24" xfId="0" applyFont="1" applyFill="1" applyBorder="1" applyAlignment="1">
      <alignment horizontal="center" wrapText="1"/>
    </xf>
    <xf numFmtId="0" fontId="13" fillId="15" borderId="25" xfId="0" applyFont="1" applyFill="1" applyBorder="1" applyAlignment="1">
      <alignment horizontal="center" wrapText="1"/>
    </xf>
    <xf numFmtId="0" fontId="13" fillId="16" borderId="25" xfId="0" applyFont="1" applyFill="1" applyBorder="1" applyAlignment="1">
      <alignment horizontal="center" wrapText="1"/>
    </xf>
    <xf numFmtId="164" fontId="13" fillId="16" borderId="25" xfId="0" applyNumberFormat="1" applyFont="1" applyFill="1" applyBorder="1" applyAlignment="1">
      <alignment horizontal="center" wrapText="1"/>
    </xf>
    <xf numFmtId="0" fontId="13" fillId="15" borderId="25" xfId="0" applyFont="1" applyFill="1" applyBorder="1" applyAlignment="1">
      <alignment horizontal="center"/>
    </xf>
    <xf numFmtId="0" fontId="13" fillId="15" borderId="37" xfId="0" applyFont="1" applyFill="1" applyBorder="1" applyAlignment="1">
      <alignment horizontal="center"/>
    </xf>
    <xf numFmtId="0" fontId="13" fillId="15" borderId="37" xfId="0" applyFont="1" applyFill="1" applyBorder="1" applyAlignment="1">
      <alignment wrapText="1"/>
    </xf>
    <xf numFmtId="0" fontId="13" fillId="15" borderId="12" xfId="0" applyFont="1" applyFill="1" applyBorder="1" applyAlignment="1">
      <alignment wrapText="1"/>
    </xf>
    <xf numFmtId="0" fontId="13" fillId="15" borderId="13" xfId="0" applyFont="1" applyFill="1" applyBorder="1" applyAlignment="1">
      <alignment wrapText="1"/>
    </xf>
    <xf numFmtId="0" fontId="13" fillId="15" borderId="46" xfId="0" applyFont="1" applyFill="1" applyBorder="1" applyAlignment="1">
      <alignment horizontal="center" vertical="center" wrapText="1"/>
    </xf>
    <xf numFmtId="0" fontId="13" fillId="15" borderId="35" xfId="0" applyFont="1" applyFill="1" applyBorder="1" applyAlignment="1">
      <alignment horizontal="center" wrapText="1"/>
    </xf>
    <xf numFmtId="0" fontId="13" fillId="16" borderId="43" xfId="0" applyFont="1" applyFill="1" applyBorder="1" applyAlignment="1">
      <alignment horizontal="center" wrapText="1"/>
    </xf>
    <xf numFmtId="0" fontId="13" fillId="16" borderId="40" xfId="0" applyFont="1" applyFill="1" applyBorder="1" applyAlignment="1">
      <alignment horizontal="center" wrapText="1"/>
    </xf>
    <xf numFmtId="164" fontId="13" fillId="16" borderId="40" xfId="0" applyNumberFormat="1" applyFont="1" applyFill="1" applyBorder="1" applyAlignment="1">
      <alignment horizontal="center" wrapText="1"/>
    </xf>
    <xf numFmtId="0" fontId="13" fillId="15" borderId="18" xfId="0" applyFont="1" applyFill="1" applyBorder="1" applyAlignment="1">
      <alignment horizontal="center"/>
    </xf>
    <xf numFmtId="0" fontId="13" fillId="15" borderId="15" xfId="0" applyFont="1" applyFill="1" applyBorder="1" applyAlignment="1">
      <alignment horizontal="center"/>
    </xf>
    <xf numFmtId="0" fontId="2" fillId="17" borderId="14" xfId="0" applyFont="1" applyFill="1" applyBorder="1" applyAlignment="1">
      <alignment wrapText="1"/>
    </xf>
    <xf numFmtId="0" fontId="13" fillId="18" borderId="18" xfId="0" applyFont="1" applyFill="1" applyBorder="1" applyAlignment="1">
      <alignment horizontal="center" wrapText="1"/>
    </xf>
    <xf numFmtId="0" fontId="13" fillId="18" borderId="17" xfId="0" applyFont="1" applyFill="1" applyBorder="1" applyAlignment="1">
      <alignment horizontal="center" wrapText="1"/>
    </xf>
    <xf numFmtId="164" fontId="13" fillId="18" borderId="18" xfId="0" applyNumberFormat="1" applyFont="1" applyFill="1" applyBorder="1" applyAlignment="1">
      <alignment horizontal="center" wrapText="1"/>
    </xf>
    <xf numFmtId="0" fontId="13" fillId="18" borderId="18" xfId="0" applyFont="1" applyFill="1" applyBorder="1" applyAlignment="1">
      <alignment horizontal="center"/>
    </xf>
    <xf numFmtId="0" fontId="13" fillId="18" borderId="15" xfId="0" applyFont="1" applyFill="1" applyBorder="1" applyAlignment="1">
      <alignment horizontal="center"/>
    </xf>
    <xf numFmtId="0" fontId="13" fillId="18" borderId="15" xfId="0" applyFont="1" applyFill="1" applyBorder="1" applyAlignment="1">
      <alignment wrapText="1"/>
    </xf>
    <xf numFmtId="0" fontId="13" fillId="18" borderId="16" xfId="0" applyFont="1" applyFill="1" applyBorder="1" applyAlignment="1">
      <alignment wrapText="1"/>
    </xf>
    <xf numFmtId="0" fontId="13" fillId="18" borderId="17" xfId="0" applyFont="1" applyFill="1" applyBorder="1" applyAlignment="1">
      <alignment wrapText="1"/>
    </xf>
    <xf numFmtId="0" fontId="13" fillId="19" borderId="20" xfId="0" applyFont="1" applyFill="1" applyBorder="1" applyAlignment="1">
      <alignment horizontal="center" vertical="top" wrapText="1"/>
    </xf>
    <xf numFmtId="0" fontId="13" fillId="0" borderId="21" xfId="0" applyFont="1" applyBorder="1" applyAlignment="1">
      <alignment horizontal="center" vertical="top" wrapText="1"/>
    </xf>
    <xf numFmtId="0" fontId="12" fillId="10" borderId="24" xfId="0" applyFont="1" applyFill="1" applyBorder="1" applyAlignment="1">
      <alignment horizontal="center" vertical="top" wrapText="1"/>
    </xf>
    <xf numFmtId="0" fontId="13" fillId="10" borderId="39" xfId="0" applyFont="1" applyFill="1" applyBorder="1" applyAlignment="1">
      <alignment horizontal="center" vertical="top" wrapText="1"/>
    </xf>
    <xf numFmtId="0" fontId="12" fillId="10" borderId="39" xfId="0" applyFont="1" applyFill="1" applyBorder="1" applyAlignment="1">
      <alignment horizontal="center" vertical="top" wrapText="1"/>
    </xf>
    <xf numFmtId="164" fontId="12" fillId="0" borderId="28" xfId="0" applyNumberFormat="1" applyFont="1" applyBorder="1" applyAlignment="1">
      <alignment horizontal="center" vertical="top" wrapText="1"/>
    </xf>
    <xf numFmtId="164" fontId="12" fillId="10" borderId="41" xfId="0" applyNumberFormat="1" applyFont="1" applyFill="1" applyBorder="1" applyAlignment="1">
      <alignment horizontal="center" vertical="top" wrapText="1"/>
    </xf>
    <xf numFmtId="0" fontId="12" fillId="10" borderId="32" xfId="0" applyFont="1" applyFill="1" applyBorder="1" applyAlignment="1">
      <alignment horizontal="center" vertical="top" wrapText="1"/>
    </xf>
    <xf numFmtId="0" fontId="13" fillId="10" borderId="28" xfId="0" applyFont="1" applyFill="1" applyBorder="1" applyAlignment="1">
      <alignment horizontal="center" vertical="top" wrapText="1"/>
    </xf>
    <xf numFmtId="0" fontId="12" fillId="10" borderId="28" xfId="0" applyFont="1" applyFill="1" applyBorder="1" applyAlignment="1">
      <alignment horizontal="center" vertical="top" wrapText="1"/>
    </xf>
    <xf numFmtId="164" fontId="12" fillId="10" borderId="42" xfId="0" applyNumberFormat="1" applyFont="1" applyFill="1" applyBorder="1" applyAlignment="1">
      <alignment horizontal="center" vertical="top" wrapText="1"/>
    </xf>
    <xf numFmtId="0" fontId="13" fillId="18" borderId="24" xfId="0" applyFont="1" applyFill="1" applyBorder="1" applyAlignment="1">
      <alignment horizontal="center" wrapText="1"/>
    </xf>
    <xf numFmtId="0" fontId="13" fillId="18" borderId="25" xfId="0" applyFont="1" applyFill="1" applyBorder="1" applyAlignment="1">
      <alignment horizontal="center" wrapText="1"/>
    </xf>
    <xf numFmtId="164" fontId="13" fillId="18" borderId="25" xfId="0" applyNumberFormat="1" applyFont="1" applyFill="1" applyBorder="1" applyAlignment="1">
      <alignment horizontal="center" wrapText="1"/>
    </xf>
    <xf numFmtId="0" fontId="13" fillId="18" borderId="25" xfId="0" applyFont="1" applyFill="1" applyBorder="1" applyAlignment="1">
      <alignment horizontal="center"/>
    </xf>
    <xf numFmtId="0" fontId="13" fillId="18" borderId="37" xfId="0" applyFont="1" applyFill="1" applyBorder="1" applyAlignment="1">
      <alignment horizontal="center"/>
    </xf>
    <xf numFmtId="0" fontId="13" fillId="18" borderId="37" xfId="0" applyFont="1" applyFill="1" applyBorder="1" applyAlignment="1">
      <alignment wrapText="1"/>
    </xf>
    <xf numFmtId="0" fontId="13" fillId="18" borderId="12" xfId="0" applyFont="1" applyFill="1" applyBorder="1" applyAlignment="1">
      <alignment wrapText="1"/>
    </xf>
    <xf numFmtId="0" fontId="13" fillId="18" borderId="13" xfId="0" applyFont="1" applyFill="1" applyBorder="1" applyAlignment="1">
      <alignment wrapText="1"/>
    </xf>
    <xf numFmtId="0" fontId="13" fillId="19" borderId="35" xfId="0" applyFont="1" applyFill="1" applyBorder="1" applyAlignment="1">
      <alignment horizontal="center" vertical="top" wrapText="1"/>
    </xf>
    <xf numFmtId="0" fontId="12" fillId="0" borderId="28" xfId="0" applyFont="1" applyBorder="1" applyAlignment="1">
      <alignment horizontal="center" vertical="top"/>
    </xf>
    <xf numFmtId="0" fontId="2" fillId="20" borderId="12" xfId="0" applyFont="1" applyFill="1" applyBorder="1" applyAlignment="1">
      <alignment wrapText="1"/>
    </xf>
    <xf numFmtId="0" fontId="2" fillId="20" borderId="13" xfId="0" applyFont="1" applyFill="1" applyBorder="1" applyAlignment="1">
      <alignment wrapText="1"/>
    </xf>
    <xf numFmtId="0" fontId="13" fillId="21" borderId="40" xfId="0" applyFont="1" applyFill="1" applyBorder="1" applyAlignment="1">
      <alignment horizontal="center" wrapText="1"/>
    </xf>
    <xf numFmtId="0" fontId="13" fillId="21" borderId="43" xfId="0" applyFont="1" applyFill="1" applyBorder="1" applyAlignment="1">
      <alignment horizontal="center" wrapText="1"/>
    </xf>
    <xf numFmtId="164" fontId="13" fillId="21" borderId="40" xfId="0" applyNumberFormat="1" applyFont="1" applyFill="1" applyBorder="1" applyAlignment="1">
      <alignment horizontal="center" wrapText="1"/>
    </xf>
    <xf numFmtId="0" fontId="13" fillId="21" borderId="40" xfId="0" applyFont="1" applyFill="1" applyBorder="1" applyAlignment="1">
      <alignment horizontal="center"/>
    </xf>
    <xf numFmtId="0" fontId="13" fillId="21" borderId="46" xfId="0" applyFont="1" applyFill="1" applyBorder="1" applyAlignment="1">
      <alignment horizontal="center"/>
    </xf>
    <xf numFmtId="0" fontId="13" fillId="21" borderId="46" xfId="0" applyFont="1" applyFill="1" applyBorder="1" applyAlignment="1">
      <alignment wrapText="1"/>
    </xf>
    <xf numFmtId="0" fontId="13" fillId="21" borderId="14" xfId="0" applyFont="1" applyFill="1" applyBorder="1" applyAlignment="1">
      <alignment wrapText="1"/>
    </xf>
    <xf numFmtId="0" fontId="13" fillId="21" borderId="43" xfId="0" applyFont="1" applyFill="1" applyBorder="1" applyAlignment="1">
      <alignment wrapText="1"/>
    </xf>
    <xf numFmtId="0" fontId="13" fillId="21" borderId="15" xfId="0" applyFont="1" applyFill="1" applyBorder="1" applyAlignment="1">
      <alignment horizontal="center" vertical="center" wrapText="1"/>
    </xf>
    <xf numFmtId="0" fontId="13" fillId="21" borderId="20" xfId="0" applyFont="1" applyFill="1" applyBorder="1" applyAlignment="1">
      <alignment horizontal="center" vertical="top" wrapText="1"/>
    </xf>
    <xf numFmtId="0" fontId="13" fillId="21" borderId="18" xfId="0" applyFont="1" applyFill="1" applyBorder="1" applyAlignment="1">
      <alignment horizontal="center"/>
    </xf>
    <xf numFmtId="0" fontId="13" fillId="21" borderId="15" xfId="0" applyFont="1" applyFill="1" applyBorder="1" applyAlignment="1">
      <alignment horizontal="center"/>
    </xf>
    <xf numFmtId="0" fontId="13" fillId="21" borderId="24" xfId="0" applyFont="1" applyFill="1" applyBorder="1" applyAlignment="1">
      <alignment horizontal="center" wrapText="1"/>
    </xf>
    <xf numFmtId="0" fontId="13" fillId="21" borderId="25" xfId="0" applyFont="1" applyFill="1" applyBorder="1" applyAlignment="1">
      <alignment horizontal="center" wrapText="1"/>
    </xf>
    <xf numFmtId="164" fontId="13" fillId="21" borderId="25" xfId="0" applyNumberFormat="1" applyFont="1" applyFill="1" applyBorder="1" applyAlignment="1">
      <alignment horizontal="center" wrapText="1"/>
    </xf>
    <xf numFmtId="0" fontId="13" fillId="21" borderId="25" xfId="0" applyFont="1" applyFill="1" applyBorder="1" applyAlignment="1">
      <alignment horizontal="center"/>
    </xf>
    <xf numFmtId="0" fontId="13" fillId="21" borderId="37" xfId="0" applyFont="1" applyFill="1" applyBorder="1" applyAlignment="1">
      <alignment horizontal="center"/>
    </xf>
    <xf numFmtId="0" fontId="13" fillId="21" borderId="37" xfId="0" applyFont="1" applyFill="1" applyBorder="1" applyAlignment="1">
      <alignment wrapText="1"/>
    </xf>
    <xf numFmtId="0" fontId="13" fillId="21" borderId="12" xfId="0" applyFont="1" applyFill="1" applyBorder="1" applyAlignment="1">
      <alignment wrapText="1"/>
    </xf>
    <xf numFmtId="0" fontId="13" fillId="21" borderId="13" xfId="0" applyFont="1" applyFill="1" applyBorder="1" applyAlignment="1">
      <alignment wrapText="1"/>
    </xf>
    <xf numFmtId="0" fontId="13" fillId="21" borderId="35" xfId="0" applyFont="1" applyFill="1" applyBorder="1" applyAlignment="1">
      <alignment horizontal="center" vertical="top" wrapText="1"/>
    </xf>
    <xf numFmtId="164" fontId="12" fillId="0" borderId="30" xfId="0" applyNumberFormat="1" applyFont="1" applyBorder="1" applyAlignment="1">
      <alignment horizontal="center" wrapText="1"/>
    </xf>
    <xf numFmtId="0" fontId="11" fillId="0" borderId="11" xfId="0" applyFont="1" applyBorder="1" applyAlignment="1">
      <alignment horizontal="left" wrapText="1"/>
    </xf>
    <xf numFmtId="164" fontId="12" fillId="10" borderId="37" xfId="0" applyNumberFormat="1" applyFont="1" applyFill="1" applyBorder="1" applyAlignment="1">
      <alignment horizontal="center" wrapText="1"/>
    </xf>
    <xf numFmtId="0" fontId="12" fillId="0" borderId="11" xfId="0" applyFont="1" applyBorder="1" applyAlignment="1">
      <alignment horizontal="center" vertical="center" wrapText="1"/>
    </xf>
    <xf numFmtId="164" fontId="12" fillId="0" borderId="11" xfId="0" applyNumberFormat="1" applyFont="1" applyBorder="1" applyAlignment="1">
      <alignment horizontal="center" vertical="center" wrapText="1"/>
    </xf>
    <xf numFmtId="0" fontId="12" fillId="6" borderId="11" xfId="0" applyFont="1" applyFill="1" applyBorder="1" applyAlignment="1" applyProtection="1">
      <alignment horizontal="center" vertical="center"/>
      <protection locked="0"/>
    </xf>
    <xf numFmtId="0" fontId="10" fillId="0" borderId="0" xfId="0" applyFont="1" applyAlignment="1">
      <alignment horizontal="center" vertical="center" wrapText="1"/>
    </xf>
    <xf numFmtId="0" fontId="12" fillId="0" borderId="14" xfId="0" applyFont="1" applyBorder="1" applyAlignment="1">
      <alignment wrapText="1"/>
    </xf>
    <xf numFmtId="0" fontId="12" fillId="0" borderId="48" xfId="0" applyFont="1" applyBorder="1" applyAlignment="1">
      <alignment wrapText="1"/>
    </xf>
    <xf numFmtId="0" fontId="13" fillId="0" borderId="0" xfId="0" applyFont="1" applyAlignment="1">
      <alignment horizontal="right" wrapText="1"/>
    </xf>
    <xf numFmtId="0" fontId="13" fillId="2" borderId="18" xfId="0" applyFont="1" applyFill="1" applyBorder="1" applyAlignment="1">
      <alignment horizontal="center" wrapText="1"/>
    </xf>
    <xf numFmtId="0" fontId="13" fillId="2" borderId="40" xfId="0" applyFont="1" applyFill="1" applyBorder="1" applyAlignment="1">
      <alignment horizontal="center" vertical="center" wrapText="1"/>
    </xf>
    <xf numFmtId="0" fontId="13" fillId="0" borderId="30" xfId="0" applyFont="1" applyBorder="1" applyAlignment="1">
      <alignment horizontal="center" wrapText="1"/>
    </xf>
    <xf numFmtId="0" fontId="2" fillId="8" borderId="18" xfId="0" applyFont="1" applyFill="1" applyBorder="1" applyAlignment="1">
      <alignment horizontal="center" vertical="center" wrapText="1"/>
    </xf>
    <xf numFmtId="0" fontId="13" fillId="9" borderId="18" xfId="0" applyFont="1" applyFill="1" applyBorder="1" applyAlignment="1">
      <alignment horizontal="left" vertical="center" wrapText="1"/>
    </xf>
    <xf numFmtId="2" fontId="13" fillId="0" borderId="18" xfId="0" applyNumberFormat="1" applyFont="1" applyBorder="1" applyAlignment="1">
      <alignment horizontal="center" vertical="center" wrapText="1"/>
    </xf>
    <xf numFmtId="0" fontId="12" fillId="0" borderId="28" xfId="0" applyFont="1" applyBorder="1" applyAlignment="1">
      <alignment horizontal="center" wrapText="1"/>
    </xf>
    <xf numFmtId="0" fontId="12" fillId="0" borderId="30" xfId="0" applyFont="1" applyBorder="1" applyAlignment="1">
      <alignment wrapText="1"/>
    </xf>
    <xf numFmtId="0" fontId="2" fillId="12" borderId="18" xfId="0" applyFont="1" applyFill="1" applyBorder="1" applyAlignment="1">
      <alignment horizontal="center" vertical="center" wrapText="1"/>
    </xf>
    <xf numFmtId="0" fontId="2" fillId="14" borderId="18" xfId="0" applyFont="1" applyFill="1" applyBorder="1" applyAlignment="1">
      <alignment horizontal="center" vertical="center" wrapText="1"/>
    </xf>
    <xf numFmtId="0" fontId="13" fillId="13" borderId="18" xfId="0" applyFont="1" applyFill="1" applyBorder="1" applyAlignment="1">
      <alignment vertical="center" wrapText="1"/>
    </xf>
    <xf numFmtId="0" fontId="2" fillId="17" borderId="18" xfId="0" applyFont="1" applyFill="1" applyBorder="1" applyAlignment="1">
      <alignment horizontal="center" vertical="center" wrapText="1"/>
    </xf>
    <xf numFmtId="0" fontId="2" fillId="20" borderId="18" xfId="0" applyFont="1" applyFill="1" applyBorder="1" applyAlignment="1">
      <alignment horizontal="center" vertical="center" wrapText="1"/>
    </xf>
    <xf numFmtId="0" fontId="13" fillId="15" borderId="18" xfId="0" applyFont="1" applyFill="1" applyBorder="1" applyAlignment="1">
      <alignment vertical="center" wrapText="1"/>
    </xf>
    <xf numFmtId="0" fontId="13" fillId="15" borderId="18" xfId="0" applyFont="1" applyFill="1" applyBorder="1" applyAlignment="1">
      <alignment horizontal="left" vertical="center" wrapText="1"/>
    </xf>
    <xf numFmtId="0" fontId="13" fillId="18" borderId="18" xfId="0" applyFont="1" applyFill="1" applyBorder="1" applyAlignment="1">
      <alignment horizontal="left" vertical="center" wrapText="1"/>
    </xf>
    <xf numFmtId="0" fontId="13" fillId="21" borderId="18" xfId="0" applyFont="1" applyFill="1" applyBorder="1" applyAlignment="1">
      <alignment vertical="center" wrapText="1"/>
    </xf>
    <xf numFmtId="0" fontId="1" fillId="0" borderId="0" xfId="0" applyFont="1" applyAlignment="1">
      <alignment horizontal="center" vertical="center"/>
    </xf>
    <xf numFmtId="0" fontId="10" fillId="0" borderId="0" xfId="0" applyFont="1" applyAlignment="1">
      <alignment horizontal="left" vertical="top"/>
    </xf>
    <xf numFmtId="0" fontId="10" fillId="0" borderId="0" xfId="0" applyFont="1" applyAlignment="1">
      <alignment wrapText="1"/>
    </xf>
    <xf numFmtId="0" fontId="12" fillId="0" borderId="0" xfId="0" applyFont="1" applyAlignment="1">
      <alignment horizontal="left" vertical="top"/>
    </xf>
    <xf numFmtId="0" fontId="13" fillId="4" borderId="49" xfId="0" applyFont="1" applyFill="1" applyBorder="1" applyAlignment="1">
      <alignment horizontal="left" vertical="top"/>
    </xf>
    <xf numFmtId="0" fontId="13" fillId="4" borderId="50" xfId="0" applyFont="1" applyFill="1" applyBorder="1" applyAlignment="1">
      <alignment horizontal="center" vertical="center" wrapText="1"/>
    </xf>
    <xf numFmtId="0" fontId="13" fillId="4" borderId="50" xfId="0" applyFont="1" applyFill="1" applyBorder="1" applyAlignment="1">
      <alignment wrapText="1"/>
    </xf>
    <xf numFmtId="0" fontId="12" fillId="5" borderId="51" xfId="0" applyFont="1" applyFill="1" applyBorder="1" applyAlignment="1">
      <alignment horizontal="left" vertical="top"/>
    </xf>
    <xf numFmtId="0" fontId="12" fillId="5" borderId="48" xfId="0" applyFont="1" applyFill="1" applyBorder="1" applyAlignment="1">
      <alignment horizontal="center" vertical="center" wrapText="1"/>
    </xf>
    <xf numFmtId="0" fontId="12" fillId="5" borderId="48" xfId="0" applyFont="1" applyFill="1" applyBorder="1" applyAlignment="1">
      <alignment wrapText="1"/>
    </xf>
    <xf numFmtId="0" fontId="12" fillId="5" borderId="52" xfId="0" applyFont="1" applyFill="1" applyBorder="1" applyAlignment="1">
      <alignment horizontal="left" vertical="top"/>
    </xf>
    <xf numFmtId="0" fontId="12" fillId="5" borderId="0" xfId="0" applyFont="1" applyFill="1" applyAlignment="1">
      <alignment horizontal="center" vertical="center" wrapText="1"/>
    </xf>
    <xf numFmtId="0" fontId="12" fillId="5" borderId="0" xfId="0" applyFont="1" applyFill="1" applyAlignment="1">
      <alignment wrapText="1"/>
    </xf>
    <xf numFmtId="0" fontId="12" fillId="5" borderId="53" xfId="0" applyFont="1" applyFill="1" applyBorder="1" applyAlignment="1">
      <alignment horizontal="left" vertical="top"/>
    </xf>
    <xf numFmtId="0" fontId="12" fillId="5" borderId="54" xfId="0" applyFont="1" applyFill="1" applyBorder="1" applyAlignment="1">
      <alignment horizontal="center" vertical="center" wrapText="1"/>
    </xf>
    <xf numFmtId="0" fontId="12" fillId="5" borderId="54" xfId="0" applyFont="1" applyFill="1" applyBorder="1" applyAlignment="1">
      <alignment wrapText="1"/>
    </xf>
    <xf numFmtId="0" fontId="13" fillId="0" borderId="5" xfId="0" applyFont="1" applyBorder="1" applyAlignment="1">
      <alignment horizontal="left" vertical="top"/>
    </xf>
    <xf numFmtId="0" fontId="13" fillId="0" borderId="55" xfId="0" applyFont="1" applyBorder="1" applyAlignment="1">
      <alignment horizontal="center" vertical="center" wrapText="1"/>
    </xf>
    <xf numFmtId="0" fontId="12" fillId="0" borderId="6" xfId="0" applyFont="1" applyBorder="1" applyAlignment="1">
      <alignment horizontal="left" wrapText="1"/>
    </xf>
    <xf numFmtId="0" fontId="13" fillId="0" borderId="7" xfId="0" applyFont="1" applyBorder="1" applyAlignment="1">
      <alignment horizontal="left" vertical="top"/>
    </xf>
    <xf numFmtId="0" fontId="12" fillId="0" borderId="31" xfId="0" applyFont="1" applyBorder="1" applyAlignment="1">
      <alignment horizontal="center" vertical="center" wrapText="1"/>
    </xf>
    <xf numFmtId="167" fontId="12" fillId="0" borderId="6" xfId="0" applyNumberFormat="1" applyFont="1" applyBorder="1" applyAlignment="1">
      <alignment horizontal="left" wrapText="1"/>
    </xf>
    <xf numFmtId="0" fontId="13" fillId="0" borderId="31" xfId="0" applyFont="1" applyBorder="1" applyAlignment="1">
      <alignment horizontal="center" vertical="center" wrapText="1"/>
    </xf>
    <xf numFmtId="0" fontId="13" fillId="0" borderId="9" xfId="0" applyFont="1" applyBorder="1" applyAlignment="1">
      <alignment horizontal="left" vertical="top"/>
    </xf>
    <xf numFmtId="0" fontId="13" fillId="0" borderId="56" xfId="0" applyFont="1" applyBorder="1" applyAlignment="1">
      <alignment horizontal="center" vertical="center" wrapText="1"/>
    </xf>
    <xf numFmtId="0" fontId="12" fillId="0" borderId="57" xfId="0" applyFont="1" applyBorder="1" applyAlignment="1">
      <alignment horizontal="left" wrapText="1"/>
    </xf>
    <xf numFmtId="0" fontId="2" fillId="8" borderId="58" xfId="0" applyFont="1" applyFill="1" applyBorder="1" applyAlignment="1">
      <alignment horizontal="center" vertical="center" wrapText="1"/>
    </xf>
    <xf numFmtId="0" fontId="2" fillId="8" borderId="58" xfId="0" applyFont="1" applyFill="1" applyBorder="1" applyAlignment="1">
      <alignment wrapText="1"/>
    </xf>
    <xf numFmtId="0" fontId="13" fillId="9" borderId="15" xfId="0" applyFont="1" applyFill="1" applyBorder="1" applyAlignment="1">
      <alignment horizontal="center" vertical="center" wrapText="1"/>
    </xf>
    <xf numFmtId="0" fontId="13" fillId="9" borderId="16" xfId="0" applyFont="1" applyFill="1" applyBorder="1" applyAlignment="1">
      <alignment horizontal="center" vertical="center" wrapText="1"/>
    </xf>
    <xf numFmtId="0" fontId="13" fillId="9" borderId="22" xfId="0" applyFont="1" applyFill="1" applyBorder="1" applyAlignment="1">
      <alignment horizontal="center" wrapText="1"/>
    </xf>
    <xf numFmtId="0" fontId="11" fillId="9" borderId="18" xfId="0" applyFont="1" applyFill="1" applyBorder="1" applyAlignment="1">
      <alignment horizontal="center"/>
    </xf>
    <xf numFmtId="0" fontId="13" fillId="9" borderId="20" xfId="0" applyFont="1" applyFill="1" applyBorder="1" applyAlignment="1">
      <alignment horizontal="center" vertical="center" wrapText="1"/>
    </xf>
    <xf numFmtId="0" fontId="13" fillId="0" borderId="25" xfId="0" applyFont="1" applyBorder="1" applyAlignment="1">
      <alignment horizontal="center" wrapText="1"/>
    </xf>
    <xf numFmtId="0" fontId="13" fillId="0" borderId="44" xfId="0" applyFont="1" applyBorder="1" applyAlignment="1">
      <alignment horizontal="center" wrapText="1"/>
    </xf>
    <xf numFmtId="0" fontId="13" fillId="0" borderId="62" xfId="0" applyFont="1" applyBorder="1" applyAlignment="1">
      <alignment vertical="top" wrapText="1"/>
    </xf>
    <xf numFmtId="0" fontId="13" fillId="0" borderId="39" xfId="0" applyFont="1" applyBorder="1" applyAlignment="1">
      <alignment horizontal="center" wrapText="1"/>
    </xf>
    <xf numFmtId="0" fontId="12" fillId="11" borderId="46" xfId="0" applyFont="1" applyFill="1" applyBorder="1" applyAlignment="1">
      <alignment horizontal="center" vertical="center" wrapText="1"/>
    </xf>
    <xf numFmtId="0" fontId="12" fillId="11" borderId="14" xfId="0" applyFont="1" applyFill="1" applyBorder="1" applyAlignment="1">
      <alignment horizontal="center" vertical="center" wrapText="1"/>
    </xf>
    <xf numFmtId="0" fontId="12" fillId="11" borderId="14" xfId="0" applyFont="1" applyFill="1" applyBorder="1" applyAlignment="1">
      <alignment wrapText="1"/>
    </xf>
    <xf numFmtId="0" fontId="13" fillId="0" borderId="29" xfId="0" applyFont="1" applyBorder="1" applyAlignment="1">
      <alignment horizontal="center" wrapText="1"/>
    </xf>
    <xf numFmtId="0" fontId="13" fillId="9" borderId="46" xfId="0" applyFont="1" applyFill="1" applyBorder="1" applyAlignment="1">
      <alignment horizontal="center" wrapText="1"/>
    </xf>
    <xf numFmtId="0" fontId="13" fillId="9" borderId="43" xfId="0" applyFont="1" applyFill="1" applyBorder="1" applyAlignment="1">
      <alignment horizontal="center" wrapText="1"/>
    </xf>
    <xf numFmtId="0" fontId="13" fillId="9" borderId="40" xfId="0" applyFont="1" applyFill="1" applyBorder="1" applyAlignment="1">
      <alignment horizontal="center" wrapText="1"/>
    </xf>
    <xf numFmtId="164" fontId="13" fillId="9" borderId="40" xfId="0" applyNumberFormat="1" applyFont="1" applyFill="1" applyBorder="1" applyAlignment="1">
      <alignment horizontal="center" wrapText="1"/>
    </xf>
    <xf numFmtId="0" fontId="13" fillId="0" borderId="22" xfId="0" applyFont="1" applyBorder="1" applyAlignment="1">
      <alignment horizontal="center" wrapText="1"/>
    </xf>
    <xf numFmtId="164" fontId="12" fillId="0" borderId="19" xfId="0" applyNumberFormat="1" applyFont="1" applyBorder="1" applyAlignment="1">
      <alignment horizontal="center"/>
    </xf>
    <xf numFmtId="0" fontId="12" fillId="11" borderId="31" xfId="0" applyFont="1" applyFill="1" applyBorder="1" applyAlignment="1">
      <alignment horizontal="center" vertical="center" wrapText="1"/>
    </xf>
    <xf numFmtId="0" fontId="12" fillId="11" borderId="12" xfId="0" applyFont="1" applyFill="1" applyBorder="1" applyAlignment="1">
      <alignment horizontal="center" vertical="center" wrapText="1"/>
    </xf>
    <xf numFmtId="164" fontId="12" fillId="0" borderId="38" xfId="0" applyNumberFormat="1" applyFont="1" applyBorder="1" applyAlignment="1">
      <alignment horizontal="center" wrapText="1"/>
    </xf>
    <xf numFmtId="0" fontId="2" fillId="12" borderId="14" xfId="0" applyFont="1" applyFill="1" applyBorder="1" applyAlignment="1">
      <alignment horizontal="center" vertical="center" wrapText="1"/>
    </xf>
    <xf numFmtId="0" fontId="13" fillId="13" borderId="16" xfId="0" applyFont="1" applyFill="1" applyBorder="1" applyAlignment="1">
      <alignment horizontal="center" vertical="center" wrapText="1"/>
    </xf>
    <xf numFmtId="0" fontId="13" fillId="13" borderId="15" xfId="0" applyFont="1" applyFill="1" applyBorder="1" applyAlignment="1">
      <alignment horizontal="center" wrapText="1"/>
    </xf>
    <xf numFmtId="0" fontId="11" fillId="13" borderId="18" xfId="0" applyFont="1" applyFill="1" applyBorder="1" applyAlignment="1">
      <alignment horizontal="center"/>
    </xf>
    <xf numFmtId="0" fontId="13" fillId="13" borderId="20" xfId="0" applyFont="1" applyFill="1" applyBorder="1" applyAlignment="1">
      <alignment horizontal="center" vertical="center" wrapText="1"/>
    </xf>
    <xf numFmtId="0" fontId="13" fillId="13" borderId="46" xfId="0" applyFont="1" applyFill="1" applyBorder="1" applyAlignment="1">
      <alignment horizontal="center" wrapText="1"/>
    </xf>
    <xf numFmtId="0" fontId="13" fillId="13" borderId="43" xfId="0" applyFont="1" applyFill="1" applyBorder="1" applyAlignment="1">
      <alignment horizontal="center" wrapText="1"/>
    </xf>
    <xf numFmtId="0" fontId="13" fillId="13" borderId="40" xfId="0" applyFont="1" applyFill="1" applyBorder="1" applyAlignment="1">
      <alignment horizontal="center" wrapText="1"/>
    </xf>
    <xf numFmtId="164" fontId="13" fillId="13" borderId="40" xfId="0" applyNumberFormat="1" applyFont="1" applyFill="1" applyBorder="1" applyAlignment="1">
      <alignment horizontal="center" wrapText="1"/>
    </xf>
    <xf numFmtId="0" fontId="12" fillId="11" borderId="15" xfId="0" applyFont="1" applyFill="1" applyBorder="1" applyAlignment="1">
      <alignment horizontal="center" vertical="center" wrapText="1"/>
    </xf>
    <xf numFmtId="0" fontId="2" fillId="14" borderId="14" xfId="0" applyFont="1" applyFill="1" applyBorder="1" applyAlignment="1">
      <alignment horizontal="center" vertical="center" wrapText="1"/>
    </xf>
    <xf numFmtId="0" fontId="2" fillId="14" borderId="14" xfId="0" applyFont="1" applyFill="1" applyBorder="1" applyAlignment="1">
      <alignment wrapText="1"/>
    </xf>
    <xf numFmtId="0" fontId="13" fillId="15" borderId="16" xfId="0" applyFont="1" applyFill="1" applyBorder="1" applyAlignment="1">
      <alignment horizontal="center" vertical="center" wrapText="1"/>
    </xf>
    <xf numFmtId="0" fontId="13" fillId="15" borderId="17" xfId="0" applyFont="1" applyFill="1" applyBorder="1" applyAlignment="1">
      <alignment horizontal="center" wrapText="1"/>
    </xf>
    <xf numFmtId="0" fontId="13" fillId="15" borderId="18" xfId="0" applyFont="1" applyFill="1" applyBorder="1" applyAlignment="1">
      <alignment horizontal="center" wrapText="1"/>
    </xf>
    <xf numFmtId="164" fontId="13" fillId="15" borderId="18" xfId="0" applyNumberFormat="1" applyFont="1" applyFill="1" applyBorder="1" applyAlignment="1">
      <alignment horizontal="center" wrapText="1"/>
    </xf>
    <xf numFmtId="0" fontId="11" fillId="15" borderId="18" xfId="0" applyFont="1" applyFill="1" applyBorder="1" applyAlignment="1">
      <alignment horizontal="center"/>
    </xf>
    <xf numFmtId="0" fontId="13" fillId="15" borderId="20" xfId="0" applyFont="1" applyFill="1" applyBorder="1" applyAlignment="1">
      <alignment horizontal="center" vertical="center" wrapText="1"/>
    </xf>
    <xf numFmtId="0" fontId="2" fillId="17" borderId="14" xfId="0" applyFont="1" applyFill="1" applyBorder="1" applyAlignment="1">
      <alignment horizontal="center" vertical="center" wrapText="1"/>
    </xf>
    <xf numFmtId="0" fontId="13" fillId="18" borderId="15" xfId="0" applyFont="1" applyFill="1" applyBorder="1" applyAlignment="1">
      <alignment horizontal="center" vertical="center" wrapText="1"/>
    </xf>
    <xf numFmtId="0" fontId="13" fillId="18" borderId="16" xfId="0" applyFont="1" applyFill="1" applyBorder="1" applyAlignment="1">
      <alignment horizontal="center" vertical="center" wrapText="1"/>
    </xf>
    <xf numFmtId="0" fontId="13" fillId="18" borderId="15" xfId="0" applyFont="1" applyFill="1" applyBorder="1" applyAlignment="1">
      <alignment horizontal="left" vertical="center" wrapText="1"/>
    </xf>
    <xf numFmtId="0" fontId="11" fillId="18" borderId="18" xfId="0" applyFont="1" applyFill="1" applyBorder="1" applyAlignment="1">
      <alignment horizontal="center"/>
    </xf>
    <xf numFmtId="0" fontId="13" fillId="19" borderId="20" xfId="0" applyFont="1" applyFill="1" applyBorder="1" applyAlignment="1">
      <alignment horizontal="center" vertical="center" wrapText="1"/>
    </xf>
    <xf numFmtId="0" fontId="12" fillId="11" borderId="14" xfId="0" applyFont="1" applyFill="1" applyBorder="1" applyAlignment="1">
      <alignment vertical="top" wrapText="1"/>
    </xf>
    <xf numFmtId="0" fontId="13" fillId="0" borderId="29" xfId="0" applyFont="1" applyBorder="1" applyAlignment="1">
      <alignment horizontal="center" vertical="top" wrapText="1"/>
    </xf>
    <xf numFmtId="164" fontId="12" fillId="0" borderId="30" xfId="0" applyNumberFormat="1" applyFont="1" applyBorder="1" applyAlignment="1">
      <alignment horizontal="center" vertical="top" wrapText="1"/>
    </xf>
    <xf numFmtId="0" fontId="13" fillId="0" borderId="39" xfId="0" applyFont="1" applyBorder="1" applyAlignment="1">
      <alignment horizontal="center" vertical="top" wrapText="1"/>
    </xf>
    <xf numFmtId="0" fontId="13" fillId="18" borderId="46" xfId="0" applyFont="1" applyFill="1" applyBorder="1" applyAlignment="1">
      <alignment horizontal="left" vertical="center" wrapText="1"/>
    </xf>
    <xf numFmtId="0" fontId="13" fillId="18" borderId="43" xfId="0" applyFont="1" applyFill="1" applyBorder="1" applyAlignment="1">
      <alignment horizontal="center" wrapText="1"/>
    </xf>
    <xf numFmtId="0" fontId="13" fillId="18" borderId="40" xfId="0" applyFont="1" applyFill="1" applyBorder="1" applyAlignment="1">
      <alignment horizontal="center" wrapText="1"/>
    </xf>
    <xf numFmtId="164" fontId="13" fillId="18" borderId="40" xfId="0" applyNumberFormat="1" applyFont="1" applyFill="1" applyBorder="1" applyAlignment="1">
      <alignment horizontal="center" wrapText="1"/>
    </xf>
    <xf numFmtId="0" fontId="2" fillId="20" borderId="14" xfId="0" applyFont="1" applyFill="1" applyBorder="1" applyAlignment="1">
      <alignment horizontal="center" vertical="center" wrapText="1"/>
    </xf>
    <xf numFmtId="0" fontId="2" fillId="20" borderId="14" xfId="0" applyFont="1" applyFill="1" applyBorder="1" applyAlignment="1">
      <alignment wrapText="1"/>
    </xf>
    <xf numFmtId="0" fontId="13" fillId="21" borderId="16" xfId="0" applyFont="1" applyFill="1" applyBorder="1" applyAlignment="1">
      <alignment horizontal="center" vertical="center" wrapText="1"/>
    </xf>
    <xf numFmtId="0" fontId="13" fillId="21" borderId="15" xfId="0" applyFont="1" applyFill="1" applyBorder="1" applyAlignment="1">
      <alignment horizontal="left" vertical="center" wrapText="1"/>
    </xf>
    <xf numFmtId="0" fontId="13" fillId="21" borderId="17" xfId="0" applyFont="1" applyFill="1" applyBorder="1" applyAlignment="1">
      <alignment horizontal="center" wrapText="1"/>
    </xf>
    <xf numFmtId="0" fontId="13" fillId="21" borderId="18" xfId="0" applyFont="1" applyFill="1" applyBorder="1" applyAlignment="1">
      <alignment horizontal="center" wrapText="1"/>
    </xf>
    <xf numFmtId="164" fontId="13" fillId="21" borderId="18" xfId="0" applyNumberFormat="1" applyFont="1" applyFill="1" applyBorder="1" applyAlignment="1">
      <alignment horizontal="center" wrapText="1"/>
    </xf>
    <xf numFmtId="0" fontId="11" fillId="21" borderId="18" xfId="0" applyFont="1" applyFill="1" applyBorder="1" applyAlignment="1">
      <alignment horizontal="center"/>
    </xf>
    <xf numFmtId="0" fontId="13" fillId="21" borderId="20" xfId="0" applyFont="1" applyFill="1" applyBorder="1" applyAlignment="1">
      <alignment horizontal="center" vertical="center" wrapText="1"/>
    </xf>
    <xf numFmtId="0" fontId="13" fillId="21" borderId="46" xfId="0" applyFont="1" applyFill="1" applyBorder="1" applyAlignment="1">
      <alignment horizontal="left" vertical="center" wrapText="1"/>
    </xf>
    <xf numFmtId="0" fontId="13" fillId="0" borderId="28" xfId="0" applyFont="1" applyBorder="1" applyAlignment="1">
      <alignment horizontal="center" wrapText="1"/>
    </xf>
    <xf numFmtId="0" fontId="18" fillId="0" borderId="0" xfId="0" applyFont="1"/>
    <xf numFmtId="0" fontId="21" fillId="0" borderId="0" xfId="0" applyFont="1"/>
    <xf numFmtId="0" fontId="22" fillId="0" borderId="0" xfId="0" applyFont="1"/>
    <xf numFmtId="167" fontId="22" fillId="0" borderId="0" xfId="0" applyNumberFormat="1" applyFont="1" applyAlignment="1">
      <alignment horizontal="left"/>
    </xf>
    <xf numFmtId="0" fontId="22" fillId="22" borderId="0" xfId="0" applyFont="1" applyFill="1"/>
    <xf numFmtId="0" fontId="22" fillId="0" borderId="0" xfId="0" applyFont="1" applyAlignment="1">
      <alignment horizontal="center"/>
    </xf>
    <xf numFmtId="0" fontId="22" fillId="22" borderId="54" xfId="0" applyFont="1" applyFill="1" applyBorder="1"/>
    <xf numFmtId="0" fontId="17" fillId="0" borderId="66" xfId="0" applyFont="1" applyBorder="1"/>
    <xf numFmtId="0" fontId="17" fillId="0" borderId="66" xfId="0" applyFont="1" applyBorder="1" applyAlignment="1">
      <alignment horizontal="center"/>
    </xf>
    <xf numFmtId="0" fontId="6" fillId="0" borderId="66" xfId="0" applyFont="1" applyBorder="1" applyAlignment="1">
      <alignment horizontal="center"/>
    </xf>
    <xf numFmtId="0" fontId="4" fillId="0" borderId="66" xfId="0" applyFont="1" applyBorder="1" applyAlignment="1">
      <alignment horizontal="center"/>
    </xf>
    <xf numFmtId="0" fontId="18" fillId="0" borderId="0" xfId="0" applyFont="1" applyAlignment="1">
      <alignment horizontal="center"/>
    </xf>
    <xf numFmtId="0" fontId="18" fillId="22" borderId="0" xfId="0" applyFont="1" applyFill="1" applyAlignment="1">
      <alignment horizontal="center"/>
    </xf>
    <xf numFmtId="0" fontId="18" fillId="22" borderId="0" xfId="0" applyFont="1" applyFill="1"/>
    <xf numFmtId="0" fontId="23" fillId="0" borderId="67" xfId="0" applyFont="1" applyBorder="1"/>
    <xf numFmtId="2" fontId="12" fillId="0" borderId="68" xfId="0" applyNumberFormat="1" applyFont="1" applyBorder="1" applyAlignment="1">
      <alignment horizontal="center" wrapText="1"/>
    </xf>
    <xf numFmtId="2" fontId="18" fillId="0" borderId="67" xfId="0" applyNumberFormat="1" applyFont="1" applyBorder="1" applyAlignment="1" applyProtection="1">
      <alignment horizontal="center"/>
      <protection locked="0"/>
    </xf>
    <xf numFmtId="0" fontId="4" fillId="0" borderId="0" xfId="0" applyFont="1" applyAlignment="1">
      <alignment horizontal="center"/>
    </xf>
    <xf numFmtId="0" fontId="4" fillId="0" borderId="67" xfId="0" applyFont="1" applyBorder="1" applyAlignment="1">
      <alignment horizontal="center"/>
    </xf>
    <xf numFmtId="2" fontId="18" fillId="0" borderId="0" xfId="0" applyNumberFormat="1" applyFont="1" applyAlignment="1">
      <alignment horizontal="center"/>
    </xf>
    <xf numFmtId="2" fontId="18" fillId="0" borderId="0" xfId="0" applyNumberFormat="1" applyFont="1"/>
    <xf numFmtId="0" fontId="23" fillId="0" borderId="0" xfId="0" applyFont="1"/>
    <xf numFmtId="2" fontId="18" fillId="0" borderId="0" xfId="0" applyNumberFormat="1" applyFont="1" applyAlignment="1" applyProtection="1">
      <alignment horizontal="center"/>
      <protection locked="0"/>
    </xf>
    <xf numFmtId="0" fontId="23" fillId="0" borderId="69" xfId="0" applyFont="1" applyBorder="1"/>
    <xf numFmtId="2" fontId="12" fillId="0" borderId="35" xfId="0" applyNumberFormat="1" applyFont="1" applyBorder="1" applyAlignment="1">
      <alignment horizontal="center" wrapText="1"/>
    </xf>
    <xf numFmtId="0" fontId="4" fillId="0" borderId="69" xfId="0" applyFont="1" applyBorder="1" applyAlignment="1">
      <alignment horizontal="center"/>
    </xf>
    <xf numFmtId="0" fontId="24" fillId="0" borderId="70" xfId="0" applyFont="1" applyBorder="1"/>
    <xf numFmtId="2" fontId="18" fillId="0" borderId="23" xfId="0" applyNumberFormat="1" applyFont="1" applyBorder="1" applyAlignment="1" applyProtection="1">
      <alignment horizontal="center"/>
      <protection locked="0"/>
    </xf>
    <xf numFmtId="0" fontId="4" fillId="0" borderId="70" xfId="0" applyFont="1" applyBorder="1" applyAlignment="1">
      <alignment horizontal="center"/>
    </xf>
    <xf numFmtId="0" fontId="24" fillId="0" borderId="0" xfId="0" applyFont="1"/>
    <xf numFmtId="0" fontId="24" fillId="0" borderId="69" xfId="0" applyFont="1" applyBorder="1"/>
    <xf numFmtId="0" fontId="25" fillId="0" borderId="0" xfId="0" applyFont="1"/>
    <xf numFmtId="2" fontId="12" fillId="0" borderId="71" xfId="0" applyNumberFormat="1" applyFont="1" applyBorder="1" applyAlignment="1">
      <alignment horizontal="center" wrapText="1"/>
    </xf>
    <xf numFmtId="2" fontId="18" fillId="0" borderId="70" xfId="0" applyNumberFormat="1" applyFont="1" applyBorder="1" applyAlignment="1" applyProtection="1">
      <alignment horizontal="center"/>
      <protection locked="0"/>
    </xf>
    <xf numFmtId="0" fontId="26" fillId="0" borderId="70" xfId="0" applyFont="1" applyBorder="1"/>
    <xf numFmtId="2" fontId="12" fillId="0" borderId="23" xfId="0" applyNumberFormat="1" applyFont="1" applyBorder="1" applyAlignment="1">
      <alignment horizontal="center" wrapText="1"/>
    </xf>
    <xf numFmtId="0" fontId="26" fillId="0" borderId="0" xfId="0" applyFont="1"/>
    <xf numFmtId="0" fontId="26" fillId="0" borderId="69" xfId="0" applyFont="1" applyBorder="1"/>
    <xf numFmtId="0" fontId="27" fillId="0" borderId="70" xfId="0" applyFont="1" applyBorder="1"/>
    <xf numFmtId="0" fontId="27" fillId="0" borderId="0" xfId="0" applyFont="1"/>
    <xf numFmtId="0" fontId="27" fillId="0" borderId="54" xfId="0" applyFont="1" applyBorder="1"/>
    <xf numFmtId="2" fontId="12" fillId="0" borderId="72" xfId="0" applyNumberFormat="1" applyFont="1" applyBorder="1" applyAlignment="1">
      <alignment horizontal="center" wrapText="1"/>
    </xf>
    <xf numFmtId="2" fontId="18" fillId="0" borderId="73" xfId="0" applyNumberFormat="1" applyFont="1" applyBorder="1" applyAlignment="1" applyProtection="1">
      <alignment horizontal="center"/>
      <protection locked="0"/>
    </xf>
    <xf numFmtId="0" fontId="4" fillId="0" borderId="54" xfId="0" applyFont="1" applyBorder="1" applyAlignment="1">
      <alignment horizontal="center"/>
    </xf>
    <xf numFmtId="0" fontId="28" fillId="0" borderId="0" xfId="0" applyFont="1" applyAlignment="1">
      <alignment horizontal="right"/>
    </xf>
    <xf numFmtId="9" fontId="18" fillId="0" borderId="0" xfId="1" applyFont="1" applyBorder="1" applyProtection="1"/>
    <xf numFmtId="9" fontId="18" fillId="0" borderId="0" xfId="1" applyFont="1" applyBorder="1" applyAlignment="1" applyProtection="1">
      <alignment horizontal="center"/>
    </xf>
    <xf numFmtId="0" fontId="18" fillId="0" borderId="67" xfId="0" applyFont="1" applyBorder="1"/>
    <xf numFmtId="0" fontId="18" fillId="0" borderId="67" xfId="0" applyFont="1" applyBorder="1" applyAlignment="1">
      <alignment horizontal="center"/>
    </xf>
    <xf numFmtId="0" fontId="18" fillId="0" borderId="54" xfId="0" applyFont="1" applyBorder="1"/>
    <xf numFmtId="0" fontId="18" fillId="0" borderId="54" xfId="0" applyFont="1" applyBorder="1" applyAlignment="1">
      <alignment horizontal="center"/>
    </xf>
    <xf numFmtId="0" fontId="18" fillId="22" borderId="54" xfId="0" applyFont="1" applyFill="1" applyBorder="1"/>
    <xf numFmtId="0" fontId="8" fillId="0" borderId="11" xfId="0" applyFont="1" applyBorder="1"/>
    <xf numFmtId="0" fontId="8" fillId="0" borderId="0" xfId="0" applyFont="1"/>
    <xf numFmtId="0" fontId="0" fillId="0" borderId="11" xfId="0" applyBorder="1"/>
    <xf numFmtId="0" fontId="1" fillId="0" borderId="11" xfId="0" applyFont="1" applyBorder="1" applyAlignment="1">
      <alignment horizontal="center" vertical="center"/>
    </xf>
    <xf numFmtId="0" fontId="1" fillId="9" borderId="0" xfId="0" applyFont="1" applyFill="1" applyAlignment="1">
      <alignment horizontal="center" vertical="center"/>
    </xf>
    <xf numFmtId="0" fontId="0" fillId="0" borderId="11" xfId="0" applyBorder="1" applyAlignment="1">
      <alignment horizontal="center" vertical="center"/>
    </xf>
    <xf numFmtId="0" fontId="1" fillId="0" borderId="11" xfId="0" applyFont="1" applyBorder="1" applyAlignment="1">
      <alignment horizontal="center"/>
    </xf>
    <xf numFmtId="0" fontId="1" fillId="13" borderId="0" xfId="0" applyFont="1" applyFill="1" applyAlignment="1">
      <alignment horizontal="center"/>
    </xf>
    <xf numFmtId="0" fontId="1" fillId="18" borderId="0" xfId="0" applyFont="1" applyFill="1" applyAlignment="1">
      <alignment horizontal="center"/>
    </xf>
    <xf numFmtId="0" fontId="1" fillId="16" borderId="0" xfId="0" applyFont="1" applyFill="1" applyAlignment="1">
      <alignment horizontal="center"/>
    </xf>
    <xf numFmtId="0" fontId="1" fillId="21" borderId="0" xfId="0" applyFont="1" applyFill="1" applyAlignment="1">
      <alignment horizontal="center"/>
    </xf>
    <xf numFmtId="0" fontId="1" fillId="12" borderId="0" xfId="0" applyFont="1" applyFill="1" applyAlignment="1">
      <alignment horizontal="center"/>
    </xf>
    <xf numFmtId="0" fontId="1" fillId="9" borderId="0" xfId="0" applyFont="1" applyFill="1" applyAlignment="1">
      <alignment horizontal="center"/>
    </xf>
    <xf numFmtId="0" fontId="0" fillId="23" borderId="0" xfId="0" applyFill="1"/>
    <xf numFmtId="0" fontId="21" fillId="23" borderId="0" xfId="0" applyFont="1" applyFill="1" applyAlignment="1">
      <alignment horizontal="left" vertical="top"/>
    </xf>
    <xf numFmtId="0" fontId="13" fillId="21" borderId="15" xfId="0" applyFont="1" applyFill="1" applyBorder="1" applyAlignment="1">
      <alignment horizontal="center" vertical="center" wrapText="1"/>
    </xf>
    <xf numFmtId="0" fontId="12" fillId="6" borderId="17" xfId="0" applyFont="1" applyFill="1" applyBorder="1" applyAlignment="1" applyProtection="1">
      <alignment horizontal="left" vertical="center"/>
      <protection locked="0"/>
    </xf>
    <xf numFmtId="0" fontId="12" fillId="0" borderId="22" xfId="0" applyFont="1" applyBorder="1" applyAlignment="1">
      <alignment horizontal="left" vertical="center"/>
    </xf>
    <xf numFmtId="0" fontId="0" fillId="6" borderId="11" xfId="0" applyFill="1" applyBorder="1" applyAlignment="1" applyProtection="1">
      <alignment horizontal="center" vertical="center"/>
      <protection locked="0"/>
    </xf>
    <xf numFmtId="0" fontId="12" fillId="6" borderId="11" xfId="0" applyFont="1" applyFill="1" applyBorder="1" applyAlignment="1" applyProtection="1">
      <alignment horizontal="center" vertical="center" wrapText="1"/>
      <protection locked="0"/>
    </xf>
    <xf numFmtId="0" fontId="12" fillId="0" borderId="11" xfId="0" applyFont="1" applyBorder="1" applyAlignment="1">
      <alignment horizontal="left" vertical="center"/>
    </xf>
    <xf numFmtId="0" fontId="13" fillId="21" borderId="36" xfId="0" applyFont="1" applyFill="1" applyBorder="1" applyAlignment="1">
      <alignment horizontal="center" wrapText="1"/>
    </xf>
    <xf numFmtId="0" fontId="13" fillId="21" borderId="46" xfId="0" applyFont="1" applyFill="1" applyBorder="1" applyAlignment="1">
      <alignment horizontal="center" vertical="center" wrapText="1"/>
    </xf>
    <xf numFmtId="2" fontId="15" fillId="21" borderId="30" xfId="0" applyNumberFormat="1" applyFont="1" applyFill="1" applyBorder="1" applyAlignment="1">
      <alignment horizontal="center" vertical="center"/>
    </xf>
    <xf numFmtId="0" fontId="12" fillId="0" borderId="43" xfId="0" applyFont="1" applyBorder="1" applyAlignment="1">
      <alignment horizontal="left" vertical="center"/>
    </xf>
    <xf numFmtId="0" fontId="12" fillId="0" borderId="17" xfId="0" applyFont="1" applyBorder="1" applyAlignment="1">
      <alignment horizontal="left" vertical="center"/>
    </xf>
    <xf numFmtId="0" fontId="13" fillId="21" borderId="19" xfId="0" applyFont="1" applyFill="1" applyBorder="1" applyAlignment="1">
      <alignment horizontal="center" vertical="center" wrapText="1"/>
    </xf>
    <xf numFmtId="0" fontId="13" fillId="21" borderId="40" xfId="0" applyFont="1" applyFill="1" applyBorder="1" applyAlignment="1">
      <alignment horizontal="center" wrapText="1"/>
    </xf>
    <xf numFmtId="2" fontId="15" fillId="21" borderId="19" xfId="0" applyNumberFormat="1" applyFont="1" applyFill="1" applyBorder="1" applyAlignment="1">
      <alignment horizontal="center" vertical="center"/>
    </xf>
    <xf numFmtId="0" fontId="2" fillId="20" borderId="31" xfId="0" applyFont="1" applyFill="1" applyBorder="1" applyAlignment="1">
      <alignment horizontal="center" wrapText="1"/>
    </xf>
    <xf numFmtId="0" fontId="13" fillId="19" borderId="19" xfId="0" applyFont="1" applyFill="1" applyBorder="1" applyAlignment="1">
      <alignment horizontal="center" vertical="center" wrapText="1"/>
    </xf>
    <xf numFmtId="0" fontId="12" fillId="0" borderId="21" xfId="0" applyFont="1" applyBorder="1" applyAlignment="1">
      <alignment horizontal="left" vertical="center"/>
    </xf>
    <xf numFmtId="0" fontId="13" fillId="18" borderId="36" xfId="0" applyFont="1" applyFill="1" applyBorder="1" applyAlignment="1">
      <alignment horizontal="center" wrapText="1"/>
    </xf>
    <xf numFmtId="0" fontId="13" fillId="19" borderId="46" xfId="0" applyFont="1" applyFill="1" applyBorder="1" applyAlignment="1">
      <alignment horizontal="center" vertical="center" wrapText="1"/>
    </xf>
    <xf numFmtId="2" fontId="15" fillId="19" borderId="30" xfId="0" applyNumberFormat="1" applyFont="1" applyFill="1" applyBorder="1" applyAlignment="1" applyProtection="1">
      <alignment horizontal="center" vertical="center"/>
      <protection locked="0"/>
    </xf>
    <xf numFmtId="0" fontId="12" fillId="0" borderId="44" xfId="0" applyFont="1" applyBorder="1" applyAlignment="1">
      <alignment horizontal="left" vertical="center"/>
    </xf>
    <xf numFmtId="0" fontId="12" fillId="0" borderId="24" xfId="0" applyFont="1" applyBorder="1" applyAlignment="1">
      <alignment horizontal="left" vertical="center"/>
    </xf>
    <xf numFmtId="0" fontId="12" fillId="0" borderId="17" xfId="0" applyFont="1" applyBorder="1" applyAlignment="1">
      <alignment horizontal="left" vertical="top"/>
    </xf>
    <xf numFmtId="0" fontId="12" fillId="0" borderId="21" xfId="0" applyFont="1" applyBorder="1" applyAlignment="1">
      <alignment horizontal="left" vertical="top"/>
    </xf>
    <xf numFmtId="0" fontId="2" fillId="17" borderId="14" xfId="0" applyFont="1" applyFill="1" applyBorder="1" applyAlignment="1">
      <alignment horizontal="center" wrapText="1"/>
    </xf>
    <xf numFmtId="0" fontId="13" fillId="18" borderId="18" xfId="0" applyFont="1" applyFill="1" applyBorder="1" applyAlignment="1">
      <alignment horizontal="center" wrapText="1"/>
    </xf>
    <xf numFmtId="0" fontId="13" fillId="19" borderId="15" xfId="0" applyFont="1" applyFill="1" applyBorder="1" applyAlignment="1">
      <alignment horizontal="center" vertical="center" wrapText="1"/>
    </xf>
    <xf numFmtId="2" fontId="15" fillId="19" borderId="19" xfId="0" applyNumberFormat="1" applyFont="1" applyFill="1" applyBorder="1" applyAlignment="1" applyProtection="1">
      <alignment horizontal="center" vertical="center"/>
      <protection locked="0"/>
    </xf>
    <xf numFmtId="0" fontId="13" fillId="15" borderId="15" xfId="0" applyFont="1" applyFill="1" applyBorder="1" applyAlignment="1">
      <alignment horizontal="center" vertical="center" wrapText="1"/>
    </xf>
    <xf numFmtId="0" fontId="13" fillId="15" borderId="40" xfId="0" applyFont="1" applyFill="1" applyBorder="1" applyAlignment="1">
      <alignment horizontal="center" wrapText="1"/>
    </xf>
    <xf numFmtId="2" fontId="15" fillId="15" borderId="19" xfId="0" applyNumberFormat="1" applyFont="1" applyFill="1" applyBorder="1" applyAlignment="1" applyProtection="1">
      <alignment horizontal="center" vertical="center"/>
      <protection locked="0"/>
    </xf>
    <xf numFmtId="0" fontId="13" fillId="15" borderId="36" xfId="0" applyFont="1" applyFill="1" applyBorder="1" applyAlignment="1">
      <alignment horizontal="center" wrapText="1"/>
    </xf>
    <xf numFmtId="0" fontId="13" fillId="15" borderId="46" xfId="0" applyFont="1" applyFill="1" applyBorder="1" applyAlignment="1">
      <alignment horizontal="center" vertical="center" wrapText="1"/>
    </xf>
    <xf numFmtId="0" fontId="12" fillId="6" borderId="43" xfId="0" applyFont="1" applyFill="1" applyBorder="1" applyAlignment="1" applyProtection="1">
      <alignment horizontal="left" vertical="center"/>
      <protection locked="0"/>
    </xf>
    <xf numFmtId="2" fontId="15" fillId="15" borderId="30" xfId="0" applyNumberFormat="1" applyFont="1" applyFill="1" applyBorder="1" applyAlignment="1" applyProtection="1">
      <alignment horizontal="center" vertical="center"/>
      <protection locked="0"/>
    </xf>
    <xf numFmtId="0" fontId="12" fillId="6" borderId="44" xfId="0" applyFont="1" applyFill="1" applyBorder="1" applyAlignment="1" applyProtection="1">
      <alignment horizontal="left" vertical="center"/>
      <protection locked="0"/>
    </xf>
    <xf numFmtId="0" fontId="12" fillId="6" borderId="24" xfId="0" applyFont="1" applyFill="1" applyBorder="1" applyAlignment="1" applyProtection="1">
      <alignment horizontal="left" vertical="center"/>
      <protection locked="0"/>
    </xf>
    <xf numFmtId="0" fontId="13" fillId="15" borderId="19" xfId="0" applyFont="1" applyFill="1" applyBorder="1" applyAlignment="1">
      <alignment horizontal="center" vertical="center" wrapText="1"/>
    </xf>
    <xf numFmtId="0" fontId="12" fillId="6" borderId="21" xfId="0" applyFont="1" applyFill="1" applyBorder="1" applyAlignment="1" applyProtection="1">
      <alignment horizontal="left" vertical="center"/>
      <protection locked="0"/>
    </xf>
    <xf numFmtId="0" fontId="2" fillId="14" borderId="31" xfId="0" applyFont="1" applyFill="1" applyBorder="1" applyAlignment="1">
      <alignment horizontal="center" wrapText="1"/>
    </xf>
    <xf numFmtId="0" fontId="13" fillId="13" borderId="19" xfId="0" applyFont="1" applyFill="1" applyBorder="1" applyAlignment="1">
      <alignment horizontal="center" vertical="center" wrapText="1"/>
    </xf>
    <xf numFmtId="0" fontId="12" fillId="6" borderId="18" xfId="0" applyFont="1" applyFill="1" applyBorder="1" applyAlignment="1" applyProtection="1">
      <alignment horizontal="left" vertical="center"/>
      <protection locked="0"/>
    </xf>
    <xf numFmtId="0" fontId="12" fillId="0" borderId="18" xfId="0" applyFont="1" applyBorder="1" applyAlignment="1">
      <alignment horizontal="left" vertical="center"/>
    </xf>
    <xf numFmtId="0" fontId="12" fillId="6" borderId="22" xfId="0" applyFont="1" applyFill="1" applyBorder="1" applyAlignment="1" applyProtection="1">
      <alignment horizontal="left" vertical="center"/>
      <protection locked="0"/>
    </xf>
    <xf numFmtId="0" fontId="13" fillId="13" borderId="36" xfId="0" applyFont="1" applyFill="1" applyBorder="1" applyAlignment="1">
      <alignment horizontal="center" wrapText="1"/>
    </xf>
    <xf numFmtId="0" fontId="13" fillId="13" borderId="15" xfId="0" applyFont="1" applyFill="1" applyBorder="1" applyAlignment="1">
      <alignment horizontal="center" vertical="center" wrapText="1"/>
    </xf>
    <xf numFmtId="2" fontId="15" fillId="13" borderId="19" xfId="0" applyNumberFormat="1" applyFont="1" applyFill="1" applyBorder="1" applyAlignment="1" applyProtection="1">
      <alignment horizontal="center" vertical="center"/>
      <protection locked="0"/>
    </xf>
    <xf numFmtId="0" fontId="12" fillId="7" borderId="18" xfId="0" applyFont="1" applyFill="1" applyBorder="1" applyAlignment="1">
      <alignment horizontal="left" vertical="center" wrapText="1"/>
    </xf>
    <xf numFmtId="0" fontId="13" fillId="13" borderId="46" xfId="0" applyFont="1" applyFill="1" applyBorder="1" applyAlignment="1">
      <alignment horizontal="center" vertical="center" wrapText="1"/>
    </xf>
    <xf numFmtId="2" fontId="15" fillId="13" borderId="30" xfId="0" applyNumberFormat="1" applyFont="1" applyFill="1" applyBorder="1" applyAlignment="1" applyProtection="1">
      <alignment horizontal="center" vertical="center"/>
      <protection locked="0"/>
    </xf>
    <xf numFmtId="0" fontId="12" fillId="7" borderId="17" xfId="0" applyFont="1" applyFill="1" applyBorder="1" applyAlignment="1">
      <alignment horizontal="left" vertical="center" wrapText="1"/>
    </xf>
    <xf numFmtId="0" fontId="2" fillId="12" borderId="14" xfId="0" applyFont="1" applyFill="1" applyBorder="1" applyAlignment="1">
      <alignment horizontal="center" wrapText="1"/>
    </xf>
    <xf numFmtId="0" fontId="13" fillId="13" borderId="18" xfId="0" applyFont="1" applyFill="1" applyBorder="1" applyAlignment="1">
      <alignment horizontal="center" wrapText="1"/>
    </xf>
    <xf numFmtId="0" fontId="13" fillId="9" borderId="45" xfId="0" applyFont="1" applyFill="1" applyBorder="1" applyAlignment="1">
      <alignment horizontal="center" vertical="center" wrapText="1"/>
    </xf>
    <xf numFmtId="0" fontId="12" fillId="7" borderId="22" xfId="0" applyFont="1" applyFill="1" applyBorder="1" applyAlignment="1">
      <alignment horizontal="left" vertical="center"/>
    </xf>
    <xf numFmtId="0" fontId="12" fillId="6" borderId="29" xfId="0" applyFont="1" applyFill="1" applyBorder="1" applyAlignment="1" applyProtection="1">
      <alignment horizontal="left" vertical="center"/>
      <protection locked="0"/>
    </xf>
    <xf numFmtId="0" fontId="13" fillId="9" borderId="36" xfId="0" applyFont="1" applyFill="1" applyBorder="1" applyAlignment="1">
      <alignment horizontal="center" wrapText="1"/>
    </xf>
    <xf numFmtId="0" fontId="13" fillId="9" borderId="38" xfId="0" applyFont="1" applyFill="1" applyBorder="1" applyAlignment="1">
      <alignment horizontal="center" vertical="center" wrapText="1"/>
    </xf>
    <xf numFmtId="2" fontId="15" fillId="9" borderId="30" xfId="0" applyNumberFormat="1" applyFont="1" applyFill="1" applyBorder="1" applyAlignment="1">
      <alignment horizontal="center" vertical="center"/>
    </xf>
    <xf numFmtId="0" fontId="12" fillId="7" borderId="44" xfId="0" applyFont="1" applyFill="1" applyBorder="1" applyAlignment="1">
      <alignment horizontal="left" vertical="center" wrapText="1"/>
    </xf>
    <xf numFmtId="0" fontId="13" fillId="9" borderId="19" xfId="0" applyFont="1" applyFill="1" applyBorder="1" applyAlignment="1">
      <alignment horizontal="center" vertical="center" wrapText="1"/>
    </xf>
    <xf numFmtId="0" fontId="12" fillId="6" borderId="40" xfId="0" applyFont="1" applyFill="1" applyBorder="1" applyAlignment="1" applyProtection="1">
      <alignment horizontal="left" vertical="center"/>
      <protection locked="0"/>
    </xf>
    <xf numFmtId="0" fontId="12" fillId="0" borderId="40" xfId="0" applyFont="1" applyBorder="1" applyAlignment="1">
      <alignment horizontal="left" vertical="center"/>
    </xf>
    <xf numFmtId="0" fontId="12" fillId="6" borderId="28" xfId="0" applyFont="1" applyFill="1" applyBorder="1" applyAlignment="1" applyProtection="1">
      <alignment horizontal="left" vertical="center"/>
      <protection locked="0"/>
    </xf>
    <xf numFmtId="0" fontId="12" fillId="0" borderId="28" xfId="0" applyFont="1" applyBorder="1" applyAlignment="1">
      <alignment horizontal="left" vertical="center"/>
    </xf>
    <xf numFmtId="0" fontId="12" fillId="0" borderId="29" xfId="0" applyFont="1" applyBorder="1" applyAlignment="1">
      <alignment horizontal="left" vertical="center"/>
    </xf>
    <xf numFmtId="0" fontId="13" fillId="9" borderId="30" xfId="0" applyFont="1" applyFill="1" applyBorder="1" applyAlignment="1">
      <alignment horizontal="center" vertical="center" wrapText="1"/>
    </xf>
    <xf numFmtId="0" fontId="13" fillId="0" borderId="7" xfId="0" applyFont="1" applyBorder="1" applyAlignment="1">
      <alignment horizontal="right" wrapText="1"/>
    </xf>
    <xf numFmtId="0" fontId="13" fillId="0" borderId="9" xfId="0" applyFont="1" applyBorder="1" applyAlignment="1">
      <alignment horizontal="right" vertical="center" wrapText="1"/>
    </xf>
    <xf numFmtId="0" fontId="2" fillId="8" borderId="14" xfId="0" applyFont="1" applyFill="1" applyBorder="1" applyAlignment="1">
      <alignment horizontal="center" wrapText="1"/>
    </xf>
    <xf numFmtId="2" fontId="15" fillId="9" borderId="19" xfId="0" applyNumberFormat="1" applyFont="1" applyFill="1" applyBorder="1" applyAlignment="1">
      <alignment horizontal="center" vertical="center"/>
    </xf>
    <xf numFmtId="0" fontId="10" fillId="0" borderId="0" xfId="0" applyFont="1" applyAlignment="1">
      <alignment horizontal="center" wrapText="1"/>
    </xf>
    <xf numFmtId="0" fontId="13" fillId="4" borderId="1" xfId="0" applyFont="1" applyFill="1" applyBorder="1" applyAlignment="1">
      <alignment horizontal="center" wrapText="1"/>
    </xf>
    <xf numFmtId="0" fontId="12" fillId="5" borderId="2" xfId="0" applyFont="1" applyFill="1" applyBorder="1" applyAlignment="1">
      <alignment wrapText="1"/>
    </xf>
    <xf numFmtId="0" fontId="12" fillId="5" borderId="3" xfId="0" applyFont="1" applyFill="1" applyBorder="1" applyAlignment="1">
      <alignment wrapText="1"/>
    </xf>
    <xf numFmtId="0" fontId="12" fillId="5" borderId="4" xfId="0" applyFont="1" applyFill="1" applyBorder="1" applyAlignment="1">
      <alignment wrapText="1"/>
    </xf>
    <xf numFmtId="0" fontId="13" fillId="0" borderId="5" xfId="0" applyFont="1" applyBorder="1" applyAlignment="1">
      <alignment horizontal="right" wrapText="1"/>
    </xf>
    <xf numFmtId="0" fontId="13" fillId="2" borderId="35" xfId="0" applyFont="1" applyFill="1" applyBorder="1" applyAlignment="1">
      <alignment horizontal="center" vertical="center" wrapText="1"/>
    </xf>
    <xf numFmtId="0" fontId="19" fillId="11" borderId="47" xfId="0" applyFont="1" applyFill="1" applyBorder="1" applyAlignment="1">
      <alignment horizontal="center" vertical="center" wrapText="1"/>
    </xf>
    <xf numFmtId="0" fontId="20" fillId="11" borderId="47" xfId="0" applyFont="1" applyFill="1" applyBorder="1" applyAlignment="1">
      <alignment horizontal="center" vertical="center"/>
    </xf>
    <xf numFmtId="0" fontId="13" fillId="0" borderId="0" xfId="0" applyFont="1" applyAlignment="1">
      <alignment horizontal="right" wrapText="1"/>
    </xf>
    <xf numFmtId="167" fontId="12" fillId="0" borderId="0" xfId="0" applyNumberFormat="1" applyFont="1" applyAlignment="1">
      <alignment horizontal="left" wrapText="1"/>
    </xf>
    <xf numFmtId="0" fontId="12" fillId="0" borderId="0" xfId="0" applyFont="1" applyAlignment="1">
      <alignment wrapText="1"/>
    </xf>
    <xf numFmtId="0" fontId="12" fillId="0" borderId="0" xfId="0" applyFont="1" applyAlignment="1">
      <alignment horizontal="left" wrapText="1"/>
    </xf>
    <xf numFmtId="0" fontId="10" fillId="0" borderId="0" xfId="0" applyFont="1" applyAlignment="1">
      <alignment horizontal="center" vertical="center" wrapText="1"/>
    </xf>
    <xf numFmtId="0" fontId="17" fillId="5" borderId="47" xfId="0" applyFont="1" applyFill="1" applyBorder="1" applyAlignment="1">
      <alignment horizontal="left" vertical="center" wrapText="1"/>
    </xf>
    <xf numFmtId="0" fontId="13" fillId="21" borderId="61" xfId="0" applyFont="1" applyFill="1" applyBorder="1" applyAlignment="1">
      <alignment horizontal="center" vertical="center" wrapText="1"/>
    </xf>
    <xf numFmtId="2" fontId="15" fillId="21" borderId="63" xfId="0" applyNumberFormat="1" applyFont="1" applyFill="1" applyBorder="1" applyAlignment="1">
      <alignment horizontal="center" vertical="center"/>
    </xf>
    <xf numFmtId="0" fontId="13" fillId="21" borderId="64" xfId="0" applyFont="1" applyFill="1" applyBorder="1" applyAlignment="1">
      <alignment horizontal="center" vertical="center" wrapText="1"/>
    </xf>
    <xf numFmtId="2" fontId="15" fillId="21" borderId="65" xfId="0" applyNumberFormat="1" applyFont="1" applyFill="1" applyBorder="1" applyAlignment="1">
      <alignment horizontal="center" vertical="center"/>
    </xf>
    <xf numFmtId="0" fontId="13" fillId="21" borderId="60" xfId="0" applyFont="1" applyFill="1" applyBorder="1" applyAlignment="1">
      <alignment horizontal="center" vertical="center" wrapText="1"/>
    </xf>
    <xf numFmtId="0" fontId="2" fillId="20" borderId="16" xfId="0" applyFont="1" applyFill="1" applyBorder="1" applyAlignment="1">
      <alignment horizontal="center" wrapText="1"/>
    </xf>
    <xf numFmtId="0" fontId="2" fillId="20" borderId="63" xfId="0" applyFont="1" applyFill="1" applyBorder="1" applyAlignment="1">
      <alignment horizontal="center" wrapText="1"/>
    </xf>
    <xf numFmtId="0" fontId="13" fillId="19" borderId="60" xfId="0" applyFont="1" applyFill="1" applyBorder="1" applyAlignment="1">
      <alignment horizontal="center" vertical="center" wrapText="1"/>
    </xf>
    <xf numFmtId="2" fontId="15" fillId="19" borderId="63" xfId="0" applyNumberFormat="1" applyFont="1" applyFill="1" applyBorder="1" applyAlignment="1">
      <alignment horizontal="center" vertical="center"/>
    </xf>
    <xf numFmtId="2" fontId="15" fillId="19" borderId="20" xfId="0" applyNumberFormat="1" applyFont="1" applyFill="1" applyBorder="1" applyAlignment="1">
      <alignment horizontal="center" vertical="center"/>
    </xf>
    <xf numFmtId="0" fontId="2" fillId="17" borderId="16" xfId="0" applyFont="1" applyFill="1" applyBorder="1" applyAlignment="1">
      <alignment horizontal="center" wrapText="1"/>
    </xf>
    <xf numFmtId="0" fontId="2" fillId="17" borderId="63" xfId="0" applyFont="1" applyFill="1" applyBorder="1" applyAlignment="1">
      <alignment horizontal="center" wrapText="1"/>
    </xf>
    <xf numFmtId="0" fontId="13" fillId="15" borderId="60" xfId="0" applyFont="1" applyFill="1" applyBorder="1" applyAlignment="1">
      <alignment horizontal="center" vertical="center" wrapText="1"/>
    </xf>
    <xf numFmtId="2" fontId="15" fillId="15" borderId="63" xfId="0" applyNumberFormat="1" applyFont="1" applyFill="1" applyBorder="1" applyAlignment="1">
      <alignment horizontal="center" vertical="center"/>
    </xf>
    <xf numFmtId="2" fontId="15" fillId="15" borderId="20" xfId="0" applyNumberFormat="1" applyFont="1" applyFill="1" applyBorder="1" applyAlignment="1">
      <alignment horizontal="center" vertical="center"/>
    </xf>
    <xf numFmtId="0" fontId="2" fillId="14" borderId="16" xfId="0" applyFont="1" applyFill="1" applyBorder="1" applyAlignment="1">
      <alignment horizontal="center" wrapText="1"/>
    </xf>
    <xf numFmtId="0" fontId="2" fillId="14" borderId="63" xfId="0" applyFont="1" applyFill="1" applyBorder="1" applyAlignment="1">
      <alignment horizontal="center" wrapText="1"/>
    </xf>
    <xf numFmtId="0" fontId="13" fillId="13" borderId="61" xfId="0" applyFont="1" applyFill="1" applyBorder="1" applyAlignment="1">
      <alignment horizontal="center" vertical="center" wrapText="1"/>
    </xf>
    <xf numFmtId="2" fontId="15" fillId="13" borderId="63" xfId="0" applyNumberFormat="1" applyFont="1" applyFill="1" applyBorder="1" applyAlignment="1">
      <alignment horizontal="center" vertical="center"/>
    </xf>
    <xf numFmtId="0" fontId="13" fillId="13" borderId="60" xfId="0" applyFont="1" applyFill="1" applyBorder="1" applyAlignment="1">
      <alignment horizontal="center" vertical="center" wrapText="1"/>
    </xf>
    <xf numFmtId="2" fontId="15" fillId="13" borderId="20" xfId="0" applyNumberFormat="1" applyFont="1" applyFill="1" applyBorder="1" applyAlignment="1">
      <alignment horizontal="center" vertical="center"/>
    </xf>
    <xf numFmtId="0" fontId="13" fillId="13" borderId="64" xfId="0" applyFont="1" applyFill="1" applyBorder="1" applyAlignment="1">
      <alignment horizontal="center" vertical="center" wrapText="1"/>
    </xf>
    <xf numFmtId="0" fontId="2" fillId="12" borderId="16" xfId="0" applyFont="1" applyFill="1" applyBorder="1" applyAlignment="1">
      <alignment horizontal="center" wrapText="1"/>
    </xf>
    <xf numFmtId="0" fontId="2" fillId="12" borderId="63" xfId="0" applyFont="1" applyFill="1" applyBorder="1" applyAlignment="1">
      <alignment horizontal="center" wrapText="1"/>
    </xf>
    <xf numFmtId="0" fontId="13" fillId="9" borderId="60" xfId="0" applyFont="1" applyFill="1" applyBorder="1" applyAlignment="1">
      <alignment horizontal="center" vertical="center" wrapText="1"/>
    </xf>
    <xf numFmtId="2" fontId="15" fillId="9" borderId="63" xfId="0" applyNumberFormat="1" applyFont="1" applyFill="1" applyBorder="1" applyAlignment="1">
      <alignment horizontal="center" vertical="center"/>
    </xf>
    <xf numFmtId="0" fontId="13" fillId="9" borderId="34" xfId="0" applyFont="1" applyFill="1" applyBorder="1" applyAlignment="1">
      <alignment horizontal="center" vertical="center" wrapText="1"/>
    </xf>
    <xf numFmtId="2" fontId="15" fillId="9" borderId="20" xfId="0" applyNumberFormat="1" applyFont="1" applyFill="1" applyBorder="1" applyAlignment="1">
      <alignment horizontal="center" vertical="center"/>
    </xf>
    <xf numFmtId="0" fontId="2" fillId="8" borderId="59" xfId="0" applyFont="1" applyFill="1" applyBorder="1" applyAlignment="1">
      <alignment horizontal="center" wrapText="1"/>
    </xf>
    <xf numFmtId="2" fontId="15" fillId="9" borderId="61" xfId="0" applyNumberFormat="1" applyFont="1" applyFill="1" applyBorder="1" applyAlignment="1">
      <alignment horizontal="center" vertical="center"/>
    </xf>
    <xf numFmtId="0" fontId="22" fillId="22" borderId="54" xfId="0" applyFont="1" applyFill="1" applyBorder="1" applyAlignment="1">
      <alignment horizontal="center"/>
    </xf>
    <xf numFmtId="0" fontId="18" fillId="22" borderId="0" xfId="0" applyFont="1" applyFill="1" applyAlignment="1">
      <alignment horizontal="center"/>
    </xf>
    <xf numFmtId="167" fontId="22" fillId="0" borderId="0" xfId="0" applyNumberFormat="1" applyFont="1" applyAlignment="1" applyProtection="1">
      <alignment horizontal="left"/>
      <protection locked="0"/>
    </xf>
    <xf numFmtId="0" fontId="22" fillId="22" borderId="0" xfId="0" applyFont="1" applyFill="1" applyAlignment="1">
      <alignment horizontal="center"/>
    </xf>
    <xf numFmtId="0" fontId="22" fillId="0" borderId="0" xfId="0" applyFont="1" applyAlignment="1" applyProtection="1">
      <alignment horizontal="left"/>
      <protection locked="0"/>
    </xf>
    <xf numFmtId="0" fontId="1" fillId="10" borderId="0" xfId="0" applyFont="1" applyFill="1" applyAlignment="1">
      <alignment horizontal="center" vertical="center"/>
    </xf>
    <xf numFmtId="0" fontId="8" fillId="0" borderId="11" xfId="0" applyFont="1" applyBorder="1" applyAlignment="1">
      <alignment horizontal="center"/>
    </xf>
  </cellXfs>
  <cellStyles count="2">
    <cellStyle name="Explanatory Text" xfId="1" builtinId="53" customBuiltin="1"/>
    <cellStyle name="Normal" xfId="0" builtinId="0"/>
  </cellStyles>
  <dxfs count="634">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color rgb="FF006100"/>
        <name val="Arial"/>
        <family val="2"/>
      </font>
      <fill>
        <patternFill>
          <bgColor rgb="FFC6EFCE"/>
        </patternFill>
      </fill>
    </dxf>
    <dxf>
      <font>
        <color rgb="FF9C0006"/>
        <name val="Arial"/>
        <family val="2"/>
      </font>
      <fill>
        <patternFill>
          <bgColor rgb="FFFFC7CE"/>
        </patternFill>
      </fill>
    </dxf>
    <dxf>
      <font>
        <name val="Arial"/>
        <family val="2"/>
      </font>
      <fill>
        <patternFill>
          <bgColor rgb="FFA7C0DE"/>
        </patternFill>
      </fill>
    </dxf>
    <dxf>
      <font>
        <name val="Arial"/>
        <family val="2"/>
      </font>
      <fill>
        <patternFill>
          <bgColor rgb="FFA7C0DE"/>
        </patternFill>
      </fill>
    </dxf>
    <dxf>
      <font>
        <name val="Arial"/>
        <family val="2"/>
      </font>
      <fill>
        <patternFill>
          <bgColor rgb="FFA7C0DE"/>
        </patternFill>
      </fill>
    </dxf>
    <dxf>
      <font>
        <name val="Arial"/>
        <family val="2"/>
      </font>
      <fill>
        <patternFill>
          <bgColor rgb="FFA7C0DE"/>
        </patternFill>
      </fill>
    </dxf>
    <dxf>
      <font>
        <name val="Arial"/>
        <family val="2"/>
      </font>
      <fill>
        <patternFill>
          <bgColor rgb="FFA7C0DE"/>
        </patternFill>
      </fill>
    </dxf>
    <dxf>
      <font>
        <name val="Arial"/>
        <family val="2"/>
      </font>
      <fill>
        <patternFill>
          <bgColor rgb="FFA7C0DE"/>
        </patternFill>
      </fill>
    </dxf>
  </dxfs>
  <tableStyles count="0" defaultTableStyle="TableStyleMedium2" defaultPivotStyle="PivotStyleLight16"/>
  <colors>
    <indexedColors>
      <rgbColor rgb="FF000000"/>
      <rgbColor rgb="FFFFFFFF"/>
      <rgbColor rgb="FFCC0000"/>
      <rgbColor rgb="FF9BBB59"/>
      <rgbColor rgb="FF0000EE"/>
      <rgbColor rgb="FFD5D514"/>
      <rgbColor rgb="FFDDD9C3"/>
      <rgbColor rgb="FF94BCDD"/>
      <rgbColor rgb="FF9C0006"/>
      <rgbColor rgb="FF006600"/>
      <rgbColor rgb="FF010000"/>
      <rgbColor rgb="FF996600"/>
      <rgbColor rgb="FF800080"/>
      <rgbColor rgb="FF3290C4"/>
      <rgbColor rgb="FFC0C0C0"/>
      <rgbColor rgb="FF808080"/>
      <rgbColor rgb="FF95B3D7"/>
      <rgbColor rgb="FFC0504D"/>
      <rgbColor rgb="FFFFFFCC"/>
      <rgbColor rgb="FFC6EFCE"/>
      <rgbColor rgb="FF611816"/>
      <rgbColor rgb="FFD59E7B"/>
      <rgbColor rgb="FF8BA988"/>
      <rgbColor rgb="FFD9D9D9"/>
      <rgbColor rgb="FF000080"/>
      <rgbColor rgb="FFF2F2F2"/>
      <rgbColor rgb="FFD4D513"/>
      <rgbColor rgb="FFDDDDDD"/>
      <rgbColor rgb="FF800080"/>
      <rgbColor rgb="FF791F17"/>
      <rgbColor rgb="FF37793E"/>
      <rgbColor rgb="FF0000FF"/>
      <rgbColor rgb="FF00B0F0"/>
      <rgbColor rgb="FFDCE6F2"/>
      <rgbColor rgb="FFCCFFCC"/>
      <rgbColor rgb="FFEBF1DE"/>
      <rgbColor rgb="FF99CCFF"/>
      <rgbColor rgb="FFFFC7CE"/>
      <rgbColor rgb="FFA7C0DE"/>
      <rgbColor rgb="FFFFCCCC"/>
      <rgbColor rgb="FF878787"/>
      <rgbColor rgb="FF36B0D1"/>
      <rgbColor rgb="FFBDBF17"/>
      <rgbColor rgb="FFFFC000"/>
      <rgbColor rgb="FFD9A619"/>
      <rgbColor rgb="FFB07667"/>
      <rgbColor rgb="FF595959"/>
      <rgbColor rgb="FF969696"/>
      <rgbColor rgb="FF003366"/>
      <rgbColor rgb="FF2988A1"/>
      <rgbColor rgb="FF006100"/>
      <rgbColor rgb="FFFFC221"/>
      <rgbColor rgb="FF7E1F1D"/>
      <rgbColor rgb="FFB75727"/>
      <rgbColor rgb="FF8BAA88"/>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6.xml.rels><?xml version="1.0" encoding="UTF-8" standalone="yes"?>
<Relationships xmlns="http://schemas.openxmlformats.org/package/2006/relationships"><Relationship Id="rId1" Type="http://schemas.openxmlformats.org/officeDocument/2006/relationships/image" Target="../media/image2.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title>
      <c:tx>
        <c:rich>
          <a:bodyPr rot="0"/>
          <a:lstStyle/>
          <a:p>
            <a:pPr>
              <a:defRPr sz="1600" b="1" strike="noStrike" spc="-1">
                <a:solidFill>
                  <a:srgbClr val="595959"/>
                </a:solidFill>
                <a:latin typeface="Calibri"/>
              </a:defRPr>
            </a:pPr>
            <a:r>
              <a:rPr sz="1600" b="1" strike="noStrike" spc="-1">
                <a:solidFill>
                  <a:srgbClr val="595959"/>
                </a:solidFill>
                <a:latin typeface="Calibri"/>
              </a:rPr>
              <a:t>SAMM Current Score</a:t>
            </a:r>
          </a:p>
        </c:rich>
      </c:tx>
      <c:layout>
        <c:manualLayout>
          <c:xMode val="edge"/>
          <c:yMode val="edge"/>
          <c:x val="0.68873937677053798"/>
          <c:y val="0.91083455344070297"/>
        </c:manualLayout>
      </c:layout>
      <c:overlay val="0"/>
      <c:spPr>
        <a:noFill/>
        <a:ln>
          <a:noFill/>
        </a:ln>
      </c:spPr>
    </c:title>
    <c:autoTitleDeleted val="0"/>
    <c:plotArea>
      <c:layout/>
      <c:radarChart>
        <c:radarStyle val="filled"/>
        <c:varyColors val="0"/>
        <c:ser>
          <c:idx val="0"/>
          <c:order val="0"/>
          <c:tx>
            <c:strRef>
              <c:f>Scorecard!$V$13</c:f>
              <c:strCache>
                <c:ptCount val="1"/>
                <c:pt idx="0">
                  <c:v>Governance</c:v>
                </c:pt>
              </c:strCache>
            </c:strRef>
          </c:tx>
          <c:spPr>
            <a:gradFill>
              <a:gsLst>
                <a:gs pos="0">
                  <a:srgbClr val="2988A1"/>
                </a:gs>
                <a:gs pos="100000">
                  <a:srgbClr val="36B0D1"/>
                </a:gs>
              </a:gsLst>
              <a:lin ang="16200000"/>
            </a:gra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Scorecard!$V$14:$V$28</c:f>
              <c:numCache>
                <c:formatCode>0.00</c:formatCode>
                <c:ptCount val="15"/>
                <c:pt idx="0">
                  <c:v>1.25</c:v>
                </c:pt>
                <c:pt idx="1">
                  <c:v>1.375</c:v>
                </c:pt>
                <c:pt idx="2">
                  <c:v>2.125</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AEF4-5F41-92E2-5D0559AF3116}"/>
            </c:ext>
          </c:extLst>
        </c:ser>
        <c:ser>
          <c:idx val="1"/>
          <c:order val="1"/>
          <c:tx>
            <c:strRef>
              <c:f>Scorecard!$W$13</c:f>
              <c:strCache>
                <c:ptCount val="1"/>
                <c:pt idx="0">
                  <c:v>Design</c:v>
                </c:pt>
              </c:strCache>
            </c:strRef>
          </c:tx>
          <c:spPr>
            <a:solidFill>
              <a:srgbClr val="B75727"/>
            </a:soli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Scorecard!$W$14:$W$28</c:f>
              <c:numCache>
                <c:formatCode>0.00</c:formatCode>
                <c:ptCount val="15"/>
                <c:pt idx="0">
                  <c:v>0</c:v>
                </c:pt>
                <c:pt idx="1">
                  <c:v>0</c:v>
                </c:pt>
                <c:pt idx="2">
                  <c:v>0</c:v>
                </c:pt>
                <c:pt idx="3">
                  <c:v>2.25</c:v>
                </c:pt>
                <c:pt idx="4">
                  <c:v>2.25</c:v>
                </c:pt>
                <c:pt idx="5">
                  <c:v>1.875</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AEF4-5F41-92E2-5D0559AF3116}"/>
            </c:ext>
          </c:extLst>
        </c:ser>
        <c:ser>
          <c:idx val="2"/>
          <c:order val="2"/>
          <c:tx>
            <c:strRef>
              <c:f>Scorecard!$X$13</c:f>
              <c:strCache>
                <c:ptCount val="1"/>
                <c:pt idx="0">
                  <c:v>Implementation</c:v>
                </c:pt>
              </c:strCache>
            </c:strRef>
          </c:tx>
          <c:spPr>
            <a:solidFill>
              <a:srgbClr val="FFC221"/>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Scorecard!$X$14:$X$28</c:f>
              <c:numCache>
                <c:formatCode>0.00</c:formatCode>
                <c:ptCount val="15"/>
                <c:pt idx="0">
                  <c:v>0</c:v>
                </c:pt>
                <c:pt idx="1">
                  <c:v>0</c:v>
                </c:pt>
                <c:pt idx="2">
                  <c:v>0</c:v>
                </c:pt>
                <c:pt idx="3">
                  <c:v>0</c:v>
                </c:pt>
                <c:pt idx="4">
                  <c:v>0</c:v>
                </c:pt>
                <c:pt idx="5">
                  <c:v>0</c:v>
                </c:pt>
                <c:pt idx="6">
                  <c:v>1.5</c:v>
                </c:pt>
                <c:pt idx="7">
                  <c:v>1.875</c:v>
                </c:pt>
                <c:pt idx="8">
                  <c:v>2.5</c:v>
                </c:pt>
                <c:pt idx="9">
                  <c:v>0</c:v>
                </c:pt>
                <c:pt idx="10">
                  <c:v>0</c:v>
                </c:pt>
                <c:pt idx="11">
                  <c:v>0</c:v>
                </c:pt>
                <c:pt idx="12">
                  <c:v>0</c:v>
                </c:pt>
                <c:pt idx="13">
                  <c:v>0</c:v>
                </c:pt>
                <c:pt idx="14">
                  <c:v>0</c:v>
                </c:pt>
              </c:numCache>
            </c:numRef>
          </c:val>
          <c:extLst>
            <c:ext xmlns:c16="http://schemas.microsoft.com/office/drawing/2014/chart" uri="{C3380CC4-5D6E-409C-BE32-E72D297353CC}">
              <c16:uniqueId val="{00000002-AEF4-5F41-92E2-5D0559AF3116}"/>
            </c:ext>
          </c:extLst>
        </c:ser>
        <c:ser>
          <c:idx val="3"/>
          <c:order val="3"/>
          <c:tx>
            <c:strRef>
              <c:f>Scorecard!$Y$13</c:f>
              <c:strCache>
                <c:ptCount val="1"/>
                <c:pt idx="0">
                  <c:v>Verification</c:v>
                </c:pt>
              </c:strCache>
            </c:strRef>
          </c:tx>
          <c:spPr>
            <a:solidFill>
              <a:srgbClr val="37793E"/>
            </a:soli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Scorecard!$Y$14:$Y$28</c:f>
              <c:numCache>
                <c:formatCode>0.00</c:formatCode>
                <c:ptCount val="15"/>
                <c:pt idx="0">
                  <c:v>0</c:v>
                </c:pt>
                <c:pt idx="1">
                  <c:v>0</c:v>
                </c:pt>
                <c:pt idx="2">
                  <c:v>0</c:v>
                </c:pt>
                <c:pt idx="3">
                  <c:v>0</c:v>
                </c:pt>
                <c:pt idx="4">
                  <c:v>0</c:v>
                </c:pt>
                <c:pt idx="5">
                  <c:v>0</c:v>
                </c:pt>
                <c:pt idx="6">
                  <c:v>0</c:v>
                </c:pt>
                <c:pt idx="7">
                  <c:v>0</c:v>
                </c:pt>
                <c:pt idx="8">
                  <c:v>0</c:v>
                </c:pt>
                <c:pt idx="9">
                  <c:v>0.75</c:v>
                </c:pt>
                <c:pt idx="10">
                  <c:v>0</c:v>
                </c:pt>
                <c:pt idx="11">
                  <c:v>0.875</c:v>
                </c:pt>
                <c:pt idx="12">
                  <c:v>0</c:v>
                </c:pt>
                <c:pt idx="13">
                  <c:v>0</c:v>
                </c:pt>
                <c:pt idx="14">
                  <c:v>0</c:v>
                </c:pt>
              </c:numCache>
            </c:numRef>
          </c:val>
          <c:extLst>
            <c:ext xmlns:c16="http://schemas.microsoft.com/office/drawing/2014/chart" uri="{C3380CC4-5D6E-409C-BE32-E72D297353CC}">
              <c16:uniqueId val="{00000003-AEF4-5F41-92E2-5D0559AF3116}"/>
            </c:ext>
          </c:extLst>
        </c:ser>
        <c:ser>
          <c:idx val="4"/>
          <c:order val="4"/>
          <c:tx>
            <c:strRef>
              <c:f>Scorecard!$Z$13</c:f>
              <c:strCache>
                <c:ptCount val="1"/>
                <c:pt idx="0">
                  <c:v>Operations</c:v>
                </c:pt>
              </c:strCache>
            </c:strRef>
          </c:tx>
          <c:spPr>
            <a:gradFill>
              <a:gsLst>
                <a:gs pos="0">
                  <a:srgbClr val="611816"/>
                </a:gs>
                <a:gs pos="100000">
                  <a:srgbClr val="7E1F1D"/>
                </a:gs>
              </a:gsLst>
              <a:lin ang="16200000"/>
            </a:gra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Scorecard!$Z$14:$Z$28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0.375</c:v>
                </c:pt>
                <c:pt idx="14">
                  <c:v>0</c:v>
                </c:pt>
              </c:numCache>
            </c:numRef>
          </c:val>
          <c:extLst>
            <c:ext xmlns:c16="http://schemas.microsoft.com/office/drawing/2014/chart" uri="{C3380CC4-5D6E-409C-BE32-E72D297353CC}">
              <c16:uniqueId val="{00000004-AEF4-5F41-92E2-5D0559AF3116}"/>
            </c:ext>
          </c:extLst>
        </c:ser>
        <c:dLbls>
          <c:showLegendKey val="0"/>
          <c:showVal val="0"/>
          <c:showCatName val="0"/>
          <c:showSerName val="0"/>
          <c:showPercent val="0"/>
          <c:showBubbleSize val="0"/>
        </c:dLbls>
        <c:axId val="90693005"/>
        <c:axId val="19572478"/>
      </c:radarChart>
      <c:catAx>
        <c:axId val="90693005"/>
        <c:scaling>
          <c:orientation val="minMax"/>
        </c:scaling>
        <c:delete val="0"/>
        <c:axPos val="b"/>
        <c:numFmt formatCode="General" sourceLinked="1"/>
        <c:majorTickMark val="none"/>
        <c:minorTickMark val="none"/>
        <c:tickLblPos val="nextTo"/>
        <c:spPr>
          <a:ln w="12600">
            <a:noFill/>
          </a:ln>
        </c:spPr>
        <c:txPr>
          <a:bodyPr/>
          <a:lstStyle/>
          <a:p>
            <a:pPr>
              <a:defRPr sz="900" b="0" strike="noStrike" spc="-1">
                <a:solidFill>
                  <a:srgbClr val="595959"/>
                </a:solidFill>
                <a:latin typeface="Calibri"/>
              </a:defRPr>
            </a:pPr>
            <a:endParaRPr lang="en-SE"/>
          </a:p>
        </c:txPr>
        <c:crossAx val="19572478"/>
        <c:crosses val="autoZero"/>
        <c:auto val="1"/>
        <c:lblAlgn val="ctr"/>
        <c:lblOffset val="100"/>
        <c:noMultiLvlLbl val="1"/>
      </c:catAx>
      <c:valAx>
        <c:axId val="19572478"/>
        <c:scaling>
          <c:orientation val="minMax"/>
          <c:max val="3"/>
        </c:scaling>
        <c:delete val="0"/>
        <c:axPos val="l"/>
        <c:majorGridlines>
          <c:spPr>
            <a:ln w="9360">
              <a:solidFill>
                <a:srgbClr val="D9D9D9"/>
              </a:solidFill>
              <a:round/>
            </a:ln>
          </c:spPr>
        </c:majorGridlines>
        <c:numFmt formatCode="0.00" sourceLinked="0"/>
        <c:majorTickMark val="none"/>
        <c:minorTickMark val="none"/>
        <c:tickLblPos val="nextTo"/>
        <c:spPr>
          <a:ln w="9360">
            <a:noFill/>
          </a:ln>
        </c:spPr>
        <c:txPr>
          <a:bodyPr/>
          <a:lstStyle/>
          <a:p>
            <a:pPr>
              <a:defRPr sz="900" b="0" strike="noStrike" spc="-1">
                <a:solidFill>
                  <a:srgbClr val="595959"/>
                </a:solidFill>
                <a:latin typeface="Calibri"/>
              </a:defRPr>
            </a:pPr>
            <a:endParaRPr lang="en-SE"/>
          </a:p>
        </c:txPr>
        <c:crossAx val="90693005"/>
        <c:crosses val="autoZero"/>
        <c:crossBetween val="between"/>
      </c:valAx>
      <c:spPr>
        <a:noFill/>
        <a:ln>
          <a:noFill/>
        </a:ln>
      </c:spPr>
    </c:plotArea>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443961089964401E-2"/>
          <c:y val="0.15842055185537601"/>
          <c:w val="0.92024651078484698"/>
          <c:h val="0.645099904852521"/>
        </c:manualLayout>
      </c:layout>
      <c:areaChart>
        <c:grouping val="standard"/>
        <c:varyColors val="1"/>
        <c:ser>
          <c:idx val="0"/>
          <c:order val="0"/>
          <c:spPr>
            <a:solidFill>
              <a:srgbClr val="B75727"/>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Chart'!$B$15:$J$15</c:f>
              <c:numCache>
                <c:formatCode>0.00</c:formatCode>
                <c:ptCount val="9"/>
                <c:pt idx="0">
                  <c:v>2.25</c:v>
                </c:pt>
                <c:pt idx="1">
                  <c:v>2.25</c:v>
                </c:pt>
                <c:pt idx="2" formatCode="General">
                  <c:v>2.25</c:v>
                </c:pt>
                <c:pt idx="3">
                  <c:v>2.25</c:v>
                </c:pt>
                <c:pt idx="4" formatCode="General">
                  <c:v>2.25</c:v>
                </c:pt>
                <c:pt idx="5">
                  <c:v>2.25</c:v>
                </c:pt>
                <c:pt idx="6" formatCode="General">
                  <c:v>2.25</c:v>
                </c:pt>
                <c:pt idx="7">
                  <c:v>2.25</c:v>
                </c:pt>
                <c:pt idx="8" formatCode="General">
                  <c:v>2.25</c:v>
                </c:pt>
              </c:numCache>
            </c:numRef>
          </c:val>
          <c:extLst>
            <c:ext xmlns:c16="http://schemas.microsoft.com/office/drawing/2014/chart" uri="{C3380CC4-5D6E-409C-BE32-E72D297353CC}">
              <c16:uniqueId val="{00000000-D8E6-8041-92BE-9909C2068DA9}"/>
            </c:ext>
          </c:extLst>
        </c:ser>
        <c:dLbls>
          <c:showLegendKey val="0"/>
          <c:showVal val="0"/>
          <c:showCatName val="0"/>
          <c:showSerName val="0"/>
          <c:showPercent val="0"/>
          <c:showBubbleSize val="0"/>
        </c:dLbls>
        <c:axId val="36152951"/>
        <c:axId val="23004985"/>
      </c:areaChart>
      <c:catAx>
        <c:axId val="36152951"/>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50" b="0" strike="noStrike" spc="-1">
                <a:solidFill>
                  <a:srgbClr val="FFFFFF"/>
                </a:solidFill>
                <a:latin typeface="Arial"/>
                <a:ea typeface="Arial"/>
              </a:defRPr>
            </a:pPr>
            <a:endParaRPr lang="en-SE"/>
          </a:p>
        </c:txPr>
        <c:crossAx val="23004985"/>
        <c:crosses val="autoZero"/>
        <c:auto val="1"/>
        <c:lblAlgn val="ctr"/>
        <c:lblOffset val="100"/>
        <c:noMultiLvlLbl val="1"/>
      </c:catAx>
      <c:valAx>
        <c:axId val="23004985"/>
        <c:scaling>
          <c:orientation val="minMax"/>
          <c:max val="3"/>
        </c:scaling>
        <c:delete val="0"/>
        <c:axPos val="l"/>
        <c:majorGridlines>
          <c:spPr>
            <a:ln w="3240">
              <a:solidFill>
                <a:srgbClr val="C0C0C0"/>
              </a:solidFill>
              <a:round/>
            </a:ln>
          </c:spPr>
        </c:majorGridlines>
        <c:numFmt formatCode="0.00" sourceLinked="0"/>
        <c:majorTickMark val="out"/>
        <c:minorTickMark val="none"/>
        <c:tickLblPos val="nextTo"/>
        <c:spPr>
          <a:ln w="3240">
            <a:solidFill>
              <a:srgbClr val="969696"/>
            </a:solidFill>
            <a:round/>
          </a:ln>
        </c:spPr>
        <c:txPr>
          <a:bodyPr/>
          <a:lstStyle/>
          <a:p>
            <a:pPr>
              <a:defRPr sz="800" b="0" strike="noStrike" spc="-1">
                <a:solidFill>
                  <a:srgbClr val="000000"/>
                </a:solidFill>
                <a:latin typeface="Arial"/>
                <a:ea typeface="Arial"/>
              </a:defRPr>
            </a:pPr>
            <a:endParaRPr lang="en-SE"/>
          </a:p>
        </c:txPr>
        <c:crossAx val="36152951"/>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482183838627898E-2"/>
          <c:y val="0.15824754608570701"/>
          <c:w val="0.92021983331320201"/>
          <c:h val="0.64519990423749096"/>
        </c:manualLayout>
      </c:layout>
      <c:areaChart>
        <c:grouping val="standard"/>
        <c:varyColors val="1"/>
        <c:ser>
          <c:idx val="0"/>
          <c:order val="0"/>
          <c:spPr>
            <a:solidFill>
              <a:srgbClr val="B75727"/>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Chart'!$B$16:$J$16</c:f>
              <c:numCache>
                <c:formatCode>0.00</c:formatCode>
                <c:ptCount val="9"/>
                <c:pt idx="0">
                  <c:v>2.25</c:v>
                </c:pt>
                <c:pt idx="1">
                  <c:v>2.25</c:v>
                </c:pt>
                <c:pt idx="2" formatCode="General">
                  <c:v>2.25</c:v>
                </c:pt>
                <c:pt idx="3">
                  <c:v>2.25</c:v>
                </c:pt>
                <c:pt idx="4" formatCode="General">
                  <c:v>2.25</c:v>
                </c:pt>
                <c:pt idx="5">
                  <c:v>2.25</c:v>
                </c:pt>
                <c:pt idx="6" formatCode="General">
                  <c:v>2.25</c:v>
                </c:pt>
                <c:pt idx="7">
                  <c:v>2.25</c:v>
                </c:pt>
                <c:pt idx="8" formatCode="General">
                  <c:v>2.25</c:v>
                </c:pt>
              </c:numCache>
            </c:numRef>
          </c:val>
          <c:extLst>
            <c:ext xmlns:c16="http://schemas.microsoft.com/office/drawing/2014/chart" uri="{C3380CC4-5D6E-409C-BE32-E72D297353CC}">
              <c16:uniqueId val="{00000000-BDF4-D741-AEB8-D3541BFB09E5}"/>
            </c:ext>
          </c:extLst>
        </c:ser>
        <c:dLbls>
          <c:showLegendKey val="0"/>
          <c:showVal val="0"/>
          <c:showCatName val="0"/>
          <c:showSerName val="0"/>
          <c:showPercent val="0"/>
          <c:showBubbleSize val="0"/>
        </c:dLbls>
        <c:axId val="59508162"/>
        <c:axId val="91913699"/>
      </c:areaChart>
      <c:catAx>
        <c:axId val="59508162"/>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50" b="0" strike="noStrike" spc="-1">
                <a:solidFill>
                  <a:srgbClr val="FFFFFF"/>
                </a:solidFill>
                <a:latin typeface="Arial"/>
                <a:ea typeface="Arial"/>
              </a:defRPr>
            </a:pPr>
            <a:endParaRPr lang="en-SE"/>
          </a:p>
        </c:txPr>
        <c:crossAx val="91913699"/>
        <c:crosses val="autoZero"/>
        <c:auto val="1"/>
        <c:lblAlgn val="ctr"/>
        <c:lblOffset val="100"/>
        <c:noMultiLvlLbl val="1"/>
      </c:catAx>
      <c:valAx>
        <c:axId val="91913699"/>
        <c:scaling>
          <c:orientation val="minMax"/>
          <c:max val="3"/>
        </c:scaling>
        <c:delete val="0"/>
        <c:axPos val="l"/>
        <c:majorGridlines>
          <c:spPr>
            <a:ln w="3240">
              <a:solidFill>
                <a:srgbClr val="C0C0C0"/>
              </a:solidFill>
              <a:round/>
            </a:ln>
          </c:spPr>
        </c:majorGridlines>
        <c:numFmt formatCode="0.00" sourceLinked="0"/>
        <c:majorTickMark val="out"/>
        <c:minorTickMark val="none"/>
        <c:tickLblPos val="nextTo"/>
        <c:spPr>
          <a:ln w="3240">
            <a:solidFill>
              <a:srgbClr val="969696"/>
            </a:solidFill>
            <a:round/>
          </a:ln>
        </c:spPr>
        <c:txPr>
          <a:bodyPr/>
          <a:lstStyle/>
          <a:p>
            <a:pPr>
              <a:defRPr sz="800" b="0" strike="noStrike" spc="-1">
                <a:solidFill>
                  <a:srgbClr val="000000"/>
                </a:solidFill>
                <a:latin typeface="Arial"/>
                <a:ea typeface="Arial"/>
              </a:defRPr>
            </a:pPr>
            <a:endParaRPr lang="en-SE"/>
          </a:p>
        </c:txPr>
        <c:crossAx val="59508162"/>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367114662792098E-2"/>
          <c:y val="0.157193816884661"/>
          <c:w val="0.92038987770916603"/>
          <c:h val="0.64732461355529103"/>
        </c:manualLayout>
      </c:layout>
      <c:areaChart>
        <c:grouping val="standard"/>
        <c:varyColors val="1"/>
        <c:ser>
          <c:idx val="0"/>
          <c:order val="0"/>
          <c:spPr>
            <a:solidFill>
              <a:srgbClr val="B75727"/>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Chart'!$B$17:$J$17</c:f>
              <c:numCache>
                <c:formatCode>0.00</c:formatCode>
                <c:ptCount val="9"/>
                <c:pt idx="0">
                  <c:v>1.875</c:v>
                </c:pt>
                <c:pt idx="1">
                  <c:v>1.875</c:v>
                </c:pt>
                <c:pt idx="2" formatCode="General">
                  <c:v>1.875</c:v>
                </c:pt>
                <c:pt idx="3">
                  <c:v>1.875</c:v>
                </c:pt>
                <c:pt idx="4" formatCode="General">
                  <c:v>1.875</c:v>
                </c:pt>
                <c:pt idx="5">
                  <c:v>1.875</c:v>
                </c:pt>
                <c:pt idx="6" formatCode="General">
                  <c:v>1.875</c:v>
                </c:pt>
                <c:pt idx="7">
                  <c:v>1.875</c:v>
                </c:pt>
                <c:pt idx="8" formatCode="General">
                  <c:v>1.875</c:v>
                </c:pt>
              </c:numCache>
            </c:numRef>
          </c:val>
          <c:extLst>
            <c:ext xmlns:c16="http://schemas.microsoft.com/office/drawing/2014/chart" uri="{C3380CC4-5D6E-409C-BE32-E72D297353CC}">
              <c16:uniqueId val="{00000000-7392-7542-BE60-69428406EF9C}"/>
            </c:ext>
          </c:extLst>
        </c:ser>
        <c:dLbls>
          <c:showLegendKey val="0"/>
          <c:showVal val="0"/>
          <c:showCatName val="0"/>
          <c:showSerName val="0"/>
          <c:showPercent val="0"/>
          <c:showBubbleSize val="0"/>
        </c:dLbls>
        <c:axId val="32542561"/>
        <c:axId val="11336260"/>
      </c:areaChart>
      <c:catAx>
        <c:axId val="32542561"/>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50" b="0" strike="noStrike" spc="-1">
                <a:solidFill>
                  <a:srgbClr val="FFFFFF"/>
                </a:solidFill>
                <a:latin typeface="Arial"/>
                <a:ea typeface="Arial"/>
              </a:defRPr>
            </a:pPr>
            <a:endParaRPr lang="en-SE"/>
          </a:p>
        </c:txPr>
        <c:crossAx val="11336260"/>
        <c:crosses val="autoZero"/>
        <c:auto val="1"/>
        <c:lblAlgn val="ctr"/>
        <c:lblOffset val="100"/>
        <c:noMultiLvlLbl val="1"/>
      </c:catAx>
      <c:valAx>
        <c:axId val="11336260"/>
        <c:scaling>
          <c:orientation val="minMax"/>
          <c:max val="3"/>
        </c:scaling>
        <c:delete val="0"/>
        <c:axPos val="l"/>
        <c:majorGridlines>
          <c:spPr>
            <a:ln w="3240">
              <a:solidFill>
                <a:srgbClr val="C0C0C0"/>
              </a:solidFill>
              <a:round/>
            </a:ln>
          </c:spPr>
        </c:majorGridlines>
        <c:numFmt formatCode="0.00" sourceLinked="0"/>
        <c:majorTickMark val="out"/>
        <c:minorTickMark val="none"/>
        <c:tickLblPos val="nextTo"/>
        <c:spPr>
          <a:ln w="3240">
            <a:solidFill>
              <a:srgbClr val="969696"/>
            </a:solidFill>
            <a:round/>
          </a:ln>
        </c:spPr>
        <c:txPr>
          <a:bodyPr/>
          <a:lstStyle/>
          <a:p>
            <a:pPr>
              <a:defRPr sz="800" b="0" strike="noStrike" spc="-1">
                <a:solidFill>
                  <a:srgbClr val="000000"/>
                </a:solidFill>
                <a:latin typeface="Arial"/>
                <a:ea typeface="Arial"/>
              </a:defRPr>
            </a:pPr>
            <a:endParaRPr lang="en-SE"/>
          </a:p>
        </c:txPr>
        <c:crossAx val="32542561"/>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4281227349601E-2"/>
          <c:y val="0.156264775413712"/>
          <c:w val="0.92021019569944396"/>
          <c:h val="0.64964539007092204"/>
        </c:manualLayout>
      </c:layout>
      <c:areaChart>
        <c:grouping val="standard"/>
        <c:varyColors val="1"/>
        <c:ser>
          <c:idx val="0"/>
          <c:order val="0"/>
          <c:spPr>
            <a:solidFill>
              <a:srgbClr val="37793E"/>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Chart'!$B$21:$J$21</c:f>
              <c:numCache>
                <c:formatCode>0.00</c:formatCode>
                <c:ptCount val="9"/>
                <c:pt idx="0">
                  <c:v>0.75</c:v>
                </c:pt>
                <c:pt idx="1">
                  <c:v>0.75</c:v>
                </c:pt>
                <c:pt idx="2" formatCode="General">
                  <c:v>0.75</c:v>
                </c:pt>
                <c:pt idx="3">
                  <c:v>0.75</c:v>
                </c:pt>
                <c:pt idx="4" formatCode="General">
                  <c:v>0.75</c:v>
                </c:pt>
                <c:pt idx="5">
                  <c:v>0.75</c:v>
                </c:pt>
                <c:pt idx="6" formatCode="General">
                  <c:v>0.75</c:v>
                </c:pt>
                <c:pt idx="7">
                  <c:v>0.75</c:v>
                </c:pt>
                <c:pt idx="8" formatCode="General">
                  <c:v>0.75</c:v>
                </c:pt>
              </c:numCache>
            </c:numRef>
          </c:val>
          <c:extLst>
            <c:ext xmlns:c16="http://schemas.microsoft.com/office/drawing/2014/chart" uri="{C3380CC4-5D6E-409C-BE32-E72D297353CC}">
              <c16:uniqueId val="{00000000-6CB1-C44E-81B9-F9B8C7738995}"/>
            </c:ext>
          </c:extLst>
        </c:ser>
        <c:dLbls>
          <c:showLegendKey val="0"/>
          <c:showVal val="0"/>
          <c:showCatName val="0"/>
          <c:showSerName val="0"/>
          <c:showPercent val="0"/>
          <c:showBubbleSize val="0"/>
        </c:dLbls>
        <c:axId val="65020643"/>
        <c:axId val="7683655"/>
      </c:areaChart>
      <c:catAx>
        <c:axId val="65020643"/>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75" b="0" strike="noStrike" spc="-1">
                <a:solidFill>
                  <a:srgbClr val="FFFFFF"/>
                </a:solidFill>
                <a:latin typeface="Arial"/>
                <a:ea typeface="Arial"/>
              </a:defRPr>
            </a:pPr>
            <a:endParaRPr lang="en-SE"/>
          </a:p>
        </c:txPr>
        <c:crossAx val="7683655"/>
        <c:crosses val="autoZero"/>
        <c:auto val="1"/>
        <c:lblAlgn val="ctr"/>
        <c:lblOffset val="100"/>
        <c:noMultiLvlLbl val="1"/>
      </c:catAx>
      <c:valAx>
        <c:axId val="7683655"/>
        <c:scaling>
          <c:orientation val="minMax"/>
          <c:max val="3"/>
        </c:scaling>
        <c:delete val="0"/>
        <c:axPos val="l"/>
        <c:majorGridlines>
          <c:spPr>
            <a:ln w="3240">
              <a:solidFill>
                <a:srgbClr val="C0C0C0"/>
              </a:solidFill>
              <a:round/>
            </a:ln>
          </c:spPr>
        </c:majorGridlines>
        <c:numFmt formatCode="0.00" sourceLinked="0"/>
        <c:majorTickMark val="out"/>
        <c:minorTickMark val="none"/>
        <c:tickLblPos val="nextTo"/>
        <c:spPr>
          <a:ln w="3240">
            <a:solidFill>
              <a:srgbClr val="969696"/>
            </a:solidFill>
            <a:round/>
          </a:ln>
        </c:spPr>
        <c:txPr>
          <a:bodyPr/>
          <a:lstStyle/>
          <a:p>
            <a:pPr>
              <a:defRPr sz="800" b="0" strike="noStrike" spc="-1">
                <a:solidFill>
                  <a:srgbClr val="000000"/>
                </a:solidFill>
                <a:latin typeface="Arial"/>
                <a:ea typeface="Arial"/>
              </a:defRPr>
            </a:pPr>
            <a:endParaRPr lang="en-SE"/>
          </a:p>
        </c:txPr>
        <c:crossAx val="65020643"/>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367721671901402E-2"/>
          <c:y val="0.15531015037594001"/>
          <c:w val="0.92039139888861998"/>
          <c:h val="0.65178571428571397"/>
        </c:manualLayout>
      </c:layout>
      <c:areaChart>
        <c:grouping val="standard"/>
        <c:varyColors val="1"/>
        <c:ser>
          <c:idx val="0"/>
          <c:order val="0"/>
          <c:spPr>
            <a:solidFill>
              <a:srgbClr val="37793E"/>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Chart'!$B$22:$J$22</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64DD-5943-A075-12181BF37384}"/>
            </c:ext>
          </c:extLst>
        </c:ser>
        <c:dLbls>
          <c:showLegendKey val="0"/>
          <c:showVal val="0"/>
          <c:showCatName val="0"/>
          <c:showSerName val="0"/>
          <c:showPercent val="0"/>
          <c:showBubbleSize val="0"/>
        </c:dLbls>
        <c:axId val="19368867"/>
        <c:axId val="66319378"/>
      </c:areaChart>
      <c:catAx>
        <c:axId val="19368867"/>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75" b="0" strike="noStrike" spc="-1">
                <a:solidFill>
                  <a:srgbClr val="FFFFFF"/>
                </a:solidFill>
                <a:latin typeface="Arial"/>
                <a:ea typeface="Arial"/>
              </a:defRPr>
            </a:pPr>
            <a:endParaRPr lang="en-SE"/>
          </a:p>
        </c:txPr>
        <c:crossAx val="66319378"/>
        <c:crosses val="autoZero"/>
        <c:auto val="1"/>
        <c:lblAlgn val="ctr"/>
        <c:lblOffset val="100"/>
        <c:noMultiLvlLbl val="1"/>
      </c:catAx>
      <c:valAx>
        <c:axId val="66319378"/>
        <c:scaling>
          <c:orientation val="minMax"/>
          <c:max val="3"/>
        </c:scaling>
        <c:delete val="0"/>
        <c:axPos val="l"/>
        <c:majorGridlines>
          <c:spPr>
            <a:ln w="3240">
              <a:solidFill>
                <a:srgbClr val="C0C0C0"/>
              </a:solidFill>
              <a:round/>
            </a:ln>
          </c:spPr>
        </c:majorGridlines>
        <c:numFmt formatCode="0.00" sourceLinked="0"/>
        <c:majorTickMark val="out"/>
        <c:minorTickMark val="none"/>
        <c:tickLblPos val="nextTo"/>
        <c:spPr>
          <a:ln w="3240">
            <a:solidFill>
              <a:srgbClr val="969696"/>
            </a:solidFill>
            <a:round/>
          </a:ln>
        </c:spPr>
        <c:txPr>
          <a:bodyPr/>
          <a:lstStyle/>
          <a:p>
            <a:pPr>
              <a:defRPr sz="800" b="0" strike="noStrike" spc="-1">
                <a:solidFill>
                  <a:srgbClr val="000000"/>
                </a:solidFill>
                <a:latin typeface="Arial"/>
                <a:ea typeface="Arial"/>
              </a:defRPr>
            </a:pPr>
            <a:endParaRPr lang="en-SE"/>
          </a:p>
        </c:txPr>
        <c:crossAx val="19368867"/>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548924861077602E-2"/>
          <c:y val="0.15527366690157399"/>
          <c:w val="0.92008939357332697"/>
          <c:h val="0.65186751233262896"/>
        </c:manualLayout>
      </c:layout>
      <c:areaChart>
        <c:grouping val="standard"/>
        <c:varyColors val="1"/>
        <c:ser>
          <c:idx val="0"/>
          <c:order val="0"/>
          <c:spPr>
            <a:solidFill>
              <a:srgbClr val="37793E"/>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Chart'!$B$23:$J$23</c:f>
              <c:numCache>
                <c:formatCode>0.00</c:formatCode>
                <c:ptCount val="9"/>
                <c:pt idx="0">
                  <c:v>0.875</c:v>
                </c:pt>
                <c:pt idx="1">
                  <c:v>0.875</c:v>
                </c:pt>
                <c:pt idx="2" formatCode="General">
                  <c:v>0.875</c:v>
                </c:pt>
                <c:pt idx="3">
                  <c:v>0.875</c:v>
                </c:pt>
                <c:pt idx="4" formatCode="General">
                  <c:v>0.875</c:v>
                </c:pt>
                <c:pt idx="5">
                  <c:v>0.875</c:v>
                </c:pt>
                <c:pt idx="6" formatCode="General">
                  <c:v>0.875</c:v>
                </c:pt>
                <c:pt idx="7">
                  <c:v>0.875</c:v>
                </c:pt>
                <c:pt idx="8" formatCode="General">
                  <c:v>0.875</c:v>
                </c:pt>
              </c:numCache>
            </c:numRef>
          </c:val>
          <c:extLst>
            <c:ext xmlns:c16="http://schemas.microsoft.com/office/drawing/2014/chart" uri="{C3380CC4-5D6E-409C-BE32-E72D297353CC}">
              <c16:uniqueId val="{00000000-7593-1F40-B6C0-65E30689F53A}"/>
            </c:ext>
          </c:extLst>
        </c:ser>
        <c:dLbls>
          <c:showLegendKey val="0"/>
          <c:showVal val="0"/>
          <c:showCatName val="0"/>
          <c:showSerName val="0"/>
          <c:showPercent val="0"/>
          <c:showBubbleSize val="0"/>
        </c:dLbls>
        <c:axId val="15791374"/>
        <c:axId val="23884720"/>
      </c:areaChart>
      <c:catAx>
        <c:axId val="15791374"/>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75" b="0" strike="noStrike" spc="-1">
                <a:solidFill>
                  <a:srgbClr val="FFFFFF"/>
                </a:solidFill>
                <a:latin typeface="Arial"/>
                <a:ea typeface="Arial"/>
              </a:defRPr>
            </a:pPr>
            <a:endParaRPr lang="en-SE"/>
          </a:p>
        </c:txPr>
        <c:crossAx val="23884720"/>
        <c:crosses val="autoZero"/>
        <c:auto val="1"/>
        <c:lblAlgn val="ctr"/>
        <c:lblOffset val="100"/>
        <c:noMultiLvlLbl val="1"/>
      </c:catAx>
      <c:valAx>
        <c:axId val="23884720"/>
        <c:scaling>
          <c:orientation val="minMax"/>
          <c:max val="3"/>
        </c:scaling>
        <c:delete val="0"/>
        <c:axPos val="l"/>
        <c:majorGridlines>
          <c:spPr>
            <a:ln w="3240">
              <a:solidFill>
                <a:srgbClr val="C0C0C0"/>
              </a:solidFill>
              <a:round/>
            </a:ln>
          </c:spPr>
        </c:majorGridlines>
        <c:numFmt formatCode="0.00" sourceLinked="0"/>
        <c:majorTickMark val="out"/>
        <c:minorTickMark val="none"/>
        <c:tickLblPos val="nextTo"/>
        <c:spPr>
          <a:ln w="3240">
            <a:solidFill>
              <a:srgbClr val="969696"/>
            </a:solidFill>
            <a:round/>
          </a:ln>
        </c:spPr>
        <c:txPr>
          <a:bodyPr/>
          <a:lstStyle/>
          <a:p>
            <a:pPr>
              <a:defRPr sz="800" b="0" strike="noStrike" spc="-1">
                <a:solidFill>
                  <a:srgbClr val="000000"/>
                </a:solidFill>
                <a:latin typeface="Arial"/>
                <a:ea typeface="Arial"/>
              </a:defRPr>
            </a:pPr>
            <a:endParaRPr lang="en-SE"/>
          </a:p>
        </c:txPr>
        <c:crossAx val="15791374"/>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4281227349601E-2"/>
          <c:y val="0.154425612052731"/>
          <c:w val="0.92021019569944396"/>
          <c:h val="0.653954802259887"/>
        </c:manualLayout>
      </c:layout>
      <c:areaChart>
        <c:grouping val="standard"/>
        <c:varyColors val="1"/>
        <c:ser>
          <c:idx val="0"/>
          <c:order val="0"/>
          <c:spPr>
            <a:solidFill>
              <a:srgbClr val="791F17"/>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Chart'!$B$24:$J$24</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8C9A-B349-8AB3-C20FB6A18AAA}"/>
            </c:ext>
          </c:extLst>
        </c:ser>
        <c:dLbls>
          <c:showLegendKey val="0"/>
          <c:showVal val="0"/>
          <c:showCatName val="0"/>
          <c:showSerName val="0"/>
          <c:showPercent val="0"/>
          <c:showBubbleSize val="0"/>
        </c:dLbls>
        <c:axId val="7375060"/>
        <c:axId val="97586635"/>
      </c:areaChart>
      <c:catAx>
        <c:axId val="7375060"/>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75" b="0" strike="noStrike" spc="-1">
                <a:solidFill>
                  <a:srgbClr val="FFFFFF"/>
                </a:solidFill>
                <a:latin typeface="Arial"/>
                <a:ea typeface="Arial"/>
              </a:defRPr>
            </a:pPr>
            <a:endParaRPr lang="en-SE"/>
          </a:p>
        </c:txPr>
        <c:crossAx val="97586635"/>
        <c:crosses val="autoZero"/>
        <c:auto val="1"/>
        <c:lblAlgn val="ctr"/>
        <c:lblOffset val="100"/>
        <c:noMultiLvlLbl val="1"/>
      </c:catAx>
      <c:valAx>
        <c:axId val="97586635"/>
        <c:scaling>
          <c:orientation val="minMax"/>
          <c:max val="3"/>
        </c:scaling>
        <c:delete val="0"/>
        <c:axPos val="l"/>
        <c:majorGridlines>
          <c:spPr>
            <a:ln w="3240">
              <a:solidFill>
                <a:srgbClr val="C0C0C0"/>
              </a:solidFill>
              <a:round/>
            </a:ln>
          </c:spPr>
        </c:majorGridlines>
        <c:numFmt formatCode="0.00" sourceLinked="0"/>
        <c:majorTickMark val="out"/>
        <c:minorTickMark val="none"/>
        <c:tickLblPos val="nextTo"/>
        <c:spPr>
          <a:ln w="3240">
            <a:solidFill>
              <a:srgbClr val="969696"/>
            </a:solidFill>
            <a:round/>
          </a:ln>
        </c:spPr>
        <c:txPr>
          <a:bodyPr/>
          <a:lstStyle/>
          <a:p>
            <a:pPr>
              <a:defRPr sz="800" b="0" strike="noStrike" spc="-1">
                <a:solidFill>
                  <a:srgbClr val="000000"/>
                </a:solidFill>
                <a:latin typeface="Arial"/>
                <a:ea typeface="Arial"/>
              </a:defRPr>
            </a:pPr>
            <a:endParaRPr lang="en-SE"/>
          </a:p>
        </c:txPr>
        <c:crossAx val="7375060"/>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389594676345998E-2"/>
          <c:y val="0.15348619560130999"/>
          <c:w val="0.92038717483363597"/>
          <c:h val="0.65605989705194201"/>
        </c:manualLayout>
      </c:layout>
      <c:areaChart>
        <c:grouping val="standard"/>
        <c:varyColors val="1"/>
        <c:ser>
          <c:idx val="0"/>
          <c:order val="0"/>
          <c:spPr>
            <a:solidFill>
              <a:srgbClr val="791F17"/>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Chart'!$B$25:$J$25</c:f>
              <c:numCache>
                <c:formatCode>0.00</c:formatCode>
                <c:ptCount val="9"/>
                <c:pt idx="0">
                  <c:v>0.375</c:v>
                </c:pt>
                <c:pt idx="1">
                  <c:v>0.375</c:v>
                </c:pt>
                <c:pt idx="2" formatCode="General">
                  <c:v>0.375</c:v>
                </c:pt>
                <c:pt idx="3">
                  <c:v>0.375</c:v>
                </c:pt>
                <c:pt idx="4" formatCode="General">
                  <c:v>0.375</c:v>
                </c:pt>
                <c:pt idx="5">
                  <c:v>0.375</c:v>
                </c:pt>
                <c:pt idx="6" formatCode="General">
                  <c:v>0.375</c:v>
                </c:pt>
                <c:pt idx="7">
                  <c:v>0.375</c:v>
                </c:pt>
                <c:pt idx="8" formatCode="General">
                  <c:v>0.375</c:v>
                </c:pt>
              </c:numCache>
            </c:numRef>
          </c:val>
          <c:extLst>
            <c:ext xmlns:c16="http://schemas.microsoft.com/office/drawing/2014/chart" uri="{C3380CC4-5D6E-409C-BE32-E72D297353CC}">
              <c16:uniqueId val="{00000000-E8D8-2E49-ABF3-1C2CCAD5F7BC}"/>
            </c:ext>
          </c:extLst>
        </c:ser>
        <c:dLbls>
          <c:showLegendKey val="0"/>
          <c:showVal val="0"/>
          <c:showCatName val="0"/>
          <c:showSerName val="0"/>
          <c:showPercent val="0"/>
          <c:showBubbleSize val="0"/>
        </c:dLbls>
        <c:axId val="44714714"/>
        <c:axId val="12825765"/>
      </c:areaChart>
      <c:catAx>
        <c:axId val="44714714"/>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75" b="0" strike="noStrike" spc="-1">
                <a:solidFill>
                  <a:srgbClr val="FFFFFF"/>
                </a:solidFill>
                <a:latin typeface="Arial"/>
                <a:ea typeface="Arial"/>
              </a:defRPr>
            </a:pPr>
            <a:endParaRPr lang="en-SE"/>
          </a:p>
        </c:txPr>
        <c:crossAx val="12825765"/>
        <c:crosses val="autoZero"/>
        <c:auto val="1"/>
        <c:lblAlgn val="ctr"/>
        <c:lblOffset val="100"/>
        <c:noMultiLvlLbl val="1"/>
      </c:catAx>
      <c:valAx>
        <c:axId val="12825765"/>
        <c:scaling>
          <c:orientation val="minMax"/>
          <c:max val="3"/>
        </c:scaling>
        <c:delete val="0"/>
        <c:axPos val="l"/>
        <c:majorGridlines>
          <c:spPr>
            <a:ln w="3240">
              <a:solidFill>
                <a:srgbClr val="C0C0C0"/>
              </a:solidFill>
              <a:round/>
            </a:ln>
          </c:spPr>
        </c:majorGridlines>
        <c:numFmt formatCode="0.00" sourceLinked="0"/>
        <c:majorTickMark val="out"/>
        <c:minorTickMark val="none"/>
        <c:tickLblPos val="nextTo"/>
        <c:spPr>
          <a:ln w="3240">
            <a:solidFill>
              <a:srgbClr val="969696"/>
            </a:solidFill>
            <a:round/>
          </a:ln>
        </c:spPr>
        <c:txPr>
          <a:bodyPr/>
          <a:lstStyle/>
          <a:p>
            <a:pPr>
              <a:defRPr sz="800" b="0" strike="noStrike" spc="-1">
                <a:solidFill>
                  <a:srgbClr val="000000"/>
                </a:solidFill>
                <a:latin typeface="Arial"/>
                <a:ea typeface="Arial"/>
              </a:defRPr>
            </a:pPr>
            <a:endParaRPr lang="en-SE"/>
          </a:p>
        </c:txPr>
        <c:crossAx val="44714714"/>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367721671901402E-2"/>
          <c:y val="0.15345738571100401"/>
          <c:w val="0.92039139888861998"/>
          <c:h val="0.65609924190213598"/>
        </c:manualLayout>
      </c:layout>
      <c:areaChart>
        <c:grouping val="standard"/>
        <c:varyColors val="1"/>
        <c:ser>
          <c:idx val="0"/>
          <c:order val="0"/>
          <c:spPr>
            <a:solidFill>
              <a:srgbClr val="791F17"/>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Chart'!$B$26:$J$26</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2F73-9049-9E24-4F00CB076817}"/>
            </c:ext>
          </c:extLst>
        </c:ser>
        <c:dLbls>
          <c:showLegendKey val="0"/>
          <c:showVal val="0"/>
          <c:showCatName val="0"/>
          <c:showSerName val="0"/>
          <c:showPercent val="0"/>
          <c:showBubbleSize val="0"/>
        </c:dLbls>
        <c:axId val="33609975"/>
        <c:axId val="87546852"/>
      </c:areaChart>
      <c:catAx>
        <c:axId val="33609975"/>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75" b="0" strike="noStrike" spc="-1">
                <a:solidFill>
                  <a:srgbClr val="FFFFFF"/>
                </a:solidFill>
                <a:latin typeface="Arial"/>
                <a:ea typeface="Arial"/>
              </a:defRPr>
            </a:pPr>
            <a:endParaRPr lang="en-SE"/>
          </a:p>
        </c:txPr>
        <c:crossAx val="87546852"/>
        <c:crosses val="autoZero"/>
        <c:auto val="1"/>
        <c:lblAlgn val="ctr"/>
        <c:lblOffset val="100"/>
        <c:noMultiLvlLbl val="1"/>
      </c:catAx>
      <c:valAx>
        <c:axId val="87546852"/>
        <c:scaling>
          <c:orientation val="minMax"/>
          <c:max val="3"/>
        </c:scaling>
        <c:delete val="0"/>
        <c:axPos val="l"/>
        <c:majorGridlines>
          <c:spPr>
            <a:ln w="3240">
              <a:solidFill>
                <a:srgbClr val="C0C0C0"/>
              </a:solidFill>
              <a:round/>
            </a:ln>
          </c:spPr>
        </c:majorGridlines>
        <c:numFmt formatCode="0.00" sourceLinked="0"/>
        <c:majorTickMark val="out"/>
        <c:minorTickMark val="none"/>
        <c:tickLblPos val="nextTo"/>
        <c:spPr>
          <a:ln w="3240">
            <a:solidFill>
              <a:srgbClr val="969696"/>
            </a:solidFill>
            <a:round/>
          </a:ln>
        </c:spPr>
        <c:txPr>
          <a:bodyPr/>
          <a:lstStyle/>
          <a:p>
            <a:pPr>
              <a:defRPr sz="800" b="0" strike="noStrike" spc="-1">
                <a:solidFill>
                  <a:srgbClr val="000000"/>
                </a:solidFill>
                <a:latin typeface="Arial"/>
                <a:ea typeface="Arial"/>
              </a:defRPr>
            </a:pPr>
            <a:endParaRPr lang="en-SE"/>
          </a:p>
        </c:txPr>
        <c:crossAx val="33609975"/>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radarChart>
        <c:radarStyle val="filled"/>
        <c:varyColors val="0"/>
        <c:ser>
          <c:idx val="0"/>
          <c:order val="0"/>
          <c:tx>
            <c:strRef>
              <c:f>'Roadmap Chart'!$AA$11</c:f>
              <c:strCache>
                <c:ptCount val="1"/>
                <c:pt idx="0">
                  <c:v>Phase 4</c:v>
                </c:pt>
              </c:strCache>
            </c:strRef>
          </c:tx>
          <c:spPr>
            <a:solidFill>
              <a:srgbClr val="9BBB59"/>
            </a:solidFill>
            <a:ln>
              <a:solidFill>
                <a:srgbClr val="9BBB59"/>
              </a:solid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Chart'!$AA$12:$AA$26</c:f>
              <c:numCache>
                <c:formatCode>0.00</c:formatCode>
                <c:ptCount val="15"/>
                <c:pt idx="0">
                  <c:v>1.25</c:v>
                </c:pt>
                <c:pt idx="1">
                  <c:v>1.375</c:v>
                </c:pt>
                <c:pt idx="2">
                  <c:v>2.125</c:v>
                </c:pt>
                <c:pt idx="3">
                  <c:v>2.25</c:v>
                </c:pt>
                <c:pt idx="4">
                  <c:v>2.25</c:v>
                </c:pt>
                <c:pt idx="5">
                  <c:v>1.875</c:v>
                </c:pt>
                <c:pt idx="6">
                  <c:v>0</c:v>
                </c:pt>
                <c:pt idx="7">
                  <c:v>0</c:v>
                </c:pt>
                <c:pt idx="8">
                  <c:v>0</c:v>
                </c:pt>
                <c:pt idx="9">
                  <c:v>0.75</c:v>
                </c:pt>
                <c:pt idx="10">
                  <c:v>0</c:v>
                </c:pt>
                <c:pt idx="11">
                  <c:v>0.875</c:v>
                </c:pt>
                <c:pt idx="12">
                  <c:v>0</c:v>
                </c:pt>
                <c:pt idx="13">
                  <c:v>0.375</c:v>
                </c:pt>
                <c:pt idx="14">
                  <c:v>0</c:v>
                </c:pt>
              </c:numCache>
            </c:numRef>
          </c:val>
          <c:extLst>
            <c:ext xmlns:c16="http://schemas.microsoft.com/office/drawing/2014/chart" uri="{C3380CC4-5D6E-409C-BE32-E72D297353CC}">
              <c16:uniqueId val="{00000000-E053-8B44-A688-B439CCAFAC06}"/>
            </c:ext>
          </c:extLst>
        </c:ser>
        <c:ser>
          <c:idx val="1"/>
          <c:order val="1"/>
          <c:tx>
            <c:strRef>
              <c:f>'Roadmap Chart'!$AB$11</c:f>
              <c:strCache>
                <c:ptCount val="1"/>
                <c:pt idx="0">
                  <c:v>Phase 3</c:v>
                </c:pt>
              </c:strCache>
            </c:strRef>
          </c:tx>
          <c:spPr>
            <a:solidFill>
              <a:srgbClr val="00B0F0"/>
            </a:soli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Chart'!$AB$12:$AB$26</c:f>
              <c:numCache>
                <c:formatCode>0.00</c:formatCode>
                <c:ptCount val="15"/>
                <c:pt idx="0">
                  <c:v>1.25</c:v>
                </c:pt>
                <c:pt idx="1">
                  <c:v>1.375</c:v>
                </c:pt>
                <c:pt idx="2">
                  <c:v>2.125</c:v>
                </c:pt>
                <c:pt idx="3">
                  <c:v>2.25</c:v>
                </c:pt>
                <c:pt idx="4">
                  <c:v>2.25</c:v>
                </c:pt>
                <c:pt idx="5">
                  <c:v>1.875</c:v>
                </c:pt>
                <c:pt idx="6">
                  <c:v>0</c:v>
                </c:pt>
                <c:pt idx="7">
                  <c:v>0</c:v>
                </c:pt>
                <c:pt idx="8">
                  <c:v>0</c:v>
                </c:pt>
                <c:pt idx="9">
                  <c:v>0.75</c:v>
                </c:pt>
                <c:pt idx="10">
                  <c:v>0</c:v>
                </c:pt>
                <c:pt idx="11">
                  <c:v>0.875</c:v>
                </c:pt>
                <c:pt idx="12">
                  <c:v>0</c:v>
                </c:pt>
                <c:pt idx="13">
                  <c:v>0.375</c:v>
                </c:pt>
                <c:pt idx="14">
                  <c:v>0</c:v>
                </c:pt>
              </c:numCache>
            </c:numRef>
          </c:val>
          <c:extLst>
            <c:ext xmlns:c16="http://schemas.microsoft.com/office/drawing/2014/chart" uri="{C3380CC4-5D6E-409C-BE32-E72D297353CC}">
              <c16:uniqueId val="{00000001-E053-8B44-A688-B439CCAFAC06}"/>
            </c:ext>
          </c:extLst>
        </c:ser>
        <c:ser>
          <c:idx val="2"/>
          <c:order val="2"/>
          <c:tx>
            <c:strRef>
              <c:f>'Roadmap Chart'!$AC$11</c:f>
              <c:strCache>
                <c:ptCount val="1"/>
                <c:pt idx="0">
                  <c:v>Phase 2</c:v>
                </c:pt>
              </c:strCache>
            </c:strRef>
          </c:tx>
          <c:spPr>
            <a:solidFill>
              <a:srgbClr val="FFC000"/>
            </a:soli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Chart'!$AC$12:$AC$26</c:f>
              <c:numCache>
                <c:formatCode>0.00</c:formatCode>
                <c:ptCount val="15"/>
                <c:pt idx="0">
                  <c:v>1.25</c:v>
                </c:pt>
                <c:pt idx="1">
                  <c:v>1.375</c:v>
                </c:pt>
                <c:pt idx="2">
                  <c:v>2.125</c:v>
                </c:pt>
                <c:pt idx="3">
                  <c:v>2.25</c:v>
                </c:pt>
                <c:pt idx="4">
                  <c:v>2.25</c:v>
                </c:pt>
                <c:pt idx="5">
                  <c:v>1.875</c:v>
                </c:pt>
                <c:pt idx="6">
                  <c:v>0</c:v>
                </c:pt>
                <c:pt idx="7">
                  <c:v>0</c:v>
                </c:pt>
                <c:pt idx="8">
                  <c:v>0</c:v>
                </c:pt>
                <c:pt idx="9">
                  <c:v>0.75</c:v>
                </c:pt>
                <c:pt idx="10">
                  <c:v>0</c:v>
                </c:pt>
                <c:pt idx="11">
                  <c:v>0.875</c:v>
                </c:pt>
                <c:pt idx="12">
                  <c:v>0</c:v>
                </c:pt>
                <c:pt idx="13">
                  <c:v>0.375</c:v>
                </c:pt>
                <c:pt idx="14">
                  <c:v>0</c:v>
                </c:pt>
              </c:numCache>
            </c:numRef>
          </c:val>
          <c:extLst>
            <c:ext xmlns:c16="http://schemas.microsoft.com/office/drawing/2014/chart" uri="{C3380CC4-5D6E-409C-BE32-E72D297353CC}">
              <c16:uniqueId val="{00000002-E053-8B44-A688-B439CCAFAC06}"/>
            </c:ext>
          </c:extLst>
        </c:ser>
        <c:ser>
          <c:idx val="3"/>
          <c:order val="3"/>
          <c:tx>
            <c:strRef>
              <c:f>'Roadmap Chart'!$AD$11</c:f>
              <c:strCache>
                <c:ptCount val="1"/>
                <c:pt idx="0">
                  <c:v>Phase 1</c:v>
                </c:pt>
              </c:strCache>
            </c:strRef>
          </c:tx>
          <c:spPr>
            <a:solidFill>
              <a:srgbClr val="C0504D"/>
            </a:solidFill>
            <a:ln>
              <a:solidFill>
                <a:srgbClr val="C0504D"/>
              </a:solid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Chart'!$AD$12:$AD$26</c:f>
              <c:numCache>
                <c:formatCode>0.00</c:formatCode>
                <c:ptCount val="15"/>
                <c:pt idx="0">
                  <c:v>1.25</c:v>
                </c:pt>
                <c:pt idx="1">
                  <c:v>1.375</c:v>
                </c:pt>
                <c:pt idx="2">
                  <c:v>2.125</c:v>
                </c:pt>
                <c:pt idx="3">
                  <c:v>2.25</c:v>
                </c:pt>
                <c:pt idx="4">
                  <c:v>2.25</c:v>
                </c:pt>
                <c:pt idx="5">
                  <c:v>1.875</c:v>
                </c:pt>
                <c:pt idx="6">
                  <c:v>0</c:v>
                </c:pt>
                <c:pt idx="7">
                  <c:v>0</c:v>
                </c:pt>
                <c:pt idx="8">
                  <c:v>0</c:v>
                </c:pt>
                <c:pt idx="9">
                  <c:v>0.75</c:v>
                </c:pt>
                <c:pt idx="10">
                  <c:v>0</c:v>
                </c:pt>
                <c:pt idx="11">
                  <c:v>0.875</c:v>
                </c:pt>
                <c:pt idx="12">
                  <c:v>0</c:v>
                </c:pt>
                <c:pt idx="13">
                  <c:v>0.375</c:v>
                </c:pt>
                <c:pt idx="14">
                  <c:v>0</c:v>
                </c:pt>
              </c:numCache>
            </c:numRef>
          </c:val>
          <c:extLst>
            <c:ext xmlns:c16="http://schemas.microsoft.com/office/drawing/2014/chart" uri="{C3380CC4-5D6E-409C-BE32-E72D297353CC}">
              <c16:uniqueId val="{00000003-E053-8B44-A688-B439CCAFAC06}"/>
            </c:ext>
          </c:extLst>
        </c:ser>
        <c:ser>
          <c:idx val="4"/>
          <c:order val="4"/>
          <c:tx>
            <c:strRef>
              <c:f>'Roadmap Chart'!$AE$11</c:f>
              <c:strCache>
                <c:ptCount val="1"/>
                <c:pt idx="0">
                  <c:v>Start</c:v>
                </c:pt>
              </c:strCache>
            </c:strRef>
          </c:tx>
          <c:spPr>
            <a:solidFill>
              <a:srgbClr val="DDD9C3"/>
            </a:soli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Chart'!$AE$12:$AE$26</c:f>
              <c:numCache>
                <c:formatCode>0.00</c:formatCode>
                <c:ptCount val="15"/>
                <c:pt idx="0">
                  <c:v>1.25</c:v>
                </c:pt>
                <c:pt idx="1">
                  <c:v>1.375</c:v>
                </c:pt>
                <c:pt idx="2">
                  <c:v>2.125</c:v>
                </c:pt>
                <c:pt idx="3">
                  <c:v>2.25</c:v>
                </c:pt>
                <c:pt idx="4">
                  <c:v>2.25</c:v>
                </c:pt>
                <c:pt idx="5">
                  <c:v>1.875</c:v>
                </c:pt>
                <c:pt idx="6">
                  <c:v>1.5</c:v>
                </c:pt>
                <c:pt idx="7">
                  <c:v>1.875</c:v>
                </c:pt>
                <c:pt idx="8">
                  <c:v>2.5</c:v>
                </c:pt>
                <c:pt idx="9">
                  <c:v>0.75</c:v>
                </c:pt>
                <c:pt idx="10">
                  <c:v>0</c:v>
                </c:pt>
                <c:pt idx="11">
                  <c:v>0.875</c:v>
                </c:pt>
                <c:pt idx="12">
                  <c:v>0</c:v>
                </c:pt>
                <c:pt idx="13">
                  <c:v>0.375</c:v>
                </c:pt>
                <c:pt idx="14">
                  <c:v>0</c:v>
                </c:pt>
              </c:numCache>
            </c:numRef>
          </c:val>
          <c:extLst>
            <c:ext xmlns:c16="http://schemas.microsoft.com/office/drawing/2014/chart" uri="{C3380CC4-5D6E-409C-BE32-E72D297353CC}">
              <c16:uniqueId val="{00000004-E053-8B44-A688-B439CCAFAC06}"/>
            </c:ext>
          </c:extLst>
        </c:ser>
        <c:dLbls>
          <c:showLegendKey val="0"/>
          <c:showVal val="0"/>
          <c:showCatName val="0"/>
          <c:showSerName val="0"/>
          <c:showPercent val="0"/>
          <c:showBubbleSize val="0"/>
        </c:dLbls>
        <c:axId val="85134249"/>
        <c:axId val="6459498"/>
      </c:radarChart>
      <c:catAx>
        <c:axId val="85134249"/>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sz="1000" b="1" strike="noStrike" spc="-1">
                <a:solidFill>
                  <a:srgbClr val="000000"/>
                </a:solidFill>
                <a:latin typeface="Calibri"/>
              </a:defRPr>
            </a:pPr>
            <a:endParaRPr lang="en-SE"/>
          </a:p>
        </c:txPr>
        <c:crossAx val="6459498"/>
        <c:crosses val="autoZero"/>
        <c:auto val="1"/>
        <c:lblAlgn val="ctr"/>
        <c:lblOffset val="100"/>
        <c:noMultiLvlLbl val="1"/>
      </c:catAx>
      <c:valAx>
        <c:axId val="6459498"/>
        <c:scaling>
          <c:orientation val="minMax"/>
        </c:scaling>
        <c:delete val="0"/>
        <c:axPos val="l"/>
        <c:majorGridlines>
          <c:spPr>
            <a:ln w="9360">
              <a:solidFill>
                <a:srgbClr val="878787"/>
              </a:solidFill>
              <a:round/>
            </a:ln>
          </c:spPr>
        </c:majorGridlines>
        <c:numFmt formatCode="0.00" sourceLinked="0"/>
        <c:majorTickMark val="cross"/>
        <c:minorTickMark val="none"/>
        <c:tickLblPos val="nextTo"/>
        <c:spPr>
          <a:ln w="9360">
            <a:solidFill>
              <a:srgbClr val="878787"/>
            </a:solidFill>
            <a:round/>
          </a:ln>
        </c:spPr>
        <c:txPr>
          <a:bodyPr/>
          <a:lstStyle/>
          <a:p>
            <a:pPr>
              <a:defRPr sz="1100" b="0" strike="noStrike" spc="-1">
                <a:solidFill>
                  <a:srgbClr val="000000"/>
                </a:solidFill>
                <a:latin typeface="Cambria"/>
              </a:defRPr>
            </a:pPr>
            <a:endParaRPr lang="en-SE"/>
          </a:p>
        </c:txPr>
        <c:crossAx val="85134249"/>
        <c:crosses val="autoZero"/>
        <c:crossBetween val="between"/>
        <c:majorUnit val="1"/>
      </c:valAx>
      <c:spPr>
        <a:solidFill>
          <a:srgbClr val="FFFFFF"/>
        </a:solidFill>
        <a:ln>
          <a:noFill/>
        </a:ln>
      </c:spPr>
    </c:plotArea>
    <c:legend>
      <c:legendPos val="r"/>
      <c:overlay val="0"/>
      <c:spPr>
        <a:noFill/>
        <a:ln>
          <a:noFill/>
        </a:ln>
      </c:spPr>
      <c:txPr>
        <a:bodyPr/>
        <a:lstStyle/>
        <a:p>
          <a:pPr>
            <a:defRPr sz="1000" b="0" strike="noStrike" spc="-1">
              <a:solidFill>
                <a:srgbClr val="000000"/>
              </a:solidFill>
              <a:latin typeface="Calibri"/>
            </a:defRPr>
          </a:pPr>
          <a:endParaRPr lang="en-SE"/>
        </a:p>
      </c:txPr>
    </c:legend>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title>
      <c:tx>
        <c:rich>
          <a:bodyPr rot="0"/>
          <a:lstStyle/>
          <a:p>
            <a:pPr>
              <a:defRPr sz="1600" b="1" strike="noStrike" spc="-1">
                <a:solidFill>
                  <a:srgbClr val="595959"/>
                </a:solidFill>
                <a:latin typeface="Calibri"/>
              </a:defRPr>
            </a:pPr>
            <a:r>
              <a:rPr sz="1600" b="1" strike="noStrike" spc="-1">
                <a:solidFill>
                  <a:srgbClr val="595959"/>
                </a:solidFill>
                <a:latin typeface="Calibri"/>
              </a:rPr>
              <a:t>Phase II Score</a:t>
            </a:r>
          </a:p>
        </c:rich>
      </c:tx>
      <c:layout>
        <c:manualLayout>
          <c:xMode val="edge"/>
          <c:yMode val="edge"/>
          <c:x val="0.76748152359295096"/>
          <c:y val="0.91079545454545496"/>
        </c:manualLayout>
      </c:layout>
      <c:overlay val="0"/>
      <c:spPr>
        <a:noFill/>
        <a:ln>
          <a:noFill/>
        </a:ln>
      </c:spPr>
    </c:title>
    <c:autoTitleDeleted val="0"/>
    <c:plotArea>
      <c:layout/>
      <c:radarChart>
        <c:radarStyle val="filled"/>
        <c:varyColors val="0"/>
        <c:ser>
          <c:idx val="0"/>
          <c:order val="0"/>
          <c:tx>
            <c:strRef>
              <c:f>Scorecard!$V$53</c:f>
              <c:strCache>
                <c:ptCount val="1"/>
                <c:pt idx="0">
                  <c:v>Governance</c:v>
                </c:pt>
              </c:strCache>
            </c:strRef>
          </c:tx>
          <c:spPr>
            <a:gradFill>
              <a:gsLst>
                <a:gs pos="0">
                  <a:srgbClr val="2988A1"/>
                </a:gs>
                <a:gs pos="100000">
                  <a:srgbClr val="36B0D1"/>
                </a:gs>
              </a:gsLst>
              <a:lin ang="16200000"/>
            </a:gra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Scorecard!$V$54:$V$68</c:f>
              <c:numCache>
                <c:formatCode>0.00</c:formatCode>
                <c:ptCount val="15"/>
                <c:pt idx="0">
                  <c:v>1.25</c:v>
                </c:pt>
                <c:pt idx="1">
                  <c:v>1.375</c:v>
                </c:pt>
                <c:pt idx="2">
                  <c:v>2.125</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917D-8743-A1A0-07C138CF981A}"/>
            </c:ext>
          </c:extLst>
        </c:ser>
        <c:ser>
          <c:idx val="1"/>
          <c:order val="1"/>
          <c:tx>
            <c:strRef>
              <c:f>Scorecard!$W$53</c:f>
              <c:strCache>
                <c:ptCount val="1"/>
                <c:pt idx="0">
                  <c:v>Design</c:v>
                </c:pt>
              </c:strCache>
            </c:strRef>
          </c:tx>
          <c:spPr>
            <a:solidFill>
              <a:srgbClr val="B75727"/>
            </a:soli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Scorecard!$W$54:$W$68</c:f>
              <c:numCache>
                <c:formatCode>0.00</c:formatCode>
                <c:ptCount val="15"/>
                <c:pt idx="0">
                  <c:v>0</c:v>
                </c:pt>
                <c:pt idx="1">
                  <c:v>0</c:v>
                </c:pt>
                <c:pt idx="2">
                  <c:v>0</c:v>
                </c:pt>
                <c:pt idx="3">
                  <c:v>2.25</c:v>
                </c:pt>
                <c:pt idx="4">
                  <c:v>2.25</c:v>
                </c:pt>
                <c:pt idx="5">
                  <c:v>1.875</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917D-8743-A1A0-07C138CF981A}"/>
            </c:ext>
          </c:extLst>
        </c:ser>
        <c:ser>
          <c:idx val="2"/>
          <c:order val="2"/>
          <c:tx>
            <c:strRef>
              <c:f>Scorecard!$X$53</c:f>
              <c:strCache>
                <c:ptCount val="1"/>
                <c:pt idx="0">
                  <c:v>Implementation</c:v>
                </c:pt>
              </c:strCache>
            </c:strRef>
          </c:tx>
          <c:spPr>
            <a:solidFill>
              <a:srgbClr val="BDBF17"/>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Scorecard!$X$54:$X$68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917D-8743-A1A0-07C138CF981A}"/>
            </c:ext>
          </c:extLst>
        </c:ser>
        <c:ser>
          <c:idx val="3"/>
          <c:order val="3"/>
          <c:tx>
            <c:strRef>
              <c:f>Scorecard!$Y$53</c:f>
              <c:strCache>
                <c:ptCount val="1"/>
                <c:pt idx="0">
                  <c:v>Verification</c:v>
                </c:pt>
              </c:strCache>
            </c:strRef>
          </c:tx>
          <c:spPr>
            <a:solidFill>
              <a:srgbClr val="37793E"/>
            </a:soli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Scorecard!$Y$54:$Y$68</c:f>
              <c:numCache>
                <c:formatCode>0.00</c:formatCode>
                <c:ptCount val="15"/>
                <c:pt idx="0">
                  <c:v>0</c:v>
                </c:pt>
                <c:pt idx="1">
                  <c:v>0</c:v>
                </c:pt>
                <c:pt idx="2">
                  <c:v>0</c:v>
                </c:pt>
                <c:pt idx="3">
                  <c:v>0</c:v>
                </c:pt>
                <c:pt idx="4">
                  <c:v>0</c:v>
                </c:pt>
                <c:pt idx="5">
                  <c:v>0</c:v>
                </c:pt>
                <c:pt idx="6">
                  <c:v>0</c:v>
                </c:pt>
                <c:pt idx="7">
                  <c:v>0</c:v>
                </c:pt>
                <c:pt idx="8">
                  <c:v>0</c:v>
                </c:pt>
                <c:pt idx="9">
                  <c:v>0.75</c:v>
                </c:pt>
                <c:pt idx="10">
                  <c:v>0</c:v>
                </c:pt>
                <c:pt idx="11">
                  <c:v>0.875</c:v>
                </c:pt>
                <c:pt idx="12">
                  <c:v>0</c:v>
                </c:pt>
                <c:pt idx="13">
                  <c:v>0</c:v>
                </c:pt>
                <c:pt idx="14">
                  <c:v>0</c:v>
                </c:pt>
              </c:numCache>
            </c:numRef>
          </c:val>
          <c:extLst>
            <c:ext xmlns:c16="http://schemas.microsoft.com/office/drawing/2014/chart" uri="{C3380CC4-5D6E-409C-BE32-E72D297353CC}">
              <c16:uniqueId val="{00000003-917D-8743-A1A0-07C138CF981A}"/>
            </c:ext>
          </c:extLst>
        </c:ser>
        <c:ser>
          <c:idx val="4"/>
          <c:order val="4"/>
          <c:tx>
            <c:strRef>
              <c:f>Scorecard!$Z$53</c:f>
              <c:strCache>
                <c:ptCount val="1"/>
                <c:pt idx="0">
                  <c:v>Operations</c:v>
                </c:pt>
              </c:strCache>
            </c:strRef>
          </c:tx>
          <c:spPr>
            <a:gradFill>
              <a:gsLst>
                <a:gs pos="0">
                  <a:srgbClr val="611816"/>
                </a:gs>
                <a:gs pos="100000">
                  <a:srgbClr val="7E1F1D"/>
                </a:gs>
              </a:gsLst>
              <a:lin ang="16200000"/>
            </a:gra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Scorecard!$Z$54:$Z$68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0.375</c:v>
                </c:pt>
                <c:pt idx="14">
                  <c:v>0</c:v>
                </c:pt>
              </c:numCache>
            </c:numRef>
          </c:val>
          <c:extLst>
            <c:ext xmlns:c16="http://schemas.microsoft.com/office/drawing/2014/chart" uri="{C3380CC4-5D6E-409C-BE32-E72D297353CC}">
              <c16:uniqueId val="{00000004-917D-8743-A1A0-07C138CF981A}"/>
            </c:ext>
          </c:extLst>
        </c:ser>
        <c:dLbls>
          <c:showLegendKey val="0"/>
          <c:showVal val="0"/>
          <c:showCatName val="0"/>
          <c:showSerName val="0"/>
          <c:showPercent val="0"/>
          <c:showBubbleSize val="0"/>
        </c:dLbls>
        <c:axId val="44645262"/>
        <c:axId val="43232497"/>
      </c:radarChart>
      <c:catAx>
        <c:axId val="44645262"/>
        <c:scaling>
          <c:orientation val="minMax"/>
        </c:scaling>
        <c:delete val="0"/>
        <c:axPos val="b"/>
        <c:numFmt formatCode="General" sourceLinked="1"/>
        <c:majorTickMark val="none"/>
        <c:minorTickMark val="none"/>
        <c:tickLblPos val="nextTo"/>
        <c:spPr>
          <a:ln w="12600">
            <a:noFill/>
          </a:ln>
        </c:spPr>
        <c:txPr>
          <a:bodyPr/>
          <a:lstStyle/>
          <a:p>
            <a:pPr>
              <a:defRPr sz="900" b="0" strike="noStrike" spc="-1">
                <a:solidFill>
                  <a:srgbClr val="595959"/>
                </a:solidFill>
                <a:latin typeface="Calibri"/>
              </a:defRPr>
            </a:pPr>
            <a:endParaRPr lang="en-SE"/>
          </a:p>
        </c:txPr>
        <c:crossAx val="43232497"/>
        <c:crosses val="autoZero"/>
        <c:auto val="1"/>
        <c:lblAlgn val="ctr"/>
        <c:lblOffset val="100"/>
        <c:noMultiLvlLbl val="1"/>
      </c:catAx>
      <c:valAx>
        <c:axId val="43232497"/>
        <c:scaling>
          <c:orientation val="minMax"/>
          <c:max val="3"/>
        </c:scaling>
        <c:delete val="0"/>
        <c:axPos val="l"/>
        <c:majorGridlines>
          <c:spPr>
            <a:ln w="9360">
              <a:solidFill>
                <a:srgbClr val="D9D9D9"/>
              </a:solidFill>
              <a:round/>
            </a:ln>
          </c:spPr>
        </c:majorGridlines>
        <c:numFmt formatCode="0.00" sourceLinked="0"/>
        <c:majorTickMark val="none"/>
        <c:minorTickMark val="none"/>
        <c:tickLblPos val="nextTo"/>
        <c:spPr>
          <a:ln w="9360">
            <a:noFill/>
          </a:ln>
        </c:spPr>
        <c:txPr>
          <a:bodyPr/>
          <a:lstStyle/>
          <a:p>
            <a:pPr>
              <a:defRPr sz="900" b="0" strike="noStrike" spc="-1">
                <a:solidFill>
                  <a:srgbClr val="595959"/>
                </a:solidFill>
                <a:latin typeface="Calibri"/>
              </a:defRPr>
            </a:pPr>
            <a:endParaRPr lang="en-SE"/>
          </a:p>
        </c:txPr>
        <c:crossAx val="44645262"/>
        <c:crosses val="autoZero"/>
        <c:crossBetween val="between"/>
      </c:valAx>
      <c:spPr>
        <a:no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367114662792098E-2"/>
          <c:y val="0.157193816884661"/>
          <c:w val="0.92038987770916603"/>
          <c:h val="0.64732461355529103"/>
        </c:manualLayout>
      </c:layout>
      <c:areaChart>
        <c:grouping val="standard"/>
        <c:varyColors val="1"/>
        <c:ser>
          <c:idx val="0"/>
          <c:order val="0"/>
          <c:spPr>
            <a:solidFill>
              <a:srgbClr val="D4D513"/>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Chart'!$B$18:$J$18</c:f>
              <c:numCache>
                <c:formatCode>0.00</c:formatCode>
                <c:ptCount val="9"/>
                <c:pt idx="0">
                  <c:v>1.5</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30D8-B44B-94C1-9222F69285C0}"/>
            </c:ext>
          </c:extLst>
        </c:ser>
        <c:dLbls>
          <c:showLegendKey val="0"/>
          <c:showVal val="0"/>
          <c:showCatName val="0"/>
          <c:showSerName val="0"/>
          <c:showPercent val="0"/>
          <c:showBubbleSize val="0"/>
        </c:dLbls>
        <c:axId val="22415004"/>
        <c:axId val="41199269"/>
      </c:areaChart>
      <c:catAx>
        <c:axId val="22415004"/>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50" b="0" strike="noStrike" spc="-1">
                <a:solidFill>
                  <a:srgbClr val="FFFFFF"/>
                </a:solidFill>
                <a:latin typeface="Arial"/>
                <a:ea typeface="Arial"/>
              </a:defRPr>
            </a:pPr>
            <a:endParaRPr lang="en-SE"/>
          </a:p>
        </c:txPr>
        <c:crossAx val="41199269"/>
        <c:crosses val="autoZero"/>
        <c:auto val="1"/>
        <c:lblAlgn val="ctr"/>
        <c:lblOffset val="100"/>
        <c:noMultiLvlLbl val="1"/>
      </c:catAx>
      <c:valAx>
        <c:axId val="41199269"/>
        <c:scaling>
          <c:orientation val="minMax"/>
          <c:max val="3"/>
        </c:scaling>
        <c:delete val="0"/>
        <c:axPos val="l"/>
        <c:majorGridlines>
          <c:spPr>
            <a:ln w="3240">
              <a:solidFill>
                <a:srgbClr val="C0C0C0"/>
              </a:solidFill>
              <a:round/>
            </a:ln>
          </c:spPr>
        </c:majorGridlines>
        <c:numFmt formatCode="0.00" sourceLinked="0"/>
        <c:majorTickMark val="out"/>
        <c:minorTickMark val="none"/>
        <c:tickLblPos val="nextTo"/>
        <c:spPr>
          <a:ln w="3240">
            <a:solidFill>
              <a:srgbClr val="969696"/>
            </a:solidFill>
            <a:round/>
          </a:ln>
        </c:spPr>
        <c:txPr>
          <a:bodyPr/>
          <a:lstStyle/>
          <a:p>
            <a:pPr>
              <a:defRPr sz="800" b="0" strike="noStrike" spc="-1">
                <a:solidFill>
                  <a:srgbClr val="000000"/>
                </a:solidFill>
                <a:latin typeface="Arial"/>
                <a:ea typeface="Arial"/>
              </a:defRPr>
            </a:pPr>
            <a:endParaRPr lang="en-SE"/>
          </a:p>
        </c:txPr>
        <c:crossAx val="22415004"/>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339604438012499E-2"/>
          <c:y val="0.15723120837297799"/>
          <c:w val="0.92034491075735603"/>
          <c:h val="0.64747859181731704"/>
        </c:manualLayout>
      </c:layout>
      <c:areaChart>
        <c:grouping val="standard"/>
        <c:varyColors val="1"/>
        <c:ser>
          <c:idx val="0"/>
          <c:order val="0"/>
          <c:spPr>
            <a:solidFill>
              <a:srgbClr val="D4D513"/>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Chart'!$B$19:$J$19</c:f>
              <c:numCache>
                <c:formatCode>0.00</c:formatCode>
                <c:ptCount val="9"/>
                <c:pt idx="0">
                  <c:v>1.875</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DE01-734C-BA56-56EBCC097D17}"/>
            </c:ext>
          </c:extLst>
        </c:ser>
        <c:dLbls>
          <c:showLegendKey val="0"/>
          <c:showVal val="0"/>
          <c:showCatName val="0"/>
          <c:showSerName val="0"/>
          <c:showPercent val="0"/>
          <c:showBubbleSize val="0"/>
        </c:dLbls>
        <c:axId val="16156185"/>
        <c:axId val="56475209"/>
      </c:areaChart>
      <c:catAx>
        <c:axId val="16156185"/>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50" b="0" strike="noStrike" spc="-1">
                <a:solidFill>
                  <a:srgbClr val="FFFFFF"/>
                </a:solidFill>
                <a:latin typeface="Arial"/>
                <a:ea typeface="Arial"/>
              </a:defRPr>
            </a:pPr>
            <a:endParaRPr lang="en-SE"/>
          </a:p>
        </c:txPr>
        <c:crossAx val="56475209"/>
        <c:crosses val="autoZero"/>
        <c:auto val="1"/>
        <c:lblAlgn val="ctr"/>
        <c:lblOffset val="100"/>
        <c:noMultiLvlLbl val="1"/>
      </c:catAx>
      <c:valAx>
        <c:axId val="56475209"/>
        <c:scaling>
          <c:orientation val="minMax"/>
          <c:max val="3"/>
        </c:scaling>
        <c:delete val="0"/>
        <c:axPos val="l"/>
        <c:majorGridlines>
          <c:spPr>
            <a:ln w="3240">
              <a:solidFill>
                <a:srgbClr val="C0C0C0"/>
              </a:solidFill>
              <a:round/>
            </a:ln>
          </c:spPr>
        </c:majorGridlines>
        <c:numFmt formatCode="0.00" sourceLinked="0"/>
        <c:majorTickMark val="out"/>
        <c:minorTickMark val="none"/>
        <c:tickLblPos val="nextTo"/>
        <c:spPr>
          <a:ln w="3240">
            <a:solidFill>
              <a:srgbClr val="969696"/>
            </a:solidFill>
            <a:round/>
          </a:ln>
        </c:spPr>
        <c:txPr>
          <a:bodyPr/>
          <a:lstStyle/>
          <a:p>
            <a:pPr>
              <a:defRPr sz="800" b="0" strike="noStrike" spc="-1">
                <a:solidFill>
                  <a:srgbClr val="000000"/>
                </a:solidFill>
                <a:latin typeface="Arial"/>
                <a:ea typeface="Arial"/>
              </a:defRPr>
            </a:pPr>
            <a:endParaRPr lang="en-SE"/>
          </a:p>
        </c:txPr>
        <c:crossAx val="16156185"/>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339604438012499E-2"/>
          <c:y val="0.15723120837297799"/>
          <c:w val="0.92034491075735603"/>
          <c:h val="0.64747859181731704"/>
        </c:manualLayout>
      </c:layout>
      <c:areaChart>
        <c:grouping val="standard"/>
        <c:varyColors val="1"/>
        <c:ser>
          <c:idx val="0"/>
          <c:order val="0"/>
          <c:spPr>
            <a:solidFill>
              <a:srgbClr val="D4D513"/>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Chart'!$B$20:$J$20</c:f>
              <c:numCache>
                <c:formatCode>0.00</c:formatCode>
                <c:ptCount val="9"/>
                <c:pt idx="0">
                  <c:v>2.5</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83C2-BF41-A9E8-267802866215}"/>
            </c:ext>
          </c:extLst>
        </c:ser>
        <c:dLbls>
          <c:showLegendKey val="0"/>
          <c:showVal val="0"/>
          <c:showCatName val="0"/>
          <c:showSerName val="0"/>
          <c:showPercent val="0"/>
          <c:showBubbleSize val="0"/>
        </c:dLbls>
        <c:axId val="10394421"/>
        <c:axId val="79757891"/>
      </c:areaChart>
      <c:catAx>
        <c:axId val="10394421"/>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50" b="0" strike="noStrike" spc="-1">
                <a:solidFill>
                  <a:srgbClr val="FFFFFF"/>
                </a:solidFill>
                <a:latin typeface="Arial"/>
                <a:ea typeface="Arial"/>
              </a:defRPr>
            </a:pPr>
            <a:endParaRPr lang="en-SE"/>
          </a:p>
        </c:txPr>
        <c:crossAx val="79757891"/>
        <c:crosses val="autoZero"/>
        <c:auto val="1"/>
        <c:lblAlgn val="ctr"/>
        <c:lblOffset val="100"/>
        <c:noMultiLvlLbl val="1"/>
      </c:catAx>
      <c:valAx>
        <c:axId val="79757891"/>
        <c:scaling>
          <c:orientation val="minMax"/>
          <c:max val="3"/>
        </c:scaling>
        <c:delete val="0"/>
        <c:axPos val="l"/>
        <c:majorGridlines>
          <c:spPr>
            <a:ln w="3240">
              <a:solidFill>
                <a:srgbClr val="C0C0C0"/>
              </a:solidFill>
              <a:round/>
            </a:ln>
          </c:spPr>
        </c:majorGridlines>
        <c:numFmt formatCode="0.00" sourceLinked="0"/>
        <c:majorTickMark val="out"/>
        <c:minorTickMark val="none"/>
        <c:tickLblPos val="nextTo"/>
        <c:spPr>
          <a:ln w="3240">
            <a:solidFill>
              <a:srgbClr val="969696"/>
            </a:solidFill>
            <a:round/>
          </a:ln>
        </c:spPr>
        <c:txPr>
          <a:bodyPr/>
          <a:lstStyle/>
          <a:p>
            <a:pPr>
              <a:defRPr sz="800" b="0" strike="noStrike" spc="-1">
                <a:solidFill>
                  <a:srgbClr val="000000"/>
                </a:solidFill>
                <a:latin typeface="Arial"/>
                <a:ea typeface="Arial"/>
              </a:defRPr>
            </a:pPr>
            <a:endParaRPr lang="en-SE"/>
          </a:p>
        </c:txPr>
        <c:crossAx val="10394421"/>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title>
      <c:tx>
        <c:rich>
          <a:bodyPr rot="0"/>
          <a:lstStyle/>
          <a:p>
            <a:pPr>
              <a:defRPr sz="1600" b="1" strike="noStrike" spc="-1">
                <a:solidFill>
                  <a:srgbClr val="595959"/>
                </a:solidFill>
                <a:latin typeface="Calibri"/>
              </a:defRPr>
            </a:pPr>
            <a:r>
              <a:rPr sz="1600" b="1" strike="noStrike" spc="-1">
                <a:solidFill>
                  <a:srgbClr val="595959"/>
                </a:solidFill>
                <a:latin typeface="Calibri"/>
              </a:rPr>
              <a:t>Phase I Score</a:t>
            </a:r>
          </a:p>
        </c:rich>
      </c:tx>
      <c:layout>
        <c:manualLayout>
          <c:xMode val="edge"/>
          <c:yMode val="edge"/>
          <c:x val="0.76741835638936295"/>
          <c:y val="0.91072443181818197"/>
        </c:manualLayout>
      </c:layout>
      <c:overlay val="0"/>
      <c:spPr>
        <a:noFill/>
        <a:ln>
          <a:noFill/>
        </a:ln>
      </c:spPr>
    </c:title>
    <c:autoTitleDeleted val="0"/>
    <c:plotArea>
      <c:layout/>
      <c:radarChart>
        <c:radarStyle val="filled"/>
        <c:varyColors val="0"/>
        <c:ser>
          <c:idx val="0"/>
          <c:order val="0"/>
          <c:tx>
            <c:strRef>
              <c:f>Scorecard!$V$33</c:f>
              <c:strCache>
                <c:ptCount val="1"/>
                <c:pt idx="0">
                  <c:v>Governance</c:v>
                </c:pt>
              </c:strCache>
            </c:strRef>
          </c:tx>
          <c:spPr>
            <a:gradFill>
              <a:gsLst>
                <a:gs pos="0">
                  <a:srgbClr val="2988A1"/>
                </a:gs>
                <a:gs pos="100000">
                  <a:srgbClr val="36B0D1"/>
                </a:gs>
              </a:gsLst>
              <a:lin ang="16200000"/>
            </a:gra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Scorecard!$V$34:$V$48</c:f>
              <c:numCache>
                <c:formatCode>0.00</c:formatCode>
                <c:ptCount val="15"/>
                <c:pt idx="0">
                  <c:v>1.25</c:v>
                </c:pt>
                <c:pt idx="1">
                  <c:v>1.375</c:v>
                </c:pt>
                <c:pt idx="2">
                  <c:v>2.125</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A070-D54E-8D47-2B3E64F6C2D4}"/>
            </c:ext>
          </c:extLst>
        </c:ser>
        <c:ser>
          <c:idx val="1"/>
          <c:order val="1"/>
          <c:tx>
            <c:strRef>
              <c:f>Scorecard!$W$33</c:f>
              <c:strCache>
                <c:ptCount val="1"/>
                <c:pt idx="0">
                  <c:v>Design</c:v>
                </c:pt>
              </c:strCache>
            </c:strRef>
          </c:tx>
          <c:spPr>
            <a:solidFill>
              <a:srgbClr val="B75727"/>
            </a:soli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Scorecard!$W$34:$W$48</c:f>
              <c:numCache>
                <c:formatCode>0.00</c:formatCode>
                <c:ptCount val="15"/>
                <c:pt idx="0">
                  <c:v>0</c:v>
                </c:pt>
                <c:pt idx="1">
                  <c:v>0</c:v>
                </c:pt>
                <c:pt idx="2">
                  <c:v>0</c:v>
                </c:pt>
                <c:pt idx="3">
                  <c:v>2.25</c:v>
                </c:pt>
                <c:pt idx="4">
                  <c:v>2.25</c:v>
                </c:pt>
                <c:pt idx="5">
                  <c:v>1.875</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A070-D54E-8D47-2B3E64F6C2D4}"/>
            </c:ext>
          </c:extLst>
        </c:ser>
        <c:ser>
          <c:idx val="2"/>
          <c:order val="2"/>
          <c:tx>
            <c:strRef>
              <c:f>Scorecard!$X$33</c:f>
              <c:strCache>
                <c:ptCount val="1"/>
                <c:pt idx="0">
                  <c:v>Implementation</c:v>
                </c:pt>
              </c:strCache>
            </c:strRef>
          </c:tx>
          <c:spPr>
            <a:solidFill>
              <a:srgbClr val="BDBF17"/>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Scorecard!$X$34:$X$48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A070-D54E-8D47-2B3E64F6C2D4}"/>
            </c:ext>
          </c:extLst>
        </c:ser>
        <c:ser>
          <c:idx val="3"/>
          <c:order val="3"/>
          <c:tx>
            <c:strRef>
              <c:f>Scorecard!$Y$33</c:f>
              <c:strCache>
                <c:ptCount val="1"/>
                <c:pt idx="0">
                  <c:v>Verification</c:v>
                </c:pt>
              </c:strCache>
            </c:strRef>
          </c:tx>
          <c:spPr>
            <a:solidFill>
              <a:srgbClr val="37793E"/>
            </a:soli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Scorecard!$Y$34:$Y$48</c:f>
              <c:numCache>
                <c:formatCode>0.00</c:formatCode>
                <c:ptCount val="15"/>
                <c:pt idx="0">
                  <c:v>0</c:v>
                </c:pt>
                <c:pt idx="1">
                  <c:v>0</c:v>
                </c:pt>
                <c:pt idx="2">
                  <c:v>0</c:v>
                </c:pt>
                <c:pt idx="3">
                  <c:v>0</c:v>
                </c:pt>
                <c:pt idx="4">
                  <c:v>0</c:v>
                </c:pt>
                <c:pt idx="5">
                  <c:v>0</c:v>
                </c:pt>
                <c:pt idx="6">
                  <c:v>0</c:v>
                </c:pt>
                <c:pt idx="7">
                  <c:v>0</c:v>
                </c:pt>
                <c:pt idx="8">
                  <c:v>0</c:v>
                </c:pt>
                <c:pt idx="9">
                  <c:v>0.75</c:v>
                </c:pt>
                <c:pt idx="10">
                  <c:v>0</c:v>
                </c:pt>
                <c:pt idx="11">
                  <c:v>0.875</c:v>
                </c:pt>
                <c:pt idx="12">
                  <c:v>0</c:v>
                </c:pt>
                <c:pt idx="13">
                  <c:v>0</c:v>
                </c:pt>
                <c:pt idx="14">
                  <c:v>0</c:v>
                </c:pt>
              </c:numCache>
            </c:numRef>
          </c:val>
          <c:extLst>
            <c:ext xmlns:c16="http://schemas.microsoft.com/office/drawing/2014/chart" uri="{C3380CC4-5D6E-409C-BE32-E72D297353CC}">
              <c16:uniqueId val="{00000003-A070-D54E-8D47-2B3E64F6C2D4}"/>
            </c:ext>
          </c:extLst>
        </c:ser>
        <c:ser>
          <c:idx val="4"/>
          <c:order val="4"/>
          <c:tx>
            <c:strRef>
              <c:f>Scorecard!$Z$33</c:f>
              <c:strCache>
                <c:ptCount val="1"/>
                <c:pt idx="0">
                  <c:v>Operations</c:v>
                </c:pt>
              </c:strCache>
            </c:strRef>
          </c:tx>
          <c:spPr>
            <a:gradFill>
              <a:gsLst>
                <a:gs pos="0">
                  <a:srgbClr val="611816"/>
                </a:gs>
                <a:gs pos="100000">
                  <a:srgbClr val="7E1F1D"/>
                </a:gs>
              </a:gsLst>
              <a:lin ang="16200000"/>
            </a:gra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Scorecard!$Z$34:$Z$48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0.375</c:v>
                </c:pt>
                <c:pt idx="14">
                  <c:v>0</c:v>
                </c:pt>
              </c:numCache>
            </c:numRef>
          </c:val>
          <c:extLst>
            <c:ext xmlns:c16="http://schemas.microsoft.com/office/drawing/2014/chart" uri="{C3380CC4-5D6E-409C-BE32-E72D297353CC}">
              <c16:uniqueId val="{00000004-A070-D54E-8D47-2B3E64F6C2D4}"/>
            </c:ext>
          </c:extLst>
        </c:ser>
        <c:dLbls>
          <c:showLegendKey val="0"/>
          <c:showVal val="0"/>
          <c:showCatName val="0"/>
          <c:showSerName val="0"/>
          <c:showPercent val="0"/>
          <c:showBubbleSize val="0"/>
        </c:dLbls>
        <c:axId val="38391693"/>
        <c:axId val="74232419"/>
      </c:radarChart>
      <c:catAx>
        <c:axId val="38391693"/>
        <c:scaling>
          <c:orientation val="minMax"/>
        </c:scaling>
        <c:delete val="0"/>
        <c:axPos val="b"/>
        <c:numFmt formatCode="General" sourceLinked="1"/>
        <c:majorTickMark val="none"/>
        <c:minorTickMark val="none"/>
        <c:tickLblPos val="nextTo"/>
        <c:spPr>
          <a:ln w="12600">
            <a:noFill/>
          </a:ln>
        </c:spPr>
        <c:txPr>
          <a:bodyPr/>
          <a:lstStyle/>
          <a:p>
            <a:pPr>
              <a:defRPr sz="900" b="0" strike="noStrike" spc="-1">
                <a:solidFill>
                  <a:srgbClr val="595959"/>
                </a:solidFill>
                <a:latin typeface="Calibri"/>
              </a:defRPr>
            </a:pPr>
            <a:endParaRPr lang="en-SE"/>
          </a:p>
        </c:txPr>
        <c:crossAx val="74232419"/>
        <c:crosses val="autoZero"/>
        <c:auto val="1"/>
        <c:lblAlgn val="ctr"/>
        <c:lblOffset val="100"/>
        <c:noMultiLvlLbl val="1"/>
      </c:catAx>
      <c:valAx>
        <c:axId val="74232419"/>
        <c:scaling>
          <c:orientation val="minMax"/>
          <c:max val="3"/>
        </c:scaling>
        <c:delete val="0"/>
        <c:axPos val="l"/>
        <c:majorGridlines>
          <c:spPr>
            <a:ln w="9360">
              <a:solidFill>
                <a:srgbClr val="D9D9D9"/>
              </a:solidFill>
              <a:round/>
            </a:ln>
          </c:spPr>
        </c:majorGridlines>
        <c:numFmt formatCode="0.00" sourceLinked="0"/>
        <c:majorTickMark val="none"/>
        <c:minorTickMark val="none"/>
        <c:tickLblPos val="nextTo"/>
        <c:spPr>
          <a:ln w="9360">
            <a:noFill/>
          </a:ln>
        </c:spPr>
        <c:txPr>
          <a:bodyPr/>
          <a:lstStyle/>
          <a:p>
            <a:pPr>
              <a:defRPr sz="900" b="0" strike="noStrike" spc="-1">
                <a:solidFill>
                  <a:srgbClr val="595959"/>
                </a:solidFill>
                <a:latin typeface="Calibri"/>
              </a:defRPr>
            </a:pPr>
            <a:endParaRPr lang="en-SE"/>
          </a:p>
        </c:txPr>
        <c:crossAx val="38391693"/>
        <c:crosses val="autoZero"/>
        <c:crossBetween val="between"/>
      </c:valAx>
      <c:spPr>
        <a:no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title>
      <c:tx>
        <c:rich>
          <a:bodyPr rot="0"/>
          <a:lstStyle/>
          <a:p>
            <a:pPr>
              <a:defRPr sz="1600" b="1" strike="noStrike" spc="-1">
                <a:solidFill>
                  <a:srgbClr val="595959"/>
                </a:solidFill>
                <a:latin typeface="Calibri"/>
              </a:defRPr>
            </a:pPr>
            <a:r>
              <a:rPr sz="1600" b="1" strike="noStrike" spc="-1">
                <a:solidFill>
                  <a:srgbClr val="595959"/>
                </a:solidFill>
                <a:latin typeface="Calibri"/>
              </a:rPr>
              <a:t>Phase IV Score</a:t>
            </a:r>
          </a:p>
        </c:rich>
      </c:tx>
      <c:layout>
        <c:manualLayout>
          <c:xMode val="edge"/>
          <c:yMode val="edge"/>
          <c:x val="0.76697618596424699"/>
          <c:y val="0.91079545454545496"/>
        </c:manualLayout>
      </c:layout>
      <c:overlay val="0"/>
      <c:spPr>
        <a:noFill/>
        <a:ln>
          <a:noFill/>
        </a:ln>
      </c:spPr>
    </c:title>
    <c:autoTitleDeleted val="0"/>
    <c:plotArea>
      <c:layout/>
      <c:radarChart>
        <c:radarStyle val="filled"/>
        <c:varyColors val="0"/>
        <c:ser>
          <c:idx val="0"/>
          <c:order val="0"/>
          <c:tx>
            <c:strRef>
              <c:f>Scorecard!$V$93</c:f>
              <c:strCache>
                <c:ptCount val="1"/>
                <c:pt idx="0">
                  <c:v>Governance</c:v>
                </c:pt>
              </c:strCache>
            </c:strRef>
          </c:tx>
          <c:spPr>
            <a:gradFill>
              <a:gsLst>
                <a:gs pos="0">
                  <a:srgbClr val="2988A1"/>
                </a:gs>
                <a:gs pos="100000">
                  <a:srgbClr val="36B0D1"/>
                </a:gs>
              </a:gsLst>
              <a:lin ang="16200000"/>
            </a:gra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Scorecard!$V$94:$V$108</c:f>
              <c:numCache>
                <c:formatCode>0.00</c:formatCode>
                <c:ptCount val="15"/>
                <c:pt idx="0">
                  <c:v>1.25</c:v>
                </c:pt>
                <c:pt idx="1">
                  <c:v>1.375</c:v>
                </c:pt>
                <c:pt idx="2">
                  <c:v>2.125</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125C-4840-930B-DA0DC89405EF}"/>
            </c:ext>
          </c:extLst>
        </c:ser>
        <c:ser>
          <c:idx val="1"/>
          <c:order val="1"/>
          <c:tx>
            <c:strRef>
              <c:f>Scorecard!$W$93</c:f>
              <c:strCache>
                <c:ptCount val="1"/>
                <c:pt idx="0">
                  <c:v>Design</c:v>
                </c:pt>
              </c:strCache>
            </c:strRef>
          </c:tx>
          <c:spPr>
            <a:solidFill>
              <a:srgbClr val="B75727"/>
            </a:soli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Scorecard!$W$94:$W$108</c:f>
              <c:numCache>
                <c:formatCode>0.00</c:formatCode>
                <c:ptCount val="15"/>
                <c:pt idx="0">
                  <c:v>0</c:v>
                </c:pt>
                <c:pt idx="1">
                  <c:v>0</c:v>
                </c:pt>
                <c:pt idx="2">
                  <c:v>0</c:v>
                </c:pt>
                <c:pt idx="3">
                  <c:v>2.25</c:v>
                </c:pt>
                <c:pt idx="4">
                  <c:v>2.25</c:v>
                </c:pt>
                <c:pt idx="5">
                  <c:v>1.875</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125C-4840-930B-DA0DC89405EF}"/>
            </c:ext>
          </c:extLst>
        </c:ser>
        <c:ser>
          <c:idx val="2"/>
          <c:order val="2"/>
          <c:tx>
            <c:strRef>
              <c:f>Scorecard!$X$93</c:f>
              <c:strCache>
                <c:ptCount val="1"/>
                <c:pt idx="0">
                  <c:v>Implementation</c:v>
                </c:pt>
              </c:strCache>
            </c:strRef>
          </c:tx>
          <c:spPr>
            <a:solidFill>
              <a:srgbClr val="BDBF17"/>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Scorecard!$X$94:$X$108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125C-4840-930B-DA0DC89405EF}"/>
            </c:ext>
          </c:extLst>
        </c:ser>
        <c:ser>
          <c:idx val="3"/>
          <c:order val="3"/>
          <c:tx>
            <c:strRef>
              <c:f>Scorecard!$Y$93</c:f>
              <c:strCache>
                <c:ptCount val="1"/>
                <c:pt idx="0">
                  <c:v>Verification</c:v>
                </c:pt>
              </c:strCache>
            </c:strRef>
          </c:tx>
          <c:spPr>
            <a:solidFill>
              <a:srgbClr val="37793E"/>
            </a:soli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Scorecard!$Y$94:$Y$108</c:f>
              <c:numCache>
                <c:formatCode>0.00</c:formatCode>
                <c:ptCount val="15"/>
                <c:pt idx="0">
                  <c:v>0</c:v>
                </c:pt>
                <c:pt idx="1">
                  <c:v>0</c:v>
                </c:pt>
                <c:pt idx="2">
                  <c:v>0</c:v>
                </c:pt>
                <c:pt idx="3">
                  <c:v>0</c:v>
                </c:pt>
                <c:pt idx="4">
                  <c:v>0</c:v>
                </c:pt>
                <c:pt idx="5">
                  <c:v>0</c:v>
                </c:pt>
                <c:pt idx="6">
                  <c:v>0</c:v>
                </c:pt>
                <c:pt idx="7">
                  <c:v>0</c:v>
                </c:pt>
                <c:pt idx="8">
                  <c:v>0</c:v>
                </c:pt>
                <c:pt idx="9">
                  <c:v>0.75</c:v>
                </c:pt>
                <c:pt idx="10">
                  <c:v>0</c:v>
                </c:pt>
                <c:pt idx="11">
                  <c:v>0.875</c:v>
                </c:pt>
                <c:pt idx="12">
                  <c:v>0</c:v>
                </c:pt>
                <c:pt idx="13">
                  <c:v>0</c:v>
                </c:pt>
                <c:pt idx="14">
                  <c:v>0</c:v>
                </c:pt>
              </c:numCache>
            </c:numRef>
          </c:val>
          <c:extLst>
            <c:ext xmlns:c16="http://schemas.microsoft.com/office/drawing/2014/chart" uri="{C3380CC4-5D6E-409C-BE32-E72D297353CC}">
              <c16:uniqueId val="{00000003-125C-4840-930B-DA0DC89405EF}"/>
            </c:ext>
          </c:extLst>
        </c:ser>
        <c:ser>
          <c:idx val="4"/>
          <c:order val="4"/>
          <c:tx>
            <c:strRef>
              <c:f>Scorecard!$Z$93</c:f>
              <c:strCache>
                <c:ptCount val="1"/>
                <c:pt idx="0">
                  <c:v>Operations</c:v>
                </c:pt>
              </c:strCache>
            </c:strRef>
          </c:tx>
          <c:spPr>
            <a:gradFill>
              <a:gsLst>
                <a:gs pos="0">
                  <a:srgbClr val="611816"/>
                </a:gs>
                <a:gs pos="100000">
                  <a:srgbClr val="7E1F1D"/>
                </a:gs>
              </a:gsLst>
              <a:lin ang="16200000"/>
            </a:gra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Scorecard!$Z$94:$Z$108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0.375</c:v>
                </c:pt>
                <c:pt idx="14">
                  <c:v>0</c:v>
                </c:pt>
              </c:numCache>
            </c:numRef>
          </c:val>
          <c:extLst>
            <c:ext xmlns:c16="http://schemas.microsoft.com/office/drawing/2014/chart" uri="{C3380CC4-5D6E-409C-BE32-E72D297353CC}">
              <c16:uniqueId val="{00000004-125C-4840-930B-DA0DC89405EF}"/>
            </c:ext>
          </c:extLst>
        </c:ser>
        <c:dLbls>
          <c:showLegendKey val="0"/>
          <c:showVal val="0"/>
          <c:showCatName val="0"/>
          <c:showSerName val="0"/>
          <c:showPercent val="0"/>
          <c:showBubbleSize val="0"/>
        </c:dLbls>
        <c:axId val="57825966"/>
        <c:axId val="70567215"/>
      </c:radarChart>
      <c:catAx>
        <c:axId val="57825966"/>
        <c:scaling>
          <c:orientation val="minMax"/>
        </c:scaling>
        <c:delete val="0"/>
        <c:axPos val="b"/>
        <c:numFmt formatCode="General" sourceLinked="1"/>
        <c:majorTickMark val="none"/>
        <c:minorTickMark val="none"/>
        <c:tickLblPos val="nextTo"/>
        <c:spPr>
          <a:ln w="12600">
            <a:noFill/>
          </a:ln>
        </c:spPr>
        <c:txPr>
          <a:bodyPr/>
          <a:lstStyle/>
          <a:p>
            <a:pPr>
              <a:defRPr sz="900" b="0" strike="noStrike" spc="-1">
                <a:solidFill>
                  <a:srgbClr val="595959"/>
                </a:solidFill>
                <a:latin typeface="Calibri"/>
              </a:defRPr>
            </a:pPr>
            <a:endParaRPr lang="en-SE"/>
          </a:p>
        </c:txPr>
        <c:crossAx val="70567215"/>
        <c:crosses val="autoZero"/>
        <c:auto val="1"/>
        <c:lblAlgn val="ctr"/>
        <c:lblOffset val="100"/>
        <c:noMultiLvlLbl val="1"/>
      </c:catAx>
      <c:valAx>
        <c:axId val="70567215"/>
        <c:scaling>
          <c:orientation val="minMax"/>
          <c:max val="3"/>
        </c:scaling>
        <c:delete val="0"/>
        <c:axPos val="l"/>
        <c:majorGridlines>
          <c:spPr>
            <a:ln w="9360">
              <a:solidFill>
                <a:srgbClr val="D9D9D9"/>
              </a:solidFill>
              <a:round/>
            </a:ln>
          </c:spPr>
        </c:majorGridlines>
        <c:numFmt formatCode="0.00" sourceLinked="0"/>
        <c:majorTickMark val="none"/>
        <c:minorTickMark val="none"/>
        <c:tickLblPos val="nextTo"/>
        <c:spPr>
          <a:ln w="9360">
            <a:noFill/>
          </a:ln>
        </c:spPr>
        <c:txPr>
          <a:bodyPr/>
          <a:lstStyle/>
          <a:p>
            <a:pPr>
              <a:defRPr sz="900" b="0" strike="noStrike" spc="-1">
                <a:solidFill>
                  <a:srgbClr val="595959"/>
                </a:solidFill>
                <a:latin typeface="Calibri"/>
              </a:defRPr>
            </a:pPr>
            <a:endParaRPr lang="en-SE"/>
          </a:p>
        </c:txPr>
        <c:crossAx val="57825966"/>
        <c:crosses val="autoZero"/>
        <c:crossBetween val="between"/>
      </c:valAx>
      <c:spPr>
        <a:no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title>
      <c:tx>
        <c:rich>
          <a:bodyPr rot="0"/>
          <a:lstStyle/>
          <a:p>
            <a:pPr>
              <a:defRPr sz="1600" b="1" strike="noStrike" spc="-1">
                <a:solidFill>
                  <a:srgbClr val="595959"/>
                </a:solidFill>
                <a:latin typeface="Calibri"/>
              </a:defRPr>
            </a:pPr>
            <a:r>
              <a:rPr sz="1600" b="1" strike="noStrike" spc="-1">
                <a:solidFill>
                  <a:srgbClr val="595959"/>
                </a:solidFill>
                <a:latin typeface="Calibri"/>
              </a:rPr>
              <a:t>Phase III Score</a:t>
            </a:r>
          </a:p>
        </c:rich>
      </c:tx>
      <c:layout>
        <c:manualLayout>
          <c:xMode val="edge"/>
          <c:yMode val="edge"/>
          <c:x val="0.76697618596424699"/>
          <c:y val="0.91078278164512005"/>
        </c:manualLayout>
      </c:layout>
      <c:overlay val="0"/>
      <c:spPr>
        <a:noFill/>
        <a:ln>
          <a:noFill/>
        </a:ln>
      </c:spPr>
    </c:title>
    <c:autoTitleDeleted val="0"/>
    <c:plotArea>
      <c:layout/>
      <c:radarChart>
        <c:radarStyle val="filled"/>
        <c:varyColors val="0"/>
        <c:ser>
          <c:idx val="0"/>
          <c:order val="0"/>
          <c:tx>
            <c:strRef>
              <c:f>Scorecard!$V$72</c:f>
              <c:strCache>
                <c:ptCount val="1"/>
                <c:pt idx="0">
                  <c:v>Governance</c:v>
                </c:pt>
              </c:strCache>
            </c:strRef>
          </c:tx>
          <c:spPr>
            <a:gradFill>
              <a:gsLst>
                <a:gs pos="0">
                  <a:srgbClr val="2988A1"/>
                </a:gs>
                <a:gs pos="100000">
                  <a:srgbClr val="36B0D1"/>
                </a:gs>
              </a:gsLst>
              <a:lin ang="16200000"/>
            </a:gra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Scorecard!$V$73:$V$87</c:f>
              <c:numCache>
                <c:formatCode>0.00</c:formatCode>
                <c:ptCount val="15"/>
                <c:pt idx="0">
                  <c:v>1.25</c:v>
                </c:pt>
                <c:pt idx="1">
                  <c:v>1.375</c:v>
                </c:pt>
                <c:pt idx="2">
                  <c:v>2.125</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C2AB-2B4D-80A0-153C107613F0}"/>
            </c:ext>
          </c:extLst>
        </c:ser>
        <c:ser>
          <c:idx val="1"/>
          <c:order val="1"/>
          <c:tx>
            <c:strRef>
              <c:f>Scorecard!$W$72</c:f>
              <c:strCache>
                <c:ptCount val="1"/>
                <c:pt idx="0">
                  <c:v>Design</c:v>
                </c:pt>
              </c:strCache>
            </c:strRef>
          </c:tx>
          <c:spPr>
            <a:solidFill>
              <a:srgbClr val="B75727"/>
            </a:soli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Scorecard!$W$73:$W$87</c:f>
              <c:numCache>
                <c:formatCode>0.00</c:formatCode>
                <c:ptCount val="15"/>
                <c:pt idx="0">
                  <c:v>0</c:v>
                </c:pt>
                <c:pt idx="1">
                  <c:v>0</c:v>
                </c:pt>
                <c:pt idx="2">
                  <c:v>0</c:v>
                </c:pt>
                <c:pt idx="3">
                  <c:v>2.25</c:v>
                </c:pt>
                <c:pt idx="4">
                  <c:v>2.25</c:v>
                </c:pt>
                <c:pt idx="5">
                  <c:v>1.875</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C2AB-2B4D-80A0-153C107613F0}"/>
            </c:ext>
          </c:extLst>
        </c:ser>
        <c:ser>
          <c:idx val="2"/>
          <c:order val="2"/>
          <c:tx>
            <c:strRef>
              <c:f>Scorecard!$X$72</c:f>
              <c:strCache>
                <c:ptCount val="1"/>
                <c:pt idx="0">
                  <c:v>Implementation</c:v>
                </c:pt>
              </c:strCache>
            </c:strRef>
          </c:tx>
          <c:spPr>
            <a:solidFill>
              <a:srgbClr val="BDBF17"/>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Scorecard!$X$73:$X$87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C2AB-2B4D-80A0-153C107613F0}"/>
            </c:ext>
          </c:extLst>
        </c:ser>
        <c:ser>
          <c:idx val="3"/>
          <c:order val="3"/>
          <c:tx>
            <c:strRef>
              <c:f>Scorecard!$Y$72</c:f>
              <c:strCache>
                <c:ptCount val="1"/>
                <c:pt idx="0">
                  <c:v>Verification</c:v>
                </c:pt>
              </c:strCache>
            </c:strRef>
          </c:tx>
          <c:spPr>
            <a:solidFill>
              <a:srgbClr val="37793E"/>
            </a:soli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Scorecard!$Y$73:$Y$87</c:f>
              <c:numCache>
                <c:formatCode>0.00</c:formatCode>
                <c:ptCount val="15"/>
                <c:pt idx="0">
                  <c:v>0</c:v>
                </c:pt>
                <c:pt idx="1">
                  <c:v>0</c:v>
                </c:pt>
                <c:pt idx="2">
                  <c:v>0</c:v>
                </c:pt>
                <c:pt idx="3">
                  <c:v>0</c:v>
                </c:pt>
                <c:pt idx="4">
                  <c:v>0</c:v>
                </c:pt>
                <c:pt idx="5">
                  <c:v>0</c:v>
                </c:pt>
                <c:pt idx="6">
                  <c:v>0</c:v>
                </c:pt>
                <c:pt idx="7">
                  <c:v>0</c:v>
                </c:pt>
                <c:pt idx="8">
                  <c:v>0</c:v>
                </c:pt>
                <c:pt idx="9">
                  <c:v>0.75</c:v>
                </c:pt>
                <c:pt idx="10">
                  <c:v>0</c:v>
                </c:pt>
                <c:pt idx="11">
                  <c:v>0.875</c:v>
                </c:pt>
                <c:pt idx="12">
                  <c:v>0</c:v>
                </c:pt>
                <c:pt idx="13">
                  <c:v>0</c:v>
                </c:pt>
                <c:pt idx="14">
                  <c:v>0</c:v>
                </c:pt>
              </c:numCache>
            </c:numRef>
          </c:val>
          <c:extLst>
            <c:ext xmlns:c16="http://schemas.microsoft.com/office/drawing/2014/chart" uri="{C3380CC4-5D6E-409C-BE32-E72D297353CC}">
              <c16:uniqueId val="{00000003-C2AB-2B4D-80A0-153C107613F0}"/>
            </c:ext>
          </c:extLst>
        </c:ser>
        <c:ser>
          <c:idx val="4"/>
          <c:order val="4"/>
          <c:tx>
            <c:strRef>
              <c:f>Scorecard!$Z$72</c:f>
              <c:strCache>
                <c:ptCount val="1"/>
                <c:pt idx="0">
                  <c:v>Operations</c:v>
                </c:pt>
              </c:strCache>
            </c:strRef>
          </c:tx>
          <c:spPr>
            <a:gradFill>
              <a:gsLst>
                <a:gs pos="0">
                  <a:srgbClr val="611816"/>
                </a:gs>
                <a:gs pos="100000">
                  <a:srgbClr val="7E1F1D"/>
                </a:gs>
              </a:gsLst>
              <a:lin ang="16200000"/>
            </a:gra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Scorecard!$Z$73:$Z$87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0.375</c:v>
                </c:pt>
                <c:pt idx="14">
                  <c:v>0</c:v>
                </c:pt>
              </c:numCache>
            </c:numRef>
          </c:val>
          <c:extLst>
            <c:ext xmlns:c16="http://schemas.microsoft.com/office/drawing/2014/chart" uri="{C3380CC4-5D6E-409C-BE32-E72D297353CC}">
              <c16:uniqueId val="{00000004-C2AB-2B4D-80A0-153C107613F0}"/>
            </c:ext>
          </c:extLst>
        </c:ser>
        <c:dLbls>
          <c:showLegendKey val="0"/>
          <c:showVal val="0"/>
          <c:showCatName val="0"/>
          <c:showSerName val="0"/>
          <c:showPercent val="0"/>
          <c:showBubbleSize val="0"/>
        </c:dLbls>
        <c:axId val="14042771"/>
        <c:axId val="38221865"/>
      </c:radarChart>
      <c:catAx>
        <c:axId val="14042771"/>
        <c:scaling>
          <c:orientation val="minMax"/>
        </c:scaling>
        <c:delete val="0"/>
        <c:axPos val="b"/>
        <c:numFmt formatCode="General" sourceLinked="1"/>
        <c:majorTickMark val="none"/>
        <c:minorTickMark val="none"/>
        <c:tickLblPos val="nextTo"/>
        <c:spPr>
          <a:ln w="12600">
            <a:noFill/>
          </a:ln>
        </c:spPr>
        <c:txPr>
          <a:bodyPr/>
          <a:lstStyle/>
          <a:p>
            <a:pPr>
              <a:defRPr sz="900" b="0" strike="noStrike" spc="-1">
                <a:solidFill>
                  <a:srgbClr val="595959"/>
                </a:solidFill>
                <a:latin typeface="Calibri"/>
              </a:defRPr>
            </a:pPr>
            <a:endParaRPr lang="en-SE"/>
          </a:p>
        </c:txPr>
        <c:crossAx val="38221865"/>
        <c:crosses val="autoZero"/>
        <c:auto val="1"/>
        <c:lblAlgn val="ctr"/>
        <c:lblOffset val="100"/>
        <c:noMultiLvlLbl val="1"/>
      </c:catAx>
      <c:valAx>
        <c:axId val="38221865"/>
        <c:scaling>
          <c:orientation val="minMax"/>
          <c:max val="3"/>
        </c:scaling>
        <c:delete val="0"/>
        <c:axPos val="l"/>
        <c:majorGridlines>
          <c:spPr>
            <a:ln w="9360">
              <a:solidFill>
                <a:srgbClr val="D9D9D9"/>
              </a:solidFill>
              <a:round/>
            </a:ln>
          </c:spPr>
        </c:majorGridlines>
        <c:numFmt formatCode="0.00" sourceLinked="0"/>
        <c:majorTickMark val="none"/>
        <c:minorTickMark val="none"/>
        <c:tickLblPos val="nextTo"/>
        <c:spPr>
          <a:ln w="9360">
            <a:noFill/>
          </a:ln>
        </c:spPr>
        <c:txPr>
          <a:bodyPr/>
          <a:lstStyle/>
          <a:p>
            <a:pPr>
              <a:defRPr sz="900" b="0" strike="noStrike" spc="-1">
                <a:solidFill>
                  <a:srgbClr val="595959"/>
                </a:solidFill>
                <a:latin typeface="Calibri"/>
              </a:defRPr>
            </a:pPr>
            <a:endParaRPr lang="en-SE"/>
          </a:p>
        </c:txPr>
        <c:crossAx val="14042771"/>
        <c:crosses val="autoZero"/>
        <c:crossBetween val="between"/>
      </c:valAx>
      <c:spPr>
        <a:no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2.61878039655817E-2"/>
          <c:y val="7.9879985192978405E-3"/>
          <c:w val="0.94912083800972702"/>
          <c:h val="0.98449159311863099"/>
        </c:manualLayout>
      </c:layout>
      <c:areaChart>
        <c:grouping val="stacked"/>
        <c:varyColors val="1"/>
        <c:ser>
          <c:idx val="0"/>
          <c:order val="0"/>
          <c:spPr>
            <a:blipFill rotWithShape="0">
              <a:blip xmlns:r="http://schemas.openxmlformats.org/officeDocument/2006/relationships" r:embed="rId1"/>
              <a:stretch>
                <a:fillRect/>
              </a:stretch>
            </a:blip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Chart'!$Y$4:$AA$4</c:f>
              <c:numCache>
                <c:formatCode>General</c:formatCode>
                <c:ptCount val="3"/>
                <c:pt idx="0">
                  <c:v>1</c:v>
                </c:pt>
                <c:pt idx="1">
                  <c:v>1</c:v>
                </c:pt>
                <c:pt idx="2">
                  <c:v>1</c:v>
                </c:pt>
              </c:numCache>
            </c:numRef>
          </c:val>
          <c:extLst>
            <c:ext xmlns:c16="http://schemas.microsoft.com/office/drawing/2014/chart" uri="{C3380CC4-5D6E-409C-BE32-E72D297353CC}">
              <c16:uniqueId val="{00000000-E547-0F4A-BC60-58DEA89E723F}"/>
            </c:ext>
          </c:extLst>
        </c:ser>
        <c:dLbls>
          <c:showLegendKey val="0"/>
          <c:showVal val="0"/>
          <c:showCatName val="0"/>
          <c:showSerName val="0"/>
          <c:showPercent val="0"/>
          <c:showBubbleSize val="0"/>
        </c:dLbls>
        <c:axId val="73656481"/>
        <c:axId val="4947626"/>
      </c:areaChart>
      <c:catAx>
        <c:axId val="73656481"/>
        <c:scaling>
          <c:orientation val="minMax"/>
        </c:scaling>
        <c:delete val="0"/>
        <c:axPos val="b"/>
        <c:numFmt formatCode="General" sourceLinked="1"/>
        <c:majorTickMark val="none"/>
        <c:minorTickMark val="none"/>
        <c:tickLblPos val="none"/>
        <c:spPr>
          <a:ln w="9360">
            <a:noFill/>
          </a:ln>
        </c:spPr>
        <c:txPr>
          <a:bodyPr/>
          <a:lstStyle/>
          <a:p>
            <a:pPr>
              <a:defRPr sz="925" b="0" strike="noStrike" spc="-1">
                <a:solidFill>
                  <a:srgbClr val="000000"/>
                </a:solidFill>
                <a:latin typeface="Arial"/>
                <a:ea typeface="Arial"/>
              </a:defRPr>
            </a:pPr>
            <a:endParaRPr lang="en-SE"/>
          </a:p>
        </c:txPr>
        <c:crossAx val="4947626"/>
        <c:crosses val="autoZero"/>
        <c:auto val="1"/>
        <c:lblAlgn val="ctr"/>
        <c:lblOffset val="100"/>
        <c:noMultiLvlLbl val="1"/>
      </c:catAx>
      <c:valAx>
        <c:axId val="4947626"/>
        <c:scaling>
          <c:orientation val="minMax"/>
          <c:max val="1"/>
        </c:scaling>
        <c:delete val="0"/>
        <c:axPos val="l"/>
        <c:majorGridlines>
          <c:spPr>
            <a:ln w="3240">
              <a:solidFill>
                <a:srgbClr val="000000"/>
              </a:solidFill>
              <a:round/>
            </a:ln>
          </c:spPr>
        </c:majorGridlines>
        <c:numFmt formatCode="General" sourceLinked="0"/>
        <c:majorTickMark val="none"/>
        <c:minorTickMark val="none"/>
        <c:tickLblPos val="none"/>
        <c:spPr>
          <a:ln w="9360">
            <a:noFill/>
          </a:ln>
        </c:spPr>
        <c:txPr>
          <a:bodyPr/>
          <a:lstStyle/>
          <a:p>
            <a:pPr>
              <a:defRPr sz="925" b="0" strike="noStrike" spc="-1">
                <a:solidFill>
                  <a:srgbClr val="000000"/>
                </a:solidFill>
                <a:latin typeface="Arial"/>
                <a:ea typeface="Arial"/>
              </a:defRPr>
            </a:pPr>
            <a:endParaRPr lang="en-SE"/>
          </a:p>
        </c:txPr>
        <c:crossAx val="73656481"/>
        <c:crosses val="autoZero"/>
        <c:crossBetween val="midCat"/>
      </c:valAx>
      <c:spPr>
        <a:solidFill>
          <a:srgbClr val="C0C0C0"/>
        </a:solidFill>
        <a:ln w="12600">
          <a:solidFill>
            <a:srgbClr val="808080"/>
          </a:solidFill>
          <a:round/>
        </a:ln>
      </c:spPr>
    </c:plotArea>
    <c:plotVisOnly val="1"/>
    <c:dispBlanksAs val="zero"/>
    <c:showDLblsOverMax val="1"/>
  </c:chart>
  <c:spPr>
    <a:noFill/>
    <a:ln w="9360">
      <a:noFill/>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475307519844902E-2"/>
          <c:y val="0.16024242424242399"/>
          <c:w val="0.92025692298369999"/>
          <c:h val="0.64072727272727303"/>
        </c:manualLayout>
      </c:layout>
      <c:areaChart>
        <c:grouping val="standard"/>
        <c:varyColors val="1"/>
        <c:ser>
          <c:idx val="0"/>
          <c:order val="0"/>
          <c:spPr>
            <a:solidFill>
              <a:srgbClr val="3290C4"/>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Chart'!$B$12:$J$12</c:f>
              <c:numCache>
                <c:formatCode>0.00</c:formatCode>
                <c:ptCount val="9"/>
                <c:pt idx="0">
                  <c:v>1.25</c:v>
                </c:pt>
                <c:pt idx="1">
                  <c:v>1.25</c:v>
                </c:pt>
                <c:pt idx="2" formatCode="General">
                  <c:v>1.25</c:v>
                </c:pt>
                <c:pt idx="3">
                  <c:v>1.25</c:v>
                </c:pt>
                <c:pt idx="4" formatCode="General">
                  <c:v>1.25</c:v>
                </c:pt>
                <c:pt idx="5">
                  <c:v>1.25</c:v>
                </c:pt>
                <c:pt idx="6" formatCode="General">
                  <c:v>1.25</c:v>
                </c:pt>
                <c:pt idx="7">
                  <c:v>1.25</c:v>
                </c:pt>
                <c:pt idx="8" formatCode="General">
                  <c:v>1.25</c:v>
                </c:pt>
              </c:numCache>
            </c:numRef>
          </c:val>
          <c:extLst>
            <c:ext xmlns:c16="http://schemas.microsoft.com/office/drawing/2014/chart" uri="{C3380CC4-5D6E-409C-BE32-E72D297353CC}">
              <c16:uniqueId val="{00000000-A15C-9E49-9CE8-3EDBDD94127A}"/>
            </c:ext>
          </c:extLst>
        </c:ser>
        <c:dLbls>
          <c:showLegendKey val="0"/>
          <c:showVal val="0"/>
          <c:showCatName val="0"/>
          <c:showSerName val="0"/>
          <c:showPercent val="0"/>
          <c:showBubbleSize val="0"/>
        </c:dLbls>
        <c:axId val="67521521"/>
        <c:axId val="5113299"/>
      </c:areaChart>
      <c:catAx>
        <c:axId val="67521521"/>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50" b="0" strike="noStrike" spc="-1">
                <a:solidFill>
                  <a:srgbClr val="FFFFFF"/>
                </a:solidFill>
                <a:latin typeface="Arial"/>
                <a:ea typeface="Arial"/>
              </a:defRPr>
            </a:pPr>
            <a:endParaRPr lang="en-SE"/>
          </a:p>
        </c:txPr>
        <c:crossAx val="5113299"/>
        <c:crosses val="autoZero"/>
        <c:auto val="1"/>
        <c:lblAlgn val="ctr"/>
        <c:lblOffset val="100"/>
        <c:noMultiLvlLbl val="1"/>
      </c:catAx>
      <c:valAx>
        <c:axId val="5113299"/>
        <c:scaling>
          <c:orientation val="minMax"/>
          <c:max val="3"/>
          <c:min val="0"/>
        </c:scaling>
        <c:delete val="0"/>
        <c:axPos val="l"/>
        <c:majorGridlines>
          <c:spPr>
            <a:ln w="3240">
              <a:solidFill>
                <a:srgbClr val="C0C0C0"/>
              </a:solidFill>
              <a:round/>
            </a:ln>
          </c:spPr>
        </c:majorGridlines>
        <c:numFmt formatCode="0.00" sourceLinked="0"/>
        <c:majorTickMark val="out"/>
        <c:minorTickMark val="in"/>
        <c:tickLblPos val="nextTo"/>
        <c:spPr>
          <a:ln w="3240">
            <a:solidFill>
              <a:srgbClr val="969696"/>
            </a:solidFill>
            <a:round/>
          </a:ln>
        </c:spPr>
        <c:txPr>
          <a:bodyPr/>
          <a:lstStyle/>
          <a:p>
            <a:pPr>
              <a:defRPr sz="800" b="0" strike="noStrike" spc="-1">
                <a:solidFill>
                  <a:srgbClr val="000000"/>
                </a:solidFill>
                <a:latin typeface="Arial"/>
                <a:ea typeface="Arial"/>
              </a:defRPr>
            </a:pPr>
            <a:endParaRPr lang="en-SE"/>
          </a:p>
        </c:txPr>
        <c:crossAx val="67521521"/>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386143410852702E-2"/>
          <c:y val="0.15827511443025799"/>
          <c:w val="0.920360949612403"/>
          <c:h val="0.645145748012527"/>
        </c:manualLayout>
      </c:layout>
      <c:areaChart>
        <c:grouping val="standard"/>
        <c:varyColors val="1"/>
        <c:ser>
          <c:idx val="0"/>
          <c:order val="0"/>
          <c:spPr>
            <a:solidFill>
              <a:srgbClr val="3290C4"/>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Chart'!$B$13:$J$13</c:f>
              <c:numCache>
                <c:formatCode>0.00</c:formatCode>
                <c:ptCount val="9"/>
                <c:pt idx="0">
                  <c:v>1.375</c:v>
                </c:pt>
                <c:pt idx="1">
                  <c:v>1.375</c:v>
                </c:pt>
                <c:pt idx="2" formatCode="General">
                  <c:v>1.375</c:v>
                </c:pt>
                <c:pt idx="3">
                  <c:v>1.375</c:v>
                </c:pt>
                <c:pt idx="4" formatCode="General">
                  <c:v>1.375</c:v>
                </c:pt>
                <c:pt idx="5">
                  <c:v>1.375</c:v>
                </c:pt>
                <c:pt idx="6" formatCode="General">
                  <c:v>1.375</c:v>
                </c:pt>
                <c:pt idx="7">
                  <c:v>1.375</c:v>
                </c:pt>
                <c:pt idx="8" formatCode="General">
                  <c:v>1.375</c:v>
                </c:pt>
              </c:numCache>
            </c:numRef>
          </c:val>
          <c:extLst>
            <c:ext xmlns:c16="http://schemas.microsoft.com/office/drawing/2014/chart" uri="{C3380CC4-5D6E-409C-BE32-E72D297353CC}">
              <c16:uniqueId val="{00000000-DADC-5945-92C9-FD19141D0BCE}"/>
            </c:ext>
          </c:extLst>
        </c:ser>
        <c:dLbls>
          <c:showLegendKey val="0"/>
          <c:showVal val="0"/>
          <c:showCatName val="0"/>
          <c:showSerName val="0"/>
          <c:showPercent val="0"/>
          <c:showBubbleSize val="0"/>
        </c:dLbls>
        <c:axId val="57703242"/>
        <c:axId val="52567157"/>
      </c:areaChart>
      <c:catAx>
        <c:axId val="57703242"/>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50" b="0" strike="noStrike" spc="-1">
                <a:solidFill>
                  <a:srgbClr val="FFFFFF"/>
                </a:solidFill>
                <a:latin typeface="Arial"/>
                <a:ea typeface="Arial"/>
              </a:defRPr>
            </a:pPr>
            <a:endParaRPr lang="en-SE"/>
          </a:p>
        </c:txPr>
        <c:crossAx val="52567157"/>
        <c:crosses val="autoZero"/>
        <c:auto val="1"/>
        <c:lblAlgn val="ctr"/>
        <c:lblOffset val="100"/>
        <c:noMultiLvlLbl val="1"/>
      </c:catAx>
      <c:valAx>
        <c:axId val="52567157"/>
        <c:scaling>
          <c:orientation val="minMax"/>
          <c:max val="3"/>
        </c:scaling>
        <c:delete val="0"/>
        <c:axPos val="l"/>
        <c:majorGridlines>
          <c:spPr>
            <a:ln w="3240">
              <a:solidFill>
                <a:srgbClr val="C0C0C0"/>
              </a:solidFill>
              <a:round/>
            </a:ln>
          </c:spPr>
        </c:majorGridlines>
        <c:numFmt formatCode="0.00" sourceLinked="0"/>
        <c:majorTickMark val="out"/>
        <c:minorTickMark val="none"/>
        <c:tickLblPos val="nextTo"/>
        <c:spPr>
          <a:ln w="3240">
            <a:solidFill>
              <a:srgbClr val="969696"/>
            </a:solidFill>
            <a:round/>
          </a:ln>
        </c:spPr>
        <c:txPr>
          <a:bodyPr/>
          <a:lstStyle/>
          <a:p>
            <a:pPr>
              <a:defRPr sz="800" b="0" strike="noStrike" spc="-1">
                <a:solidFill>
                  <a:srgbClr val="000000"/>
                </a:solidFill>
                <a:latin typeface="Arial"/>
                <a:ea typeface="Arial"/>
              </a:defRPr>
            </a:pPr>
            <a:endParaRPr lang="en-SE"/>
          </a:p>
        </c:txPr>
        <c:crossAx val="57703242"/>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283617395523702E-2"/>
          <c:y val="0.157268617654057"/>
          <c:w val="0.92048280463395404"/>
          <c:h val="0.64739471805852999"/>
        </c:manualLayout>
      </c:layout>
      <c:areaChart>
        <c:grouping val="standard"/>
        <c:varyColors val="1"/>
        <c:ser>
          <c:idx val="0"/>
          <c:order val="0"/>
          <c:spPr>
            <a:solidFill>
              <a:srgbClr val="3290C4"/>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Chart'!$B$14:$J$14</c:f>
              <c:numCache>
                <c:formatCode>0.00</c:formatCode>
                <c:ptCount val="9"/>
                <c:pt idx="0">
                  <c:v>2.125</c:v>
                </c:pt>
                <c:pt idx="1">
                  <c:v>2.125</c:v>
                </c:pt>
                <c:pt idx="2" formatCode="General">
                  <c:v>2.125</c:v>
                </c:pt>
                <c:pt idx="3">
                  <c:v>2.125</c:v>
                </c:pt>
                <c:pt idx="4" formatCode="General">
                  <c:v>2.125</c:v>
                </c:pt>
                <c:pt idx="5">
                  <c:v>2.125</c:v>
                </c:pt>
                <c:pt idx="6" formatCode="General">
                  <c:v>2.125</c:v>
                </c:pt>
                <c:pt idx="7">
                  <c:v>2.125</c:v>
                </c:pt>
                <c:pt idx="8" formatCode="General">
                  <c:v>2.125</c:v>
                </c:pt>
              </c:numCache>
            </c:numRef>
          </c:val>
          <c:extLst>
            <c:ext xmlns:c16="http://schemas.microsoft.com/office/drawing/2014/chart" uri="{C3380CC4-5D6E-409C-BE32-E72D297353CC}">
              <c16:uniqueId val="{00000000-0903-CC46-83E7-2C6D2A86865D}"/>
            </c:ext>
          </c:extLst>
        </c:ser>
        <c:dLbls>
          <c:showLegendKey val="0"/>
          <c:showVal val="0"/>
          <c:showCatName val="0"/>
          <c:showSerName val="0"/>
          <c:showPercent val="0"/>
          <c:showBubbleSize val="0"/>
        </c:dLbls>
        <c:axId val="81296117"/>
        <c:axId val="67230571"/>
      </c:areaChart>
      <c:catAx>
        <c:axId val="81296117"/>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50" b="0" strike="noStrike" spc="-1">
                <a:solidFill>
                  <a:srgbClr val="FFFFFF"/>
                </a:solidFill>
                <a:latin typeface="Arial"/>
                <a:ea typeface="Arial"/>
              </a:defRPr>
            </a:pPr>
            <a:endParaRPr lang="en-SE"/>
          </a:p>
        </c:txPr>
        <c:crossAx val="67230571"/>
        <c:crosses val="autoZero"/>
        <c:auto val="1"/>
        <c:lblAlgn val="ctr"/>
        <c:lblOffset val="100"/>
        <c:noMultiLvlLbl val="1"/>
      </c:catAx>
      <c:valAx>
        <c:axId val="67230571"/>
        <c:scaling>
          <c:orientation val="minMax"/>
          <c:max val="3"/>
        </c:scaling>
        <c:delete val="0"/>
        <c:axPos val="l"/>
        <c:majorGridlines>
          <c:spPr>
            <a:ln w="3240">
              <a:solidFill>
                <a:srgbClr val="C0C0C0"/>
              </a:solidFill>
              <a:round/>
            </a:ln>
          </c:spPr>
        </c:majorGridlines>
        <c:numFmt formatCode="0.00" sourceLinked="0"/>
        <c:majorTickMark val="out"/>
        <c:minorTickMark val="none"/>
        <c:tickLblPos val="nextTo"/>
        <c:spPr>
          <a:ln w="3240">
            <a:solidFill>
              <a:srgbClr val="C0C0C0"/>
            </a:solidFill>
            <a:round/>
          </a:ln>
        </c:spPr>
        <c:txPr>
          <a:bodyPr/>
          <a:lstStyle/>
          <a:p>
            <a:pPr>
              <a:defRPr sz="800" b="0" strike="noStrike" spc="-1">
                <a:solidFill>
                  <a:srgbClr val="000000"/>
                </a:solidFill>
                <a:latin typeface="Arial"/>
                <a:ea typeface="Arial"/>
              </a:defRPr>
            </a:pPr>
            <a:endParaRPr lang="en-SE"/>
          </a:p>
        </c:txPr>
        <c:crossAx val="81296117"/>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3.xml"/><Relationship Id="rId13" Type="http://schemas.openxmlformats.org/officeDocument/2006/relationships/chart" Target="../charts/chart18.xml"/><Relationship Id="rId3" Type="http://schemas.openxmlformats.org/officeDocument/2006/relationships/chart" Target="../charts/chart8.xml"/><Relationship Id="rId7" Type="http://schemas.openxmlformats.org/officeDocument/2006/relationships/chart" Target="../charts/chart12.xml"/><Relationship Id="rId12" Type="http://schemas.openxmlformats.org/officeDocument/2006/relationships/chart" Target="../charts/chart17.xml"/><Relationship Id="rId17" Type="http://schemas.openxmlformats.org/officeDocument/2006/relationships/chart" Target="../charts/chart22.xml"/><Relationship Id="rId2" Type="http://schemas.openxmlformats.org/officeDocument/2006/relationships/chart" Target="../charts/chart7.xml"/><Relationship Id="rId16" Type="http://schemas.openxmlformats.org/officeDocument/2006/relationships/chart" Target="../charts/chart21.xml"/><Relationship Id="rId1" Type="http://schemas.openxmlformats.org/officeDocument/2006/relationships/chart" Target="../charts/chart6.xml"/><Relationship Id="rId6" Type="http://schemas.openxmlformats.org/officeDocument/2006/relationships/chart" Target="../charts/chart11.xml"/><Relationship Id="rId11" Type="http://schemas.openxmlformats.org/officeDocument/2006/relationships/chart" Target="../charts/chart16.xml"/><Relationship Id="rId5" Type="http://schemas.openxmlformats.org/officeDocument/2006/relationships/chart" Target="../charts/chart10.xml"/><Relationship Id="rId15" Type="http://schemas.openxmlformats.org/officeDocument/2006/relationships/chart" Target="../charts/chart20.xml"/><Relationship Id="rId10" Type="http://schemas.openxmlformats.org/officeDocument/2006/relationships/chart" Target="../charts/chart15.xml"/><Relationship Id="rId4" Type="http://schemas.openxmlformats.org/officeDocument/2006/relationships/chart" Target="../charts/chart9.xml"/><Relationship Id="rId9" Type="http://schemas.openxmlformats.org/officeDocument/2006/relationships/chart" Target="../charts/chart14.xml"/><Relationship Id="rId14"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3" Type="http://schemas.openxmlformats.org/officeDocument/2006/relationships/image" Target="../media/image5.wmf"/><Relationship Id="rId2" Type="http://schemas.openxmlformats.org/officeDocument/2006/relationships/image" Target="../media/image4.wmf"/><Relationship Id="rId1" Type="http://schemas.openxmlformats.org/officeDocument/2006/relationships/image" Target="../media/image3.wmf"/><Relationship Id="rId5" Type="http://schemas.openxmlformats.org/officeDocument/2006/relationships/image" Target="../media/image7.wmf"/><Relationship Id="rId4" Type="http://schemas.openxmlformats.org/officeDocument/2006/relationships/image" Target="../media/image6.w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9</xdr:row>
      <xdr:rowOff>1440</xdr:rowOff>
    </xdr:from>
    <xdr:to>
      <xdr:col>1</xdr:col>
      <xdr:colOff>6656400</xdr:colOff>
      <xdr:row>32</xdr:row>
      <xdr:rowOff>142200</xdr:rowOff>
    </xdr:to>
    <xdr:pic>
      <xdr:nvPicPr>
        <xdr:cNvPr id="2" name="Picture 6">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0" y="2639520"/>
          <a:ext cx="8269200" cy="452232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616680</xdr:colOff>
      <xdr:row>12</xdr:row>
      <xdr:rowOff>1440</xdr:rowOff>
    </xdr:from>
    <xdr:to>
      <xdr:col>18</xdr:col>
      <xdr:colOff>21600</xdr:colOff>
      <xdr:row>27</xdr:row>
      <xdr:rowOff>291240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13320</xdr:colOff>
      <xdr:row>52</xdr:row>
      <xdr:rowOff>1440</xdr:rowOff>
    </xdr:from>
    <xdr:to>
      <xdr:col>18</xdr:col>
      <xdr:colOff>34560</xdr:colOff>
      <xdr:row>67</xdr:row>
      <xdr:rowOff>311040</xdr:rowOff>
    </xdr:to>
    <xdr:graphicFrame macro="">
      <xdr:nvGraphicFramePr>
        <xdr:cNvPr id="3" name="Chart 3">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13320</xdr:colOff>
      <xdr:row>32</xdr:row>
      <xdr:rowOff>1440</xdr:rowOff>
    </xdr:from>
    <xdr:to>
      <xdr:col>18</xdr:col>
      <xdr:colOff>34560</xdr:colOff>
      <xdr:row>47</xdr:row>
      <xdr:rowOff>311040</xdr:rowOff>
    </xdr:to>
    <xdr:graphicFrame macro="">
      <xdr:nvGraphicFramePr>
        <xdr:cNvPr id="4" name="Chart 4">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13320</xdr:colOff>
      <xdr:row>92</xdr:row>
      <xdr:rowOff>1440</xdr:rowOff>
    </xdr:from>
    <xdr:to>
      <xdr:col>18</xdr:col>
      <xdr:colOff>34560</xdr:colOff>
      <xdr:row>107</xdr:row>
      <xdr:rowOff>311040</xdr:rowOff>
    </xdr:to>
    <xdr:graphicFrame macro="">
      <xdr:nvGraphicFramePr>
        <xdr:cNvPr id="5" name="Chart 5">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11</xdr:col>
      <xdr:colOff>13320</xdr:colOff>
      <xdr:row>71</xdr:row>
      <xdr:rowOff>0</xdr:rowOff>
    </xdr:from>
    <xdr:to>
      <xdr:col>18</xdr:col>
      <xdr:colOff>34560</xdr:colOff>
      <xdr:row>87</xdr:row>
      <xdr:rowOff>3960</xdr:rowOff>
    </xdr:to>
    <xdr:graphicFrame macro="">
      <xdr:nvGraphicFramePr>
        <xdr:cNvPr id="6" name="Chart 7">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153720</xdr:colOff>
      <xdr:row>11</xdr:row>
      <xdr:rowOff>10800</xdr:rowOff>
    </xdr:from>
    <xdr:to>
      <xdr:col>22</xdr:col>
      <xdr:colOff>131760</xdr:colOff>
      <xdr:row>107</xdr:row>
      <xdr:rowOff>169920</xdr:rowOff>
    </xdr:to>
    <xdr:graphicFrame macro="">
      <xdr:nvGraphicFramePr>
        <xdr:cNvPr id="6" name="Chart 6">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20520</xdr:colOff>
      <xdr:row>129</xdr:row>
      <xdr:rowOff>162360</xdr:rowOff>
    </xdr:from>
    <xdr:to>
      <xdr:col>22</xdr:col>
      <xdr:colOff>623520</xdr:colOff>
      <xdr:row>131</xdr:row>
      <xdr:rowOff>160920</xdr:rowOff>
    </xdr:to>
    <xdr:sp macro="" textlink="">
      <xdr:nvSpPr>
        <xdr:cNvPr id="7" name="CustomShape 1">
          <a:extLst>
            <a:ext uri="{FF2B5EF4-FFF2-40B4-BE49-F238E27FC236}">
              <a16:creationId xmlns:a16="http://schemas.microsoft.com/office/drawing/2014/main" id="{00000000-0008-0000-0400-000007000000}"/>
            </a:ext>
          </a:extLst>
        </xdr:cNvPr>
        <xdr:cNvSpPr/>
      </xdr:nvSpPr>
      <xdr:spPr>
        <a:xfrm>
          <a:off x="8475840" y="25765560"/>
          <a:ext cx="6669360" cy="379440"/>
        </a:xfrm>
        <a:prstGeom prst="rect">
          <a:avLst/>
        </a:prstGeom>
        <a:solidFill>
          <a:srgbClr val="FFFFFF"/>
        </a:solidFill>
        <a:ln>
          <a:noFill/>
        </a:ln>
      </xdr:spPr>
      <xdr:style>
        <a:lnRef idx="0">
          <a:scrgbClr r="0" g="0" b="0"/>
        </a:lnRef>
        <a:fillRef idx="0">
          <a:scrgbClr r="0" g="0" b="0"/>
        </a:fillRef>
        <a:effectRef idx="0">
          <a:scrgbClr r="0" g="0" b="0"/>
        </a:effectRef>
        <a:fontRef idx="minor"/>
      </xdr:style>
    </xdr:sp>
    <xdr:clientData/>
  </xdr:twoCellAnchor>
  <xdr:twoCellAnchor editAs="oneCell">
    <xdr:from>
      <xdr:col>22</xdr:col>
      <xdr:colOff>9360</xdr:colOff>
      <xdr:row>7</xdr:row>
      <xdr:rowOff>27000</xdr:rowOff>
    </xdr:from>
    <xdr:to>
      <xdr:col>22</xdr:col>
      <xdr:colOff>623520</xdr:colOff>
      <xdr:row>108</xdr:row>
      <xdr:rowOff>2520</xdr:rowOff>
    </xdr:to>
    <xdr:sp macro="" textlink="">
      <xdr:nvSpPr>
        <xdr:cNvPr id="8" name="CustomShape 1">
          <a:extLst>
            <a:ext uri="{FF2B5EF4-FFF2-40B4-BE49-F238E27FC236}">
              <a16:creationId xmlns:a16="http://schemas.microsoft.com/office/drawing/2014/main" id="{00000000-0008-0000-0400-000008000000}"/>
            </a:ext>
          </a:extLst>
        </xdr:cNvPr>
        <xdr:cNvSpPr/>
      </xdr:nvSpPr>
      <xdr:spPr>
        <a:xfrm>
          <a:off x="14531040" y="2284200"/>
          <a:ext cx="614160" cy="19320840"/>
        </a:xfrm>
        <a:prstGeom prst="rect">
          <a:avLst/>
        </a:prstGeom>
        <a:solidFill>
          <a:srgbClr val="FFFFFF"/>
        </a:solidFill>
        <a:ln>
          <a:noFill/>
        </a:ln>
      </xdr:spPr>
      <xdr:style>
        <a:lnRef idx="0">
          <a:scrgbClr r="0" g="0" b="0"/>
        </a:lnRef>
        <a:fillRef idx="0">
          <a:scrgbClr r="0" g="0" b="0"/>
        </a:fillRef>
        <a:effectRef idx="0">
          <a:scrgbClr r="0" g="0" b="0"/>
        </a:effectRef>
        <a:fontRef idx="minor"/>
      </xdr:style>
    </xdr:sp>
    <xdr:clientData/>
  </xdr:twoCellAnchor>
  <xdr:twoCellAnchor editAs="oneCell">
    <xdr:from>
      <xdr:col>13</xdr:col>
      <xdr:colOff>7560</xdr:colOff>
      <xdr:row>10</xdr:row>
      <xdr:rowOff>162000</xdr:rowOff>
    </xdr:from>
    <xdr:to>
      <xdr:col>22</xdr:col>
      <xdr:colOff>153000</xdr:colOff>
      <xdr:row>18</xdr:row>
      <xdr:rowOff>113040</xdr:rowOff>
    </xdr:to>
    <xdr:graphicFrame macro="">
      <xdr:nvGraphicFramePr>
        <xdr:cNvPr id="9" name="Chart 1">
          <a:extLst>
            <a:ext uri="{FF2B5EF4-FFF2-40B4-BE49-F238E27FC236}">
              <a16:creationId xmlns:a16="http://schemas.microsoft.com/office/drawing/2014/main" id="{00000000-0008-0000-04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4320</xdr:colOff>
      <xdr:row>20</xdr:row>
      <xdr:rowOff>139680</xdr:rowOff>
    </xdr:from>
    <xdr:to>
      <xdr:col>22</xdr:col>
      <xdr:colOff>142920</xdr:colOff>
      <xdr:row>28</xdr:row>
      <xdr:rowOff>100080</xdr:rowOff>
    </xdr:to>
    <xdr:graphicFrame macro="">
      <xdr:nvGraphicFramePr>
        <xdr:cNvPr id="10" name="Chart 7">
          <a:extLst>
            <a:ext uri="{FF2B5EF4-FFF2-40B4-BE49-F238E27FC236}">
              <a16:creationId xmlns:a16="http://schemas.microsoft.com/office/drawing/2014/main" id="{00000000-0008-0000-04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12960</xdr:colOff>
      <xdr:row>27</xdr:row>
      <xdr:rowOff>90720</xdr:rowOff>
    </xdr:from>
    <xdr:to>
      <xdr:col>22</xdr:col>
      <xdr:colOff>152640</xdr:colOff>
      <xdr:row>35</xdr:row>
      <xdr:rowOff>70920</xdr:rowOff>
    </xdr:to>
    <xdr:graphicFrame macro="">
      <xdr:nvGraphicFramePr>
        <xdr:cNvPr id="11" name="Chart 8">
          <a:extLst>
            <a:ext uri="{FF2B5EF4-FFF2-40B4-BE49-F238E27FC236}">
              <a16:creationId xmlns:a16="http://schemas.microsoft.com/office/drawing/2014/main" id="{00000000-0008-0000-04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1800</xdr:colOff>
      <xdr:row>34</xdr:row>
      <xdr:rowOff>153720</xdr:rowOff>
    </xdr:from>
    <xdr:to>
      <xdr:col>22</xdr:col>
      <xdr:colOff>164520</xdr:colOff>
      <xdr:row>42</xdr:row>
      <xdr:rowOff>132480</xdr:rowOff>
    </xdr:to>
    <xdr:graphicFrame macro="">
      <xdr:nvGraphicFramePr>
        <xdr:cNvPr id="12" name="Chart 9">
          <a:extLst>
            <a:ext uri="{FF2B5EF4-FFF2-40B4-BE49-F238E27FC236}">
              <a16:creationId xmlns:a16="http://schemas.microsoft.com/office/drawing/2014/main" id="{00000000-0008-0000-04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-360</xdr:colOff>
      <xdr:row>41</xdr:row>
      <xdr:rowOff>152280</xdr:rowOff>
    </xdr:from>
    <xdr:to>
      <xdr:col>22</xdr:col>
      <xdr:colOff>164880</xdr:colOff>
      <xdr:row>49</xdr:row>
      <xdr:rowOff>132480</xdr:rowOff>
    </xdr:to>
    <xdr:graphicFrame macro="">
      <xdr:nvGraphicFramePr>
        <xdr:cNvPr id="13" name="Chart 10">
          <a:extLst>
            <a:ext uri="{FF2B5EF4-FFF2-40B4-BE49-F238E27FC236}">
              <a16:creationId xmlns:a16="http://schemas.microsoft.com/office/drawing/2014/main" id="{00000000-0008-0000-04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13</xdr:col>
      <xdr:colOff>1800</xdr:colOff>
      <xdr:row>49</xdr:row>
      <xdr:rowOff>153720</xdr:rowOff>
    </xdr:from>
    <xdr:to>
      <xdr:col>22</xdr:col>
      <xdr:colOff>152640</xdr:colOff>
      <xdr:row>57</xdr:row>
      <xdr:rowOff>141480</xdr:rowOff>
    </xdr:to>
    <xdr:graphicFrame macro="">
      <xdr:nvGraphicFramePr>
        <xdr:cNvPr id="14" name="Chart 11">
          <a:extLst>
            <a:ext uri="{FF2B5EF4-FFF2-40B4-BE49-F238E27FC236}">
              <a16:creationId xmlns:a16="http://schemas.microsoft.com/office/drawing/2014/main" id="{00000000-0008-0000-04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12</xdr:col>
      <xdr:colOff>268920</xdr:colOff>
      <xdr:row>81</xdr:row>
      <xdr:rowOff>142920</xdr:rowOff>
    </xdr:from>
    <xdr:to>
      <xdr:col>22</xdr:col>
      <xdr:colOff>160920</xdr:colOff>
      <xdr:row>89</xdr:row>
      <xdr:rowOff>141480</xdr:rowOff>
    </xdr:to>
    <xdr:graphicFrame macro="">
      <xdr:nvGraphicFramePr>
        <xdr:cNvPr id="15" name="Chart 12">
          <a:extLst>
            <a:ext uri="{FF2B5EF4-FFF2-40B4-BE49-F238E27FC236}">
              <a16:creationId xmlns:a16="http://schemas.microsoft.com/office/drawing/2014/main" id="{00000000-0008-0000-04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12</xdr:col>
      <xdr:colOff>268920</xdr:colOff>
      <xdr:row>89</xdr:row>
      <xdr:rowOff>152280</xdr:rowOff>
    </xdr:from>
    <xdr:to>
      <xdr:col>22</xdr:col>
      <xdr:colOff>160920</xdr:colOff>
      <xdr:row>97</xdr:row>
      <xdr:rowOff>160920</xdr:rowOff>
    </xdr:to>
    <xdr:graphicFrame macro="">
      <xdr:nvGraphicFramePr>
        <xdr:cNvPr id="16" name="Chart 13">
          <a:extLst>
            <a:ext uri="{FF2B5EF4-FFF2-40B4-BE49-F238E27FC236}">
              <a16:creationId xmlns:a16="http://schemas.microsoft.com/office/drawing/2014/main" id="{00000000-0008-0000-04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12</xdr:col>
      <xdr:colOff>268920</xdr:colOff>
      <xdr:row>97</xdr:row>
      <xdr:rowOff>153720</xdr:rowOff>
    </xdr:from>
    <xdr:to>
      <xdr:col>22</xdr:col>
      <xdr:colOff>160920</xdr:colOff>
      <xdr:row>105</xdr:row>
      <xdr:rowOff>160200</xdr:rowOff>
    </xdr:to>
    <xdr:graphicFrame macro="">
      <xdr:nvGraphicFramePr>
        <xdr:cNvPr id="17" name="Chart 14">
          <a:extLst>
            <a:ext uri="{FF2B5EF4-FFF2-40B4-BE49-F238E27FC236}">
              <a16:creationId xmlns:a16="http://schemas.microsoft.com/office/drawing/2014/main" id="{00000000-0008-0000-04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12</xdr:col>
      <xdr:colOff>268920</xdr:colOff>
      <xdr:row>105</xdr:row>
      <xdr:rowOff>152280</xdr:rowOff>
    </xdr:from>
    <xdr:to>
      <xdr:col>22</xdr:col>
      <xdr:colOff>160920</xdr:colOff>
      <xdr:row>113</xdr:row>
      <xdr:rowOff>157320</xdr:rowOff>
    </xdr:to>
    <xdr:graphicFrame macro="">
      <xdr:nvGraphicFramePr>
        <xdr:cNvPr id="18" name="Chart 15">
          <a:extLst>
            <a:ext uri="{FF2B5EF4-FFF2-40B4-BE49-F238E27FC236}">
              <a16:creationId xmlns:a16="http://schemas.microsoft.com/office/drawing/2014/main" id="{00000000-0008-0000-0400-00001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12</xdr:col>
      <xdr:colOff>268920</xdr:colOff>
      <xdr:row>113</xdr:row>
      <xdr:rowOff>142920</xdr:rowOff>
    </xdr:from>
    <xdr:to>
      <xdr:col>22</xdr:col>
      <xdr:colOff>151560</xdr:colOff>
      <xdr:row>121</xdr:row>
      <xdr:rowOff>158040</xdr:rowOff>
    </xdr:to>
    <xdr:graphicFrame macro="">
      <xdr:nvGraphicFramePr>
        <xdr:cNvPr id="19" name="Chart 16">
          <a:extLst>
            <a:ext uri="{FF2B5EF4-FFF2-40B4-BE49-F238E27FC236}">
              <a16:creationId xmlns:a16="http://schemas.microsoft.com/office/drawing/2014/main" id="{00000000-0008-0000-04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12</xdr:col>
      <xdr:colOff>268920</xdr:colOff>
      <xdr:row>121</xdr:row>
      <xdr:rowOff>153720</xdr:rowOff>
    </xdr:from>
    <xdr:to>
      <xdr:col>22</xdr:col>
      <xdr:colOff>160920</xdr:colOff>
      <xdr:row>130</xdr:row>
      <xdr:rowOff>4320</xdr:rowOff>
    </xdr:to>
    <xdr:graphicFrame macro="">
      <xdr:nvGraphicFramePr>
        <xdr:cNvPr id="20" name="Chart 17">
          <a:extLst>
            <a:ext uri="{FF2B5EF4-FFF2-40B4-BE49-F238E27FC236}">
              <a16:creationId xmlns:a16="http://schemas.microsoft.com/office/drawing/2014/main" id="{00000000-0008-0000-04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24</xdr:col>
      <xdr:colOff>32400</xdr:colOff>
      <xdr:row>28</xdr:row>
      <xdr:rowOff>158760</xdr:rowOff>
    </xdr:from>
    <xdr:to>
      <xdr:col>35</xdr:col>
      <xdr:colOff>316080</xdr:colOff>
      <xdr:row>64</xdr:row>
      <xdr:rowOff>49320</xdr:rowOff>
    </xdr:to>
    <xdr:graphicFrame macro="">
      <xdr:nvGraphicFramePr>
        <xdr:cNvPr id="21" name="Chart 16">
          <a:extLst>
            <a:ext uri="{FF2B5EF4-FFF2-40B4-BE49-F238E27FC236}">
              <a16:creationId xmlns:a16="http://schemas.microsoft.com/office/drawing/2014/main" id="{00000000-0008-0000-0400-00001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13</xdr:col>
      <xdr:colOff>14760</xdr:colOff>
      <xdr:row>56</xdr:row>
      <xdr:rowOff>160200</xdr:rowOff>
    </xdr:from>
    <xdr:to>
      <xdr:col>22</xdr:col>
      <xdr:colOff>165600</xdr:colOff>
      <xdr:row>64</xdr:row>
      <xdr:rowOff>147960</xdr:rowOff>
    </xdr:to>
    <xdr:graphicFrame macro="">
      <xdr:nvGraphicFramePr>
        <xdr:cNvPr id="22" name="Chart 11">
          <a:extLst>
            <a:ext uri="{FF2B5EF4-FFF2-40B4-BE49-F238E27FC236}">
              <a16:creationId xmlns:a16="http://schemas.microsoft.com/office/drawing/2014/main" id="{00000000-0008-0000-04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13</xdr:col>
      <xdr:colOff>11880</xdr:colOff>
      <xdr:row>64</xdr:row>
      <xdr:rowOff>63360</xdr:rowOff>
    </xdr:from>
    <xdr:to>
      <xdr:col>22</xdr:col>
      <xdr:colOff>186480</xdr:colOff>
      <xdr:row>72</xdr:row>
      <xdr:rowOff>53280</xdr:rowOff>
    </xdr:to>
    <xdr:graphicFrame macro="">
      <xdr:nvGraphicFramePr>
        <xdr:cNvPr id="23" name="Chart 11">
          <a:extLst>
            <a:ext uri="{FF2B5EF4-FFF2-40B4-BE49-F238E27FC236}">
              <a16:creationId xmlns:a16="http://schemas.microsoft.com/office/drawing/2014/main" id="{00000000-0008-0000-0400-00001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13</xdr:col>
      <xdr:colOff>11880</xdr:colOff>
      <xdr:row>71</xdr:row>
      <xdr:rowOff>10440</xdr:rowOff>
    </xdr:from>
    <xdr:to>
      <xdr:col>22</xdr:col>
      <xdr:colOff>186480</xdr:colOff>
      <xdr:row>78</xdr:row>
      <xdr:rowOff>190800</xdr:rowOff>
    </xdr:to>
    <xdr:graphicFrame macro="">
      <xdr:nvGraphicFramePr>
        <xdr:cNvPr id="24" name="Chart 11">
          <a:extLst>
            <a:ext uri="{FF2B5EF4-FFF2-40B4-BE49-F238E27FC236}">
              <a16:creationId xmlns:a16="http://schemas.microsoft.com/office/drawing/2014/main" id="{00000000-0008-0000-0400-00001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1440</xdr:rowOff>
    </xdr:from>
    <xdr:to>
      <xdr:col>2</xdr:col>
      <xdr:colOff>428040</xdr:colOff>
      <xdr:row>14</xdr:row>
      <xdr:rowOff>122400</xdr:rowOff>
    </xdr:to>
    <xdr:pic>
      <xdr:nvPicPr>
        <xdr:cNvPr id="25" name="Picture 1">
          <a:extLst>
            <a:ext uri="{FF2B5EF4-FFF2-40B4-BE49-F238E27FC236}">
              <a16:creationId xmlns:a16="http://schemas.microsoft.com/office/drawing/2014/main" id="{00000000-0008-0000-0800-000019000000}"/>
            </a:ext>
          </a:extLst>
        </xdr:cNvPr>
        <xdr:cNvPicPr/>
      </xdr:nvPicPr>
      <xdr:blipFill>
        <a:blip xmlns:r="http://schemas.openxmlformats.org/officeDocument/2006/relationships" r:embed="rId1"/>
        <a:stretch/>
      </xdr:blipFill>
      <xdr:spPr>
        <a:xfrm>
          <a:off x="0" y="515520"/>
          <a:ext cx="13068720" cy="2064240"/>
        </a:xfrm>
        <a:prstGeom prst="rect">
          <a:avLst/>
        </a:prstGeom>
        <a:ln>
          <a:noFill/>
        </a:ln>
      </xdr:spPr>
    </xdr:pic>
    <xdr:clientData/>
  </xdr:twoCellAnchor>
  <xdr:twoCellAnchor editAs="oneCell">
    <xdr:from>
      <xdr:col>0</xdr:col>
      <xdr:colOff>0</xdr:colOff>
      <xdr:row>16</xdr:row>
      <xdr:rowOff>1440</xdr:rowOff>
    </xdr:from>
    <xdr:to>
      <xdr:col>2</xdr:col>
      <xdr:colOff>428040</xdr:colOff>
      <xdr:row>28</xdr:row>
      <xdr:rowOff>122400</xdr:rowOff>
    </xdr:to>
    <xdr:pic>
      <xdr:nvPicPr>
        <xdr:cNvPr id="26" name="Picture 2">
          <a:extLst>
            <a:ext uri="{FF2B5EF4-FFF2-40B4-BE49-F238E27FC236}">
              <a16:creationId xmlns:a16="http://schemas.microsoft.com/office/drawing/2014/main" id="{00000000-0008-0000-0800-00001A000000}"/>
            </a:ext>
          </a:extLst>
        </xdr:cNvPr>
        <xdr:cNvPicPr/>
      </xdr:nvPicPr>
      <xdr:blipFill>
        <a:blip xmlns:r="http://schemas.openxmlformats.org/officeDocument/2006/relationships" r:embed="rId2"/>
        <a:stretch/>
      </xdr:blipFill>
      <xdr:spPr>
        <a:xfrm>
          <a:off x="0" y="2782440"/>
          <a:ext cx="13068720" cy="2064240"/>
        </a:xfrm>
        <a:prstGeom prst="rect">
          <a:avLst/>
        </a:prstGeom>
        <a:ln>
          <a:noFill/>
        </a:ln>
      </xdr:spPr>
    </xdr:pic>
    <xdr:clientData/>
  </xdr:twoCellAnchor>
  <xdr:twoCellAnchor editAs="oneCell">
    <xdr:from>
      <xdr:col>0</xdr:col>
      <xdr:colOff>0</xdr:colOff>
      <xdr:row>30</xdr:row>
      <xdr:rowOff>1440</xdr:rowOff>
    </xdr:from>
    <xdr:to>
      <xdr:col>2</xdr:col>
      <xdr:colOff>428040</xdr:colOff>
      <xdr:row>42</xdr:row>
      <xdr:rowOff>122400</xdr:rowOff>
    </xdr:to>
    <xdr:pic>
      <xdr:nvPicPr>
        <xdr:cNvPr id="27" name="Picture 3">
          <a:extLst>
            <a:ext uri="{FF2B5EF4-FFF2-40B4-BE49-F238E27FC236}">
              <a16:creationId xmlns:a16="http://schemas.microsoft.com/office/drawing/2014/main" id="{00000000-0008-0000-0800-00001B000000}"/>
            </a:ext>
          </a:extLst>
        </xdr:cNvPr>
        <xdr:cNvPicPr/>
      </xdr:nvPicPr>
      <xdr:blipFill>
        <a:blip xmlns:r="http://schemas.openxmlformats.org/officeDocument/2006/relationships" r:embed="rId3"/>
        <a:stretch/>
      </xdr:blipFill>
      <xdr:spPr>
        <a:xfrm>
          <a:off x="0" y="5049360"/>
          <a:ext cx="13068720" cy="2064240"/>
        </a:xfrm>
        <a:prstGeom prst="rect">
          <a:avLst/>
        </a:prstGeom>
        <a:ln>
          <a:noFill/>
        </a:ln>
      </xdr:spPr>
    </xdr:pic>
    <xdr:clientData/>
  </xdr:twoCellAnchor>
  <xdr:twoCellAnchor editAs="oneCell">
    <xdr:from>
      <xdr:col>0</xdr:col>
      <xdr:colOff>0</xdr:colOff>
      <xdr:row>44</xdr:row>
      <xdr:rowOff>0</xdr:rowOff>
    </xdr:from>
    <xdr:to>
      <xdr:col>2</xdr:col>
      <xdr:colOff>428040</xdr:colOff>
      <xdr:row>56</xdr:row>
      <xdr:rowOff>123120</xdr:rowOff>
    </xdr:to>
    <xdr:pic>
      <xdr:nvPicPr>
        <xdr:cNvPr id="28" name="Picture 4">
          <a:extLst>
            <a:ext uri="{FF2B5EF4-FFF2-40B4-BE49-F238E27FC236}">
              <a16:creationId xmlns:a16="http://schemas.microsoft.com/office/drawing/2014/main" id="{00000000-0008-0000-0800-00001C000000}"/>
            </a:ext>
          </a:extLst>
        </xdr:cNvPr>
        <xdr:cNvPicPr/>
      </xdr:nvPicPr>
      <xdr:blipFill>
        <a:blip xmlns:r="http://schemas.openxmlformats.org/officeDocument/2006/relationships" r:embed="rId4"/>
        <a:stretch/>
      </xdr:blipFill>
      <xdr:spPr>
        <a:xfrm>
          <a:off x="0" y="7315200"/>
          <a:ext cx="13068720" cy="2066040"/>
        </a:xfrm>
        <a:prstGeom prst="rect">
          <a:avLst/>
        </a:prstGeom>
        <a:ln>
          <a:noFill/>
        </a:ln>
      </xdr:spPr>
    </xdr:pic>
    <xdr:clientData/>
  </xdr:twoCellAnchor>
  <xdr:twoCellAnchor editAs="oneCell">
    <xdr:from>
      <xdr:col>0</xdr:col>
      <xdr:colOff>0</xdr:colOff>
      <xdr:row>58</xdr:row>
      <xdr:rowOff>0</xdr:rowOff>
    </xdr:from>
    <xdr:to>
      <xdr:col>2</xdr:col>
      <xdr:colOff>428040</xdr:colOff>
      <xdr:row>70</xdr:row>
      <xdr:rowOff>123120</xdr:rowOff>
    </xdr:to>
    <xdr:pic>
      <xdr:nvPicPr>
        <xdr:cNvPr id="29" name="Picture 5">
          <a:extLst>
            <a:ext uri="{FF2B5EF4-FFF2-40B4-BE49-F238E27FC236}">
              <a16:creationId xmlns:a16="http://schemas.microsoft.com/office/drawing/2014/main" id="{00000000-0008-0000-0800-00001D000000}"/>
            </a:ext>
          </a:extLst>
        </xdr:cNvPr>
        <xdr:cNvPicPr/>
      </xdr:nvPicPr>
      <xdr:blipFill>
        <a:blip xmlns:r="http://schemas.openxmlformats.org/officeDocument/2006/relationships" r:embed="rId5"/>
        <a:stretch/>
      </xdr:blipFill>
      <xdr:spPr>
        <a:xfrm>
          <a:off x="0" y="9582120"/>
          <a:ext cx="13068720" cy="206604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K52"/>
  <sheetViews>
    <sheetView zoomScale="110" zoomScaleNormal="110" workbookViewId="0">
      <selection activeCell="C16" sqref="C16"/>
    </sheetView>
  </sheetViews>
  <sheetFormatPr baseColWidth="10" defaultColWidth="8.83203125" defaultRowHeight="13"/>
  <cols>
    <col min="1" max="1" width="22.83203125" style="1" customWidth="1"/>
    <col min="2" max="2" width="100.33203125" style="1" customWidth="1"/>
    <col min="3" max="1025" width="8.83203125" style="1" customWidth="1"/>
  </cols>
  <sheetData>
    <row r="1" spans="1:2" s="3" customFormat="1" ht="25">
      <c r="A1" s="2" t="s">
        <v>0</v>
      </c>
      <c r="B1" s="2"/>
    </row>
    <row r="2" spans="1:2">
      <c r="A2" s="4"/>
      <c r="B2" s="4"/>
    </row>
    <row r="3" spans="1:2">
      <c r="A3" s="4" t="s">
        <v>1</v>
      </c>
      <c r="B3" s="4" t="s">
        <v>2</v>
      </c>
    </row>
    <row r="4" spans="1:2">
      <c r="A4" s="4"/>
      <c r="B4" s="4"/>
    </row>
    <row r="5" spans="1:2" ht="42">
      <c r="A5" s="4" t="s">
        <v>3</v>
      </c>
      <c r="B5" s="5" t="s">
        <v>4</v>
      </c>
    </row>
    <row r="7" spans="1:2">
      <c r="A7" s="4" t="s">
        <v>5</v>
      </c>
      <c r="B7" s="4" t="s">
        <v>6</v>
      </c>
    </row>
    <row r="8" spans="1:2" ht="42">
      <c r="A8" s="4"/>
      <c r="B8" s="5" t="s">
        <v>7</v>
      </c>
    </row>
    <row r="35" spans="1:2">
      <c r="A35" s="4" t="s">
        <v>8</v>
      </c>
      <c r="B35" s="4" t="s">
        <v>9</v>
      </c>
    </row>
    <row r="36" spans="1:2">
      <c r="A36" s="4" t="s">
        <v>10</v>
      </c>
      <c r="B36" s="4" t="s">
        <v>11</v>
      </c>
    </row>
    <row r="37" spans="1:2">
      <c r="A37" s="4" t="s">
        <v>12</v>
      </c>
      <c r="B37" s="4" t="s">
        <v>13</v>
      </c>
    </row>
    <row r="39" spans="1:2">
      <c r="A39" s="4" t="s">
        <v>8</v>
      </c>
      <c r="B39" s="4" t="s">
        <v>14</v>
      </c>
    </row>
    <row r="40" spans="1:2">
      <c r="A40" s="4" t="s">
        <v>10</v>
      </c>
      <c r="B40" s="4" t="s">
        <v>15</v>
      </c>
    </row>
    <row r="41" spans="1:2">
      <c r="A41" s="4"/>
      <c r="B41" s="4"/>
    </row>
    <row r="42" spans="1:2">
      <c r="A42" s="4" t="s">
        <v>8</v>
      </c>
      <c r="B42" s="4" t="s">
        <v>16</v>
      </c>
    </row>
    <row r="43" spans="1:2">
      <c r="A43" s="4" t="s">
        <v>17</v>
      </c>
      <c r="B43" s="4" t="s">
        <v>18</v>
      </c>
    </row>
    <row r="44" spans="1:2">
      <c r="A44" s="4" t="s">
        <v>12</v>
      </c>
      <c r="B44" s="4" t="s">
        <v>19</v>
      </c>
    </row>
    <row r="45" spans="1:2">
      <c r="A45" s="4"/>
      <c r="B45" s="4"/>
    </row>
    <row r="46" spans="1:2">
      <c r="A46" s="4" t="s">
        <v>8</v>
      </c>
      <c r="B46" s="4" t="s">
        <v>20</v>
      </c>
    </row>
    <row r="47" spans="1:2">
      <c r="A47" s="4" t="s">
        <v>21</v>
      </c>
      <c r="B47" s="4" t="s">
        <v>22</v>
      </c>
    </row>
    <row r="48" spans="1:2">
      <c r="A48" s="4" t="s">
        <v>12</v>
      </c>
      <c r="B48" s="4"/>
    </row>
    <row r="49" spans="1:3">
      <c r="A49" s="4"/>
      <c r="B49" s="4"/>
    </row>
    <row r="50" spans="1:3" ht="28">
      <c r="A50" s="6" t="s">
        <v>23</v>
      </c>
      <c r="B50" s="7" t="s">
        <v>24</v>
      </c>
      <c r="C50" s="8"/>
    </row>
    <row r="51" spans="1:3">
      <c r="A51" s="6"/>
      <c r="B51" s="6" t="s">
        <v>25</v>
      </c>
      <c r="C51" s="8"/>
    </row>
    <row r="52" spans="1:3">
      <c r="A52" s="6"/>
      <c r="B52" s="9" t="s">
        <v>26</v>
      </c>
      <c r="C52" s="8"/>
    </row>
  </sheetData>
  <sheetProtection sheet="1" objects="1" scenarios="1"/>
  <pageMargins left="0.74791666666666701" right="0.74791666666666701" top="0.39374999999999999" bottom="0.39374999999999999" header="0.51180555555555496" footer="0.51180555555555496"/>
  <pageSetup paperSize="9" firstPageNumber="0"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233"/>
  <sheetViews>
    <sheetView tabSelected="1" topLeftCell="B1" zoomScale="110" zoomScaleNormal="110" workbookViewId="0">
      <selection activeCell="D14" sqref="B10:D14"/>
    </sheetView>
  </sheetViews>
  <sheetFormatPr baseColWidth="10" defaultColWidth="8.83203125" defaultRowHeight="14"/>
  <cols>
    <col min="1" max="1" width="10.33203125" style="10" hidden="1" customWidth="1"/>
    <col min="2" max="2" width="13.5" customWidth="1"/>
    <col min="3" max="3" width="7.33203125" style="11" customWidth="1"/>
    <col min="4" max="4" width="107.83203125" style="12" customWidth="1"/>
    <col min="5" max="5" width="5.1640625" style="13" hidden="1" customWidth="1"/>
    <col min="6" max="6" width="33.33203125" style="14" customWidth="1"/>
    <col min="7" max="7" width="8.6640625" style="10" hidden="1" customWidth="1"/>
    <col min="8" max="8" width="8.6640625" style="15" hidden="1" customWidth="1"/>
    <col min="9" max="9" width="48.6640625" customWidth="1"/>
    <col min="10" max="10" width="15" style="16" hidden="1" customWidth="1"/>
    <col min="11" max="11" width="26" customWidth="1"/>
    <col min="12" max="12" width="33.1640625" customWidth="1"/>
    <col min="13" max="13" width="35.33203125" customWidth="1"/>
    <col min="14" max="14" width="25.6640625" customWidth="1"/>
    <col min="15" max="15" width="28.6640625" customWidth="1"/>
    <col min="16" max="25" width="15" customWidth="1"/>
    <col min="26" max="1025" width="8.83203125" customWidth="1"/>
  </cols>
  <sheetData>
    <row r="1" spans="1:25" ht="18">
      <c r="B1" s="461" t="str">
        <f>CONCATENATE("SAMM Assessment Interview: ",D11," For ",D10)</f>
        <v>SAMM Assessment Interview:  For COMPANY</v>
      </c>
      <c r="C1" s="461"/>
      <c r="D1" s="461"/>
      <c r="E1" s="461"/>
      <c r="F1" s="461"/>
      <c r="G1" s="461"/>
      <c r="H1" s="461"/>
      <c r="I1" s="461"/>
      <c r="J1" s="17"/>
      <c r="K1" s="18"/>
      <c r="L1" s="18"/>
      <c r="M1" s="18"/>
      <c r="N1" s="18"/>
      <c r="O1" s="18"/>
      <c r="P1" s="18"/>
      <c r="Q1" s="18"/>
      <c r="R1" s="18"/>
      <c r="S1" s="18"/>
      <c r="T1" s="18"/>
      <c r="U1" s="18"/>
      <c r="V1" s="18"/>
      <c r="W1" s="18"/>
      <c r="X1" s="18"/>
      <c r="Y1" s="18"/>
    </row>
    <row r="2" spans="1:25">
      <c r="B2" s="18"/>
      <c r="C2" s="19"/>
      <c r="D2" s="18"/>
      <c r="E2" s="20"/>
      <c r="F2" s="21"/>
      <c r="G2" s="20"/>
      <c r="H2" s="22"/>
      <c r="I2" s="23"/>
      <c r="J2" s="17"/>
      <c r="K2" s="18"/>
      <c r="L2" s="18"/>
      <c r="M2" s="18"/>
      <c r="N2" s="18"/>
      <c r="O2" s="18"/>
      <c r="P2" s="18"/>
      <c r="Q2" s="18"/>
      <c r="R2" s="18"/>
      <c r="S2" s="18"/>
      <c r="T2" s="18"/>
      <c r="U2" s="18"/>
      <c r="V2" s="18"/>
      <c r="W2" s="18"/>
      <c r="X2" s="18"/>
      <c r="Y2" s="18"/>
    </row>
    <row r="3" spans="1:25" ht="15" customHeight="1">
      <c r="B3" s="462" t="s">
        <v>27</v>
      </c>
      <c r="C3" s="462"/>
      <c r="D3" s="462"/>
      <c r="E3" s="462"/>
      <c r="F3" s="462"/>
      <c r="G3" s="462"/>
      <c r="H3" s="462"/>
      <c r="I3" s="462"/>
      <c r="J3" s="17"/>
      <c r="K3" s="18"/>
      <c r="M3" s="18"/>
      <c r="N3" s="18"/>
      <c r="O3" s="18"/>
      <c r="P3" s="18"/>
      <c r="Q3" s="18"/>
      <c r="R3" s="18"/>
      <c r="S3" s="18"/>
      <c r="T3" s="18"/>
      <c r="U3" s="18"/>
      <c r="V3" s="18"/>
      <c r="W3" s="18"/>
      <c r="X3" s="18"/>
      <c r="Y3" s="18"/>
    </row>
    <row r="4" spans="1:25" ht="15" customHeight="1">
      <c r="B4" s="463" t="s">
        <v>28</v>
      </c>
      <c r="C4" s="463"/>
      <c r="D4" s="463"/>
      <c r="E4" s="463"/>
      <c r="F4" s="463"/>
      <c r="G4" s="463"/>
      <c r="H4" s="463"/>
      <c r="I4" s="463"/>
      <c r="J4" s="17"/>
      <c r="L4" s="24" t="s">
        <v>29</v>
      </c>
      <c r="M4" s="24" t="s">
        <v>30</v>
      </c>
      <c r="N4" s="18"/>
      <c r="O4" s="18"/>
      <c r="P4" s="18"/>
      <c r="Q4" s="18"/>
      <c r="R4" s="18"/>
      <c r="S4" s="18"/>
      <c r="T4" s="18"/>
      <c r="U4" s="18"/>
      <c r="V4" s="18"/>
      <c r="W4" s="18"/>
      <c r="X4" s="18"/>
      <c r="Y4" s="18"/>
    </row>
    <row r="5" spans="1:25" ht="15" customHeight="1">
      <c r="B5" s="464" t="s">
        <v>557</v>
      </c>
      <c r="C5" s="464"/>
      <c r="D5" s="464"/>
      <c r="E5" s="464"/>
      <c r="F5" s="464"/>
      <c r="G5" s="464"/>
      <c r="H5" s="464"/>
      <c r="I5" s="464"/>
      <c r="J5" s="17"/>
      <c r="K5" s="18"/>
      <c r="L5" s="24" t="s">
        <v>31</v>
      </c>
      <c r="M5" s="24" t="s">
        <v>32</v>
      </c>
      <c r="N5" s="18"/>
      <c r="O5" s="18"/>
      <c r="P5" s="18"/>
      <c r="Q5" s="18"/>
      <c r="R5" s="18"/>
      <c r="S5" s="18"/>
      <c r="T5" s="18"/>
      <c r="U5" s="18"/>
      <c r="V5" s="18"/>
      <c r="W5" s="18"/>
      <c r="X5" s="18"/>
      <c r="Y5" s="18"/>
    </row>
    <row r="6" spans="1:25" ht="15" customHeight="1">
      <c r="B6" s="464" t="s">
        <v>33</v>
      </c>
      <c r="C6" s="464"/>
      <c r="D6" s="464"/>
      <c r="E6" s="464"/>
      <c r="F6" s="464"/>
      <c r="G6" s="464"/>
      <c r="H6" s="464"/>
      <c r="I6" s="464"/>
      <c r="J6" s="17"/>
      <c r="K6" s="18"/>
      <c r="L6" s="24" t="s">
        <v>34</v>
      </c>
      <c r="M6" s="24" t="s">
        <v>35</v>
      </c>
      <c r="N6" s="18"/>
      <c r="O6" s="18"/>
      <c r="P6" s="18"/>
      <c r="Q6" s="18"/>
      <c r="R6" s="18"/>
      <c r="S6" s="18"/>
      <c r="T6" s="18"/>
      <c r="U6" s="18"/>
      <c r="V6" s="18"/>
      <c r="W6" s="18"/>
      <c r="X6" s="18"/>
      <c r="Y6" s="18"/>
    </row>
    <row r="7" spans="1:25" ht="15" customHeight="1">
      <c r="B7" s="464" t="s">
        <v>36</v>
      </c>
      <c r="C7" s="464"/>
      <c r="D7" s="464"/>
      <c r="E7" s="464"/>
      <c r="F7" s="464"/>
      <c r="G7" s="464"/>
      <c r="H7" s="464"/>
      <c r="I7" s="464"/>
      <c r="J7" s="17"/>
      <c r="K7" s="18"/>
      <c r="L7" s="24" t="s">
        <v>37</v>
      </c>
      <c r="M7" s="24" t="s">
        <v>38</v>
      </c>
      <c r="N7" s="18"/>
      <c r="O7" s="18"/>
      <c r="P7" s="18"/>
      <c r="Q7" s="18"/>
      <c r="R7" s="18"/>
      <c r="S7" s="18"/>
      <c r="T7" s="18"/>
      <c r="U7" s="18"/>
      <c r="V7" s="18"/>
      <c r="W7" s="18"/>
      <c r="X7" s="18"/>
      <c r="Y7" s="18"/>
    </row>
    <row r="8" spans="1:25" ht="15.75" customHeight="1">
      <c r="B8" s="465" t="s">
        <v>39</v>
      </c>
      <c r="C8" s="465"/>
      <c r="D8" s="465"/>
      <c r="E8" s="465"/>
      <c r="F8" s="465"/>
      <c r="G8" s="465"/>
      <c r="H8" s="465"/>
      <c r="I8" s="465"/>
      <c r="J8" s="17"/>
      <c r="K8" s="18"/>
      <c r="M8" s="18"/>
      <c r="N8" s="18"/>
      <c r="O8" s="18"/>
      <c r="P8" s="18"/>
      <c r="Q8" s="18"/>
      <c r="R8" s="18"/>
      <c r="S8" s="18"/>
      <c r="T8" s="18"/>
      <c r="U8" s="18"/>
      <c r="V8" s="18"/>
      <c r="W8" s="18"/>
      <c r="X8" s="18"/>
      <c r="Y8" s="18"/>
    </row>
    <row r="9" spans="1:25">
      <c r="B9" s="18"/>
      <c r="C9" s="19"/>
      <c r="D9" s="18"/>
      <c r="E9" s="20"/>
      <c r="F9" s="21"/>
      <c r="G9" s="20"/>
      <c r="H9" s="22"/>
      <c r="I9" s="23"/>
      <c r="J9" s="17"/>
      <c r="K9" s="18"/>
      <c r="L9" s="18"/>
      <c r="M9" s="18"/>
      <c r="N9" s="18"/>
      <c r="O9" s="18"/>
      <c r="P9" s="18"/>
      <c r="Q9" s="18"/>
      <c r="R9" s="18"/>
      <c r="S9" s="18"/>
      <c r="T9" s="18"/>
      <c r="U9" s="18"/>
      <c r="V9" s="18"/>
      <c r="W9" s="18"/>
      <c r="X9" s="18"/>
      <c r="Y9" s="18"/>
    </row>
    <row r="10" spans="1:25" ht="15" hidden="1" customHeight="1">
      <c r="B10" s="466" t="s">
        <v>40</v>
      </c>
      <c r="C10" s="466"/>
      <c r="D10" s="25" t="s">
        <v>558</v>
      </c>
      <c r="E10" s="20"/>
      <c r="F10" s="21"/>
      <c r="G10" s="20"/>
      <c r="H10" s="22"/>
      <c r="I10" s="23"/>
      <c r="J10" s="17"/>
      <c r="K10" s="18"/>
      <c r="L10" s="18"/>
      <c r="M10" s="18"/>
      <c r="N10" s="18"/>
      <c r="O10" s="18"/>
      <c r="P10" s="18"/>
      <c r="Q10" s="18"/>
      <c r="R10" s="18"/>
      <c r="S10" s="18"/>
      <c r="T10" s="18"/>
      <c r="U10" s="18"/>
      <c r="V10" s="18"/>
      <c r="W10" s="18"/>
      <c r="X10" s="18"/>
      <c r="Y10" s="18"/>
    </row>
    <row r="11" spans="1:25" ht="15" hidden="1" customHeight="1">
      <c r="B11" s="457" t="s">
        <v>41</v>
      </c>
      <c r="C11" s="457"/>
      <c r="D11" s="26"/>
      <c r="E11" s="20"/>
      <c r="F11" s="21"/>
      <c r="G11" s="20"/>
      <c r="H11" s="22"/>
      <c r="I11" s="23"/>
      <c r="J11" s="17"/>
      <c r="K11" s="18"/>
      <c r="L11" s="18"/>
      <c r="M11" s="18"/>
      <c r="N11" s="18"/>
      <c r="O11" s="18"/>
      <c r="P11" s="18"/>
      <c r="Q11" s="18"/>
      <c r="R11" s="18"/>
      <c r="S11" s="18"/>
      <c r="T11" s="18"/>
      <c r="U11" s="18"/>
      <c r="V11" s="18"/>
      <c r="W11" s="18"/>
      <c r="X11" s="18"/>
      <c r="Y11" s="18"/>
    </row>
    <row r="12" spans="1:25" ht="15" hidden="1" customHeight="1">
      <c r="B12" s="457" t="s">
        <v>42</v>
      </c>
      <c r="C12" s="457"/>
      <c r="D12" s="27"/>
      <c r="E12" s="28"/>
      <c r="F12" s="21"/>
      <c r="G12" s="20"/>
      <c r="H12" s="22"/>
      <c r="I12" s="23"/>
      <c r="J12" s="17"/>
      <c r="K12" s="18"/>
      <c r="L12" s="18"/>
      <c r="M12" s="18"/>
      <c r="N12" s="18"/>
      <c r="O12" s="18"/>
      <c r="P12" s="18"/>
      <c r="Q12" s="18"/>
      <c r="R12" s="18"/>
      <c r="S12" s="18"/>
      <c r="T12" s="18"/>
      <c r="U12" s="18"/>
      <c r="V12" s="18"/>
      <c r="W12" s="18"/>
      <c r="X12" s="18"/>
      <c r="Y12" s="18"/>
    </row>
    <row r="13" spans="1:25" ht="15" hidden="1" customHeight="1">
      <c r="B13" s="457" t="s">
        <v>43</v>
      </c>
      <c r="C13" s="457"/>
      <c r="D13" s="26"/>
      <c r="E13" s="20"/>
      <c r="F13" s="21"/>
      <c r="G13" s="20"/>
      <c r="H13" s="22"/>
      <c r="I13" s="23"/>
      <c r="J13" s="17"/>
      <c r="K13" s="18"/>
      <c r="L13" s="18"/>
      <c r="M13" s="18"/>
      <c r="N13" s="18"/>
      <c r="O13" s="18"/>
      <c r="P13" s="18"/>
      <c r="Q13" s="18"/>
      <c r="R13" s="18"/>
      <c r="S13" s="18"/>
      <c r="T13" s="18"/>
      <c r="U13" s="18"/>
      <c r="V13" s="18"/>
      <c r="W13" s="18"/>
      <c r="X13" s="18"/>
      <c r="Y13" s="18"/>
    </row>
    <row r="14" spans="1:25" ht="48.75" customHeight="1">
      <c r="A14" s="29"/>
      <c r="B14" s="458" t="s">
        <v>44</v>
      </c>
      <c r="C14" s="458"/>
      <c r="D14" s="30" t="s">
        <v>560</v>
      </c>
      <c r="E14" s="31"/>
      <c r="F14" s="32" t="s">
        <v>45</v>
      </c>
      <c r="G14" s="33"/>
      <c r="H14" s="34"/>
      <c r="I14" s="35">
        <v>0.46875</v>
      </c>
      <c r="J14" s="36"/>
      <c r="K14" s="37" t="s">
        <v>559</v>
      </c>
      <c r="L14" s="38" t="s">
        <v>46</v>
      </c>
      <c r="M14" s="38" t="s">
        <v>47</v>
      </c>
      <c r="N14" s="18"/>
      <c r="O14" s="18"/>
      <c r="P14" s="18"/>
      <c r="Q14" s="18"/>
      <c r="R14" s="18"/>
      <c r="S14" s="18"/>
      <c r="T14" s="18"/>
      <c r="U14" s="18"/>
      <c r="V14" s="18"/>
      <c r="W14" s="18"/>
      <c r="X14" s="18"/>
      <c r="Y14" s="18"/>
    </row>
    <row r="15" spans="1:25">
      <c r="B15" s="18"/>
      <c r="C15" s="19"/>
      <c r="D15" s="18"/>
      <c r="E15" s="20"/>
      <c r="F15" s="21"/>
      <c r="G15" s="20"/>
      <c r="H15" s="22"/>
      <c r="I15" s="23"/>
      <c r="J15" s="17"/>
      <c r="K15" s="18"/>
      <c r="L15" s="18"/>
      <c r="M15" s="18"/>
      <c r="N15" s="18"/>
      <c r="O15" s="18"/>
      <c r="P15" s="18"/>
      <c r="Q15" s="18"/>
      <c r="R15" s="18"/>
      <c r="S15" s="18"/>
      <c r="T15" s="18"/>
      <c r="U15" s="18"/>
      <c r="V15" s="18"/>
      <c r="W15" s="18"/>
      <c r="X15" s="18"/>
      <c r="Y15" s="18"/>
    </row>
    <row r="16" spans="1:25" ht="12.75" customHeight="1">
      <c r="B16" s="459" t="s">
        <v>48</v>
      </c>
      <c r="C16" s="459"/>
      <c r="D16" s="459"/>
      <c r="E16" s="459"/>
      <c r="F16" s="459"/>
      <c r="G16" s="459"/>
      <c r="H16" s="459"/>
      <c r="I16" s="459"/>
      <c r="J16" s="459"/>
      <c r="K16" s="459"/>
      <c r="L16" s="459"/>
      <c r="M16" s="459"/>
      <c r="P16" s="18"/>
      <c r="Q16" s="18"/>
      <c r="R16" s="18"/>
      <c r="S16" s="18"/>
      <c r="T16" s="18"/>
      <c r="U16" s="18"/>
      <c r="V16" s="18"/>
      <c r="W16" s="18"/>
      <c r="X16" s="18"/>
      <c r="Y16" s="18"/>
    </row>
    <row r="17" spans="1:25">
      <c r="B17" s="39" t="s">
        <v>49</v>
      </c>
      <c r="C17" s="40" t="s">
        <v>50</v>
      </c>
      <c r="D17" s="41" t="s">
        <v>51</v>
      </c>
      <c r="E17" s="42"/>
      <c r="F17" s="43" t="s">
        <v>52</v>
      </c>
      <c r="G17" s="43"/>
      <c r="H17" s="44"/>
      <c r="I17" s="45" t="s">
        <v>53</v>
      </c>
      <c r="J17" s="46" t="s">
        <v>54</v>
      </c>
      <c r="K17" s="39"/>
      <c r="L17" s="40"/>
      <c r="M17" s="41"/>
      <c r="P17" s="18"/>
      <c r="Q17" s="18"/>
      <c r="R17" s="18"/>
      <c r="S17" s="18"/>
      <c r="T17" s="18"/>
      <c r="U17" s="18"/>
      <c r="V17" s="18"/>
      <c r="W17" s="18"/>
      <c r="X17" s="18"/>
      <c r="Y17" s="18"/>
    </row>
    <row r="18" spans="1:25" ht="28">
      <c r="A18" s="47" t="s">
        <v>55</v>
      </c>
      <c r="B18" s="450" t="str">
        <f>VLOOKUP(A18,'imp-questions'!A:H,4,0)</f>
        <v>Create and Promote</v>
      </c>
      <c r="C18" s="48">
        <f>VLOOKUP(A18,'imp-questions'!A:H,5,0)</f>
        <v>1</v>
      </c>
      <c r="D18" s="49" t="str">
        <f>VLOOKUP(A18,'imp-questions'!A:H,6,0)</f>
        <v>Do you understand the enterprise-wide risk appetite for your applications ?</v>
      </c>
      <c r="E18" s="50" t="str">
        <f>CHAR(65+VLOOKUP(A18,'imp-questions'!A:H,8,0))</f>
        <v>Y</v>
      </c>
      <c r="F18" s="51" t="s">
        <v>56</v>
      </c>
      <c r="G18" s="52">
        <f>IFERROR(VLOOKUP(F18,AnsYTBL,2,0),0)</f>
        <v>0.5</v>
      </c>
      <c r="H18" s="53">
        <f>IFERROR(AVERAGE(G18,G25),0)</f>
        <v>0.75</v>
      </c>
      <c r="I18" s="433"/>
      <c r="J18" s="460">
        <f>SUM(H18,H20,H22)</f>
        <v>1.25</v>
      </c>
      <c r="K18" s="392"/>
      <c r="L18" s="393"/>
      <c r="M18" s="394"/>
      <c r="N18" s="31"/>
      <c r="O18" s="31"/>
      <c r="P18" s="18"/>
      <c r="Q18" s="18"/>
      <c r="R18" s="18"/>
      <c r="S18" s="18"/>
      <c r="T18" s="18"/>
      <c r="U18" s="18"/>
      <c r="V18" s="18"/>
      <c r="W18" s="18"/>
      <c r="X18" s="18"/>
      <c r="Y18" s="18"/>
    </row>
    <row r="19" spans="1:25" ht="59" customHeight="1">
      <c r="B19" s="450"/>
      <c r="C19" s="54"/>
      <c r="D19" s="55" t="str">
        <f>VLOOKUP(A18,'imp-questions'!A:H,7,0)</f>
        <v>You capture the risk appetite of your organization's executive leadership
The organization's leadership vet and approve the set of risks
You identify the main business and technical threats to your assets and data
You document risks and store them in an accessible location</v>
      </c>
      <c r="E19" s="56"/>
      <c r="F19" s="57"/>
      <c r="G19" s="58"/>
      <c r="H19" s="59"/>
      <c r="I19" s="433"/>
      <c r="J19" s="460"/>
      <c r="K19" s="392"/>
      <c r="L19" s="393"/>
      <c r="M19" s="394"/>
      <c r="N19" s="31"/>
      <c r="O19" s="31"/>
      <c r="P19" s="18"/>
      <c r="Q19" s="18"/>
      <c r="R19" s="18"/>
      <c r="S19" s="18"/>
      <c r="T19" s="18"/>
      <c r="U19" s="18"/>
      <c r="V19" s="18"/>
      <c r="W19" s="18"/>
      <c r="X19" s="18"/>
      <c r="Y19" s="18"/>
    </row>
    <row r="20" spans="1:25" ht="28">
      <c r="A20" s="47" t="s">
        <v>57</v>
      </c>
      <c r="B20" s="450"/>
      <c r="C20" s="48">
        <f>VLOOKUP(A20,'imp-questions'!A:H,5,0)</f>
        <v>2</v>
      </c>
      <c r="D20" s="49" t="str">
        <f>VLOOKUP(A20,'imp-questions'!A:H,6,0)</f>
        <v>Do you have a strategic plan for application security and use it to make decisions?</v>
      </c>
      <c r="E20" s="60" t="str">
        <f>CHAR(65+VLOOKUP(A20,'imp-questions'!A:H,8,0))</f>
        <v>V</v>
      </c>
      <c r="F20" s="61" t="s">
        <v>58</v>
      </c>
      <c r="G20" s="62">
        <f>IFERROR(VLOOKUP(F20,AnsVTBL,2,0),0)</f>
        <v>0.5</v>
      </c>
      <c r="H20" s="63">
        <f>IFERROR(AVERAGE(G20,G27),0)</f>
        <v>0.25</v>
      </c>
      <c r="I20" s="445"/>
      <c r="J20" s="64"/>
      <c r="K20" s="455"/>
      <c r="L20" s="393"/>
      <c r="M20" s="394"/>
      <c r="N20" s="31"/>
      <c r="O20" s="31"/>
      <c r="P20" s="18"/>
      <c r="Q20" s="18"/>
      <c r="R20" s="18"/>
      <c r="S20" s="18"/>
      <c r="T20" s="18"/>
      <c r="U20" s="18"/>
      <c r="V20" s="18"/>
      <c r="W20" s="18"/>
      <c r="X20" s="18"/>
      <c r="Y20" s="18"/>
    </row>
    <row r="21" spans="1:25" ht="72" customHeight="1">
      <c r="B21" s="450"/>
      <c r="C21" s="65"/>
      <c r="D21" s="55" t="str">
        <f>VLOOKUP(A20,'imp-questions'!A:H,7,0)</f>
        <v>The plan reflects the organization's business priorities and risk appetite
The plan includes measurable milestones and a budget
The plan is consistent with the organization's business drivers and risks
The plan lays out a roadmap for strategic and tactical initiatives
You have buy-in from stakeholders, including development teams</v>
      </c>
      <c r="E21" s="56"/>
      <c r="F21" s="66"/>
      <c r="G21" s="58"/>
      <c r="H21" s="67"/>
      <c r="I21" s="445"/>
      <c r="J21" s="64"/>
      <c r="K21" s="455"/>
      <c r="L21" s="393"/>
      <c r="M21" s="394"/>
      <c r="N21" s="31"/>
      <c r="O21" s="31"/>
      <c r="P21" s="18"/>
      <c r="Q21" s="18"/>
      <c r="R21" s="18"/>
      <c r="S21" s="18"/>
      <c r="T21" s="18"/>
      <c r="U21" s="18"/>
      <c r="V21" s="18"/>
      <c r="W21" s="18"/>
      <c r="X21" s="18"/>
      <c r="Y21" s="18"/>
    </row>
    <row r="22" spans="1:25">
      <c r="A22" s="47" t="s">
        <v>59</v>
      </c>
      <c r="B22" s="450"/>
      <c r="C22" s="48">
        <f>VLOOKUP(A22,'imp-questions'!A:H,5,0)</f>
        <v>3</v>
      </c>
      <c r="D22" s="49" t="str">
        <f>VLOOKUP(A22,'imp-questions'!A:H,6,0)</f>
        <v>Do you regularly review and update the Strategic Plan for Application Security?</v>
      </c>
      <c r="E22" s="60" t="str">
        <f>CHAR(65+VLOOKUP(A22,'imp-questions'!A:H,8,0))</f>
        <v>N</v>
      </c>
      <c r="F22" s="61" t="s">
        <v>60</v>
      </c>
      <c r="G22" s="62">
        <f>IFERROR(VLOOKUP(F22,AnsNTBL,2,0),0)</f>
        <v>0.25</v>
      </c>
      <c r="H22" s="63">
        <f>IFERROR(AVERAGE(G22,G29),0)</f>
        <v>0.25</v>
      </c>
      <c r="I22" s="433"/>
      <c r="J22" s="64"/>
      <c r="K22" s="392"/>
      <c r="L22" s="393"/>
      <c r="M22" s="394"/>
      <c r="N22" s="31"/>
      <c r="O22" s="31"/>
      <c r="P22" s="18"/>
      <c r="Q22" s="18"/>
      <c r="R22" s="18"/>
      <c r="S22" s="18"/>
      <c r="T22" s="18"/>
      <c r="U22" s="18"/>
      <c r="V22" s="18"/>
      <c r="W22" s="18"/>
      <c r="X22" s="18"/>
      <c r="Y22" s="18"/>
    </row>
    <row r="23" spans="1:25" ht="60" customHeight="1">
      <c r="B23" s="450"/>
      <c r="C23" s="54"/>
      <c r="D23" s="68" t="str">
        <f>VLOOKUP(A22,'imp-questions'!A:H,7,0)</f>
        <v>You review and update the plan in response to significant changes in the business environment, the organization, or its risk appetite
Plan update steps include reviewing the plan with all the stakeholders and updating the business drivers and strategies
You adjust the plan and roadmap based on lessons learned from completed roadmap activities
You publish progress information on roadmap activities, making sure they are available to all stakeholders</v>
      </c>
      <c r="E23" s="69"/>
      <c r="F23" s="70"/>
      <c r="G23" s="71"/>
      <c r="H23" s="72"/>
      <c r="I23" s="433"/>
      <c r="J23" s="64"/>
      <c r="K23" s="392"/>
      <c r="L23" s="393"/>
      <c r="M23" s="394"/>
      <c r="N23" s="31"/>
      <c r="O23" s="31"/>
      <c r="P23" s="18"/>
      <c r="Q23" s="18"/>
      <c r="R23" s="18"/>
      <c r="S23" s="18"/>
      <c r="T23" s="18"/>
      <c r="U23" s="18"/>
      <c r="V23" s="18"/>
      <c r="W23" s="18"/>
      <c r="X23" s="18"/>
      <c r="Y23" s="18"/>
    </row>
    <row r="24" spans="1:25">
      <c r="B24" s="73"/>
      <c r="C24" s="74"/>
      <c r="D24" s="74"/>
      <c r="E24" s="74"/>
      <c r="F24" s="74"/>
      <c r="G24" s="74"/>
      <c r="H24" s="74"/>
      <c r="I24" s="74"/>
      <c r="J24" s="75"/>
      <c r="K24" s="74"/>
      <c r="L24" s="74"/>
      <c r="M24" s="76"/>
      <c r="N24" s="31"/>
      <c r="O24" s="31"/>
      <c r="P24" s="18"/>
      <c r="Q24" s="18"/>
      <c r="R24" s="18"/>
      <c r="S24" s="18"/>
      <c r="T24" s="18"/>
      <c r="U24" s="18"/>
      <c r="V24" s="18"/>
      <c r="W24" s="18"/>
      <c r="X24" s="18"/>
      <c r="Y24" s="18"/>
    </row>
    <row r="25" spans="1:25" ht="28">
      <c r="A25" s="47" t="s">
        <v>61</v>
      </c>
      <c r="B25" s="456" t="str">
        <f>VLOOKUP(A25,'imp-questions'!A:H,4,0)</f>
        <v>Measure and Improve</v>
      </c>
      <c r="C25" s="77">
        <f>VLOOKUP(A25,'imp-questions'!A:H,5,0)</f>
        <v>1</v>
      </c>
      <c r="D25" s="78" t="str">
        <f>VLOOKUP(A25,'imp-questions'!A:H,6,0)</f>
        <v>Do you use a set of metrics to measure the effectiveness and efficiency of the application security program across applications?</v>
      </c>
      <c r="E25" s="60" t="str">
        <f>CHAR(65+VLOOKUP(A25,'imp-questions'!A:H,8,0))</f>
        <v>K</v>
      </c>
      <c r="F25" s="61" t="s">
        <v>62</v>
      </c>
      <c r="G25" s="62">
        <f>IFERROR(VLOOKUP(F25,AnsKTBL,2,0),0)</f>
        <v>1</v>
      </c>
      <c r="H25" s="79"/>
      <c r="I25" s="453"/>
      <c r="J25" s="64"/>
      <c r="K25" s="454"/>
      <c r="L25" s="393"/>
      <c r="M25" s="394"/>
      <c r="N25" s="31"/>
      <c r="O25" s="31"/>
      <c r="P25" s="18"/>
      <c r="Q25" s="18"/>
      <c r="R25" s="18"/>
      <c r="S25" s="18"/>
      <c r="T25" s="18"/>
      <c r="U25" s="18"/>
      <c r="V25" s="18"/>
      <c r="W25" s="18"/>
      <c r="X25" s="18"/>
      <c r="Y25" s="18"/>
    </row>
    <row r="26" spans="1:25" ht="71" customHeight="1">
      <c r="B26" s="456"/>
      <c r="C26" s="54"/>
      <c r="D26" s="68" t="str">
        <f>VLOOKUP(A25,'imp-questions'!A:H,7,0)</f>
        <v>You document each metric, including a description of the sources, measurement coverage, and guidance on how to use it to explain application security trends
Metrics include measures of efforts, results, and the environment measurement categories
Most of the metrics are frequently measured, easy or inexpensive to gather, and expressed as a cardinal number or a percentage
Application security and development teams publish metrics</v>
      </c>
      <c r="E26" s="69"/>
      <c r="F26" s="66"/>
      <c r="G26" s="58"/>
      <c r="H26" s="67"/>
      <c r="I26" s="453"/>
      <c r="J26" s="64"/>
      <c r="K26" s="454"/>
      <c r="L26" s="393"/>
      <c r="M26" s="394"/>
      <c r="N26" s="31"/>
      <c r="O26" s="31"/>
      <c r="P26" s="18"/>
      <c r="Q26" s="18"/>
      <c r="R26" s="18"/>
      <c r="S26" s="18"/>
      <c r="T26" s="18"/>
      <c r="U26" s="18"/>
      <c r="V26" s="18"/>
      <c r="W26" s="18"/>
      <c r="X26" s="18"/>
      <c r="Y26" s="18"/>
    </row>
    <row r="27" spans="1:25">
      <c r="A27" s="47" t="s">
        <v>63</v>
      </c>
      <c r="B27" s="456"/>
      <c r="C27" s="48">
        <f>VLOOKUP(A27,'imp-questions'!A:H,5,0)</f>
        <v>2</v>
      </c>
      <c r="D27" s="49" t="str">
        <f>VLOOKUP(A27,'imp-questions'!A:H,6,0)</f>
        <v>Did you define Key Perfomance Indicators (KPI) from available application security metrics?</v>
      </c>
      <c r="E27" s="50" t="str">
        <f>CHAR(65+VLOOKUP(A27,'imp-questions'!A:H,8,0))</f>
        <v>B</v>
      </c>
      <c r="F27" s="61" t="s">
        <v>64</v>
      </c>
      <c r="G27" s="62">
        <f>IFERROR(VLOOKUP(F27,AnsBTBL,2,0),0)</f>
        <v>0</v>
      </c>
      <c r="H27" s="63"/>
      <c r="I27" s="433"/>
      <c r="J27" s="64"/>
      <c r="K27" s="392"/>
      <c r="L27" s="393"/>
      <c r="M27" s="394"/>
      <c r="N27" s="31"/>
      <c r="O27" s="31"/>
      <c r="P27" s="18"/>
      <c r="Q27" s="18"/>
      <c r="R27" s="18"/>
      <c r="S27" s="18"/>
      <c r="T27" s="18"/>
      <c r="U27" s="18"/>
      <c r="V27" s="18"/>
      <c r="W27" s="18"/>
      <c r="X27" s="18"/>
      <c r="Y27" s="18"/>
    </row>
    <row r="28" spans="1:25" ht="60" customHeight="1">
      <c r="B28" s="456"/>
      <c r="C28" s="65"/>
      <c r="D28" s="55" t="str">
        <f>VLOOKUP(A27,'imp-questions'!A:H,7,0)</f>
        <v>You defined KPIs after gathering enough information to establish realistic objectives
You developed KPIs with the buy-in from the leadership and teams responsible for application security
KPIs are available to the application teams and include acceptability thresholds and guidance in case teams need to take action
Success of the application security program is clearly visible based on defined KPIs</v>
      </c>
      <c r="E28" s="56"/>
      <c r="F28" s="66"/>
      <c r="G28" s="58"/>
      <c r="H28" s="67"/>
      <c r="I28" s="433"/>
      <c r="J28" s="64"/>
      <c r="K28" s="392"/>
      <c r="L28" s="393"/>
      <c r="M28" s="394"/>
      <c r="N28" s="31"/>
      <c r="O28" s="31"/>
      <c r="P28" s="18"/>
      <c r="Q28" s="18"/>
      <c r="R28" s="18"/>
      <c r="S28" s="18"/>
      <c r="T28" s="18"/>
      <c r="U28" s="18"/>
      <c r="V28" s="18"/>
      <c r="W28" s="18"/>
      <c r="X28" s="18"/>
      <c r="Y28" s="18"/>
    </row>
    <row r="29" spans="1:25">
      <c r="A29" s="47" t="s">
        <v>65</v>
      </c>
      <c r="B29" s="456"/>
      <c r="C29" s="48">
        <f>VLOOKUP(A29,'imp-questions'!A:H,5,0)</f>
        <v>3</v>
      </c>
      <c r="D29" s="49" t="str">
        <f>VLOOKUP(A29,'imp-questions'!A:H,6,0)</f>
        <v>Do you update the Application Security strategy and roadmap based on application security metrics and KPIs?</v>
      </c>
      <c r="E29" s="50" t="str">
        <f>CHAR(65+VLOOKUP(A29,'imp-questions'!A:H,8,0))</f>
        <v>N</v>
      </c>
      <c r="F29" s="61" t="s">
        <v>60</v>
      </c>
      <c r="G29" s="62">
        <f>IFERROR(VLOOKUP(F29,AnsNTBL,2,0),0)</f>
        <v>0.25</v>
      </c>
      <c r="H29" s="63"/>
      <c r="I29" s="433"/>
      <c r="J29" s="64"/>
      <c r="K29" s="392"/>
      <c r="L29" s="393"/>
      <c r="M29" s="394"/>
      <c r="N29" s="31"/>
      <c r="O29" s="31"/>
      <c r="P29" s="18"/>
      <c r="Q29" s="18"/>
      <c r="R29" s="18"/>
      <c r="S29" s="18"/>
      <c r="T29" s="18"/>
      <c r="U29" s="18"/>
      <c r="V29" s="18"/>
      <c r="W29" s="18"/>
      <c r="X29" s="18"/>
      <c r="Y29" s="18"/>
    </row>
    <row r="30" spans="1:25" ht="38" customHeight="1">
      <c r="B30" s="456"/>
      <c r="C30" s="54"/>
      <c r="D30" s="68" t="str">
        <f>VLOOKUP(A29,'imp-questions'!A:H,7,0)</f>
        <v>You review KPIs at least yearly for their efficiency and effectiveness
KPIs and application security metrics trigger most of the changes to the application security strategy</v>
      </c>
      <c r="E30" s="69"/>
      <c r="F30" s="70"/>
      <c r="G30" s="71"/>
      <c r="H30" s="72"/>
      <c r="I30" s="433"/>
      <c r="J30" s="64"/>
      <c r="K30" s="392"/>
      <c r="L30" s="393"/>
      <c r="M30" s="394"/>
      <c r="N30" s="31"/>
      <c r="O30" s="31"/>
      <c r="P30" s="18"/>
      <c r="Q30" s="18"/>
      <c r="R30" s="18"/>
      <c r="S30" s="18"/>
      <c r="T30" s="18"/>
      <c r="U30" s="18"/>
      <c r="V30" s="18"/>
      <c r="W30" s="18"/>
      <c r="X30" s="18"/>
      <c r="Y30" s="18"/>
    </row>
    <row r="31" spans="1:25" ht="12.75" customHeight="1">
      <c r="B31" s="446" t="s">
        <v>66</v>
      </c>
      <c r="C31" s="446"/>
      <c r="D31" s="446"/>
      <c r="E31" s="80"/>
      <c r="F31" s="81" t="s">
        <v>52</v>
      </c>
      <c r="G31" s="81"/>
      <c r="H31" s="82"/>
      <c r="I31" s="83" t="s">
        <v>53</v>
      </c>
      <c r="J31" s="84" t="s">
        <v>54</v>
      </c>
      <c r="K31" s="85"/>
      <c r="L31" s="86"/>
      <c r="M31" s="87"/>
      <c r="N31" s="31"/>
      <c r="O31" s="31"/>
      <c r="P31" s="18"/>
      <c r="Q31" s="18"/>
      <c r="R31" s="18"/>
      <c r="S31" s="18"/>
      <c r="T31" s="18"/>
      <c r="U31" s="18"/>
      <c r="V31" s="18"/>
      <c r="W31" s="18"/>
      <c r="X31" s="18"/>
      <c r="Y31" s="18"/>
    </row>
    <row r="32" spans="1:25">
      <c r="A32" s="47" t="s">
        <v>67</v>
      </c>
      <c r="B32" s="447" t="str">
        <f>VLOOKUP(A32,'imp-questions'!A:H,4,0)</f>
        <v>Policy &amp; Standards</v>
      </c>
      <c r="C32" s="77">
        <f>VLOOKUP(A32,'imp-questions'!A:H,5,0)</f>
        <v>1</v>
      </c>
      <c r="D32" s="78" t="str">
        <f>VLOOKUP(A32,'imp-questions'!A:H,6,0)</f>
        <v>Do you have and apply a common set of policies and standards throughout your organization?</v>
      </c>
      <c r="E32" s="60" t="str">
        <f>CHAR(65+VLOOKUP(A32,'imp-questions'!A:H,8,0))</f>
        <v>F</v>
      </c>
      <c r="F32" s="61" t="s">
        <v>68</v>
      </c>
      <c r="G32" s="62">
        <f>IFERROR(VLOOKUP(F32,AnsFTBL,2,0),0)</f>
        <v>1</v>
      </c>
      <c r="H32" s="79">
        <f>IFERROR(AVERAGE(G32,G39),0)</f>
        <v>0.5</v>
      </c>
      <c r="I32" s="453"/>
      <c r="J32" s="448">
        <f>SUM(H32,H34,H36)</f>
        <v>1.375</v>
      </c>
      <c r="K32" s="454"/>
      <c r="L32" s="393"/>
      <c r="M32" s="394"/>
      <c r="N32" s="31"/>
      <c r="O32" s="31"/>
      <c r="P32" s="18"/>
      <c r="Q32" s="18"/>
      <c r="R32" s="18"/>
      <c r="S32" s="18"/>
      <c r="T32" s="18"/>
      <c r="U32" s="18"/>
      <c r="V32" s="18"/>
      <c r="W32" s="18"/>
      <c r="X32" s="18"/>
      <c r="Y32" s="18"/>
    </row>
    <row r="33" spans="1:25" ht="36" customHeight="1">
      <c r="B33" s="447"/>
      <c r="C33" s="54"/>
      <c r="D33" s="68" t="str">
        <f>VLOOKUP(A32,'imp-questions'!A:H,7,0)</f>
        <v>You have adapted existing standards appropriate for the organization’s industry to account for domain-specific considerations
Your standards are aligned with your policies and incorporate technology-specific implementation guidance</v>
      </c>
      <c r="E33" s="69"/>
      <c r="F33" s="66"/>
      <c r="G33" s="58"/>
      <c r="H33" s="59"/>
      <c r="I33" s="453"/>
      <c r="J33" s="448"/>
      <c r="K33" s="454"/>
      <c r="L33" s="393"/>
      <c r="M33" s="394"/>
      <c r="N33" s="31"/>
      <c r="O33" s="31"/>
      <c r="P33" s="18"/>
      <c r="Q33" s="18"/>
      <c r="R33" s="18"/>
      <c r="S33" s="18"/>
      <c r="T33" s="18"/>
      <c r="U33" s="18"/>
      <c r="V33" s="18"/>
      <c r="W33" s="18"/>
      <c r="X33" s="18"/>
      <c r="Y33" s="18"/>
    </row>
    <row r="34" spans="1:25">
      <c r="A34" s="47" t="s">
        <v>69</v>
      </c>
      <c r="B34" s="447"/>
      <c r="C34" s="48">
        <f>VLOOKUP(A34,'imp-questions'!A:H,5,0)</f>
        <v>2</v>
      </c>
      <c r="D34" s="49" t="str">
        <f>VLOOKUP(A34,'imp-questions'!A:H,6,0)</f>
        <v>Do you publish the organization's policies as test scripts or run-books for easy interpretation by development teams?</v>
      </c>
      <c r="E34" s="50" t="str">
        <f>CHAR(65+VLOOKUP(A34,'imp-questions'!A:H,8,0))</f>
        <v>A</v>
      </c>
      <c r="F34" s="51" t="s">
        <v>70</v>
      </c>
      <c r="G34" s="62">
        <f>IFERROR(VLOOKUP(F34,AnsATBL,2,0),0)</f>
        <v>0.25</v>
      </c>
      <c r="H34" s="63">
        <f>IFERROR(AVERAGE(G34,G41),0)</f>
        <v>0.375</v>
      </c>
      <c r="I34" s="445"/>
      <c r="J34" s="64"/>
      <c r="K34" s="455"/>
      <c r="L34" s="393"/>
      <c r="M34" s="394"/>
      <c r="N34" s="31"/>
      <c r="O34" s="31"/>
      <c r="P34" s="18"/>
      <c r="Q34" s="18"/>
      <c r="R34" s="18"/>
      <c r="S34" s="18"/>
      <c r="T34" s="18"/>
      <c r="U34" s="18"/>
      <c r="V34" s="18"/>
      <c r="W34" s="18"/>
      <c r="X34" s="18"/>
      <c r="Y34" s="18"/>
    </row>
    <row r="35" spans="1:25" ht="43" customHeight="1">
      <c r="B35" s="447"/>
      <c r="C35" s="54"/>
      <c r="D35" s="68" t="str">
        <f>VLOOKUP(A34,'imp-questions'!A:H,7,0)</f>
        <v>You create verification checklists and test scripts where applicable, aligned with the policy's requirements and the implementation guidance in the associated standards
You create versions adapted to each development methodology and technology the organization uses</v>
      </c>
      <c r="E35" s="69"/>
      <c r="F35" s="66"/>
      <c r="G35" s="58"/>
      <c r="H35" s="67"/>
      <c r="I35" s="445"/>
      <c r="J35" s="64"/>
      <c r="K35" s="455"/>
      <c r="L35" s="393"/>
      <c r="M35" s="394"/>
      <c r="N35" s="31"/>
      <c r="O35" s="31"/>
      <c r="P35" s="18"/>
      <c r="Q35" s="18"/>
      <c r="R35" s="18"/>
      <c r="S35" s="18"/>
      <c r="T35" s="18"/>
      <c r="U35" s="18"/>
      <c r="V35" s="18"/>
      <c r="W35" s="18"/>
      <c r="X35" s="18"/>
      <c r="Y35" s="18"/>
    </row>
    <row r="36" spans="1:25">
      <c r="A36" s="47" t="s">
        <v>71</v>
      </c>
      <c r="B36" s="447"/>
      <c r="C36" s="48">
        <f>VLOOKUP(A36,'imp-questions'!A:H,5,0)</f>
        <v>3</v>
      </c>
      <c r="D36" s="49" t="str">
        <f>VLOOKUP(A36,'imp-questions'!A:H,6,0)</f>
        <v>Do you regularly report on policy and standard compliance, and use that information to guide compliance improvement efforts?</v>
      </c>
      <c r="E36" s="50" t="str">
        <f>CHAR(65+VLOOKUP(A36,'imp-questions'!A:H,8,0))</f>
        <v>E</v>
      </c>
      <c r="F36" s="51" t="s">
        <v>72</v>
      </c>
      <c r="G36" s="62">
        <f>IFERROR(VLOOKUP(F36,AnsETBL,2,0),0)</f>
        <v>0.5</v>
      </c>
      <c r="H36" s="63">
        <f>IFERROR(AVERAGE(G36,G43),0)</f>
        <v>0.5</v>
      </c>
      <c r="I36" s="445"/>
      <c r="J36" s="64"/>
      <c r="K36" s="455"/>
      <c r="L36" s="393"/>
      <c r="M36" s="394"/>
      <c r="N36" s="31"/>
      <c r="O36" s="31"/>
      <c r="P36" s="18"/>
      <c r="Q36" s="18"/>
      <c r="R36" s="18"/>
      <c r="S36" s="18"/>
      <c r="T36" s="18"/>
      <c r="U36" s="18"/>
      <c r="V36" s="18"/>
      <c r="W36" s="18"/>
      <c r="X36" s="18"/>
      <c r="Y36" s="18"/>
    </row>
    <row r="37" spans="1:25" ht="47" customHeight="1">
      <c r="B37" s="447"/>
      <c r="C37" s="54"/>
      <c r="D37" s="68" t="str">
        <f>VLOOKUP(A36,'imp-questions'!A:H,7,0)</f>
        <v>You have procedures (automated, if possible) to regularly generate compliance reports
You deliver compliance reports to all relevant stakeholders
Stakeholders use the reported compliance status information to identify areas for improvement</v>
      </c>
      <c r="E37" s="69"/>
      <c r="F37" s="66"/>
      <c r="G37" s="58"/>
      <c r="H37" s="67"/>
      <c r="I37" s="445"/>
      <c r="J37" s="64"/>
      <c r="K37" s="455"/>
      <c r="L37" s="393"/>
      <c r="M37" s="394"/>
      <c r="N37" s="31"/>
      <c r="O37" s="31"/>
      <c r="P37" s="18"/>
      <c r="Q37" s="18"/>
      <c r="R37" s="18"/>
      <c r="S37" s="18"/>
      <c r="T37" s="18"/>
      <c r="U37" s="18"/>
      <c r="V37" s="18"/>
      <c r="W37" s="18"/>
      <c r="X37" s="18"/>
      <c r="Y37" s="18"/>
    </row>
    <row r="38" spans="1:25">
      <c r="B38" s="73"/>
      <c r="C38" s="74"/>
      <c r="D38" s="74"/>
      <c r="E38" s="74"/>
      <c r="F38" s="74"/>
      <c r="G38" s="74"/>
      <c r="H38" s="74"/>
      <c r="I38" s="74"/>
      <c r="J38" s="75"/>
      <c r="K38" s="74"/>
      <c r="L38" s="74"/>
      <c r="M38" s="76"/>
      <c r="N38" s="31"/>
      <c r="O38" s="31"/>
      <c r="P38" s="18"/>
      <c r="Q38" s="18"/>
      <c r="R38" s="18"/>
      <c r="S38" s="18"/>
      <c r="T38" s="18"/>
      <c r="U38" s="18"/>
      <c r="V38" s="18"/>
      <c r="W38" s="18"/>
      <c r="X38" s="18"/>
      <c r="Y38" s="18"/>
    </row>
    <row r="39" spans="1:25">
      <c r="A39" s="47" t="s">
        <v>73</v>
      </c>
      <c r="B39" s="450" t="str">
        <f>VLOOKUP(A39,'imp-questions'!A:H,4,0)</f>
        <v>Compliance Management</v>
      </c>
      <c r="C39" s="48">
        <f>VLOOKUP(A39,'imp-questions'!A:H,5,0)</f>
        <v>1</v>
      </c>
      <c r="D39" s="49" t="str">
        <f>VLOOKUP(A39,'imp-questions'!A:H,6,0)</f>
        <v>Do you have a complete picture of your external compliance obligations?</v>
      </c>
      <c r="E39" s="50" t="str">
        <f>CHAR(65+VLOOKUP(A39,'imp-questions'!A:H,8,0))</f>
        <v>F</v>
      </c>
      <c r="F39" s="88" t="s">
        <v>64</v>
      </c>
      <c r="G39" s="62">
        <f>IFERROR(VLOOKUP(F39,AnsFTBL,2,0),0)</f>
        <v>0</v>
      </c>
      <c r="H39" s="89"/>
      <c r="I39" s="451"/>
      <c r="J39" s="64"/>
      <c r="K39" s="452"/>
      <c r="L39" s="393"/>
      <c r="M39" s="394"/>
      <c r="N39" s="31"/>
      <c r="O39" s="31"/>
      <c r="P39" s="18"/>
      <c r="Q39" s="18"/>
      <c r="R39" s="18"/>
      <c r="S39" s="18"/>
      <c r="T39" s="18"/>
      <c r="U39" s="18"/>
      <c r="V39" s="18"/>
      <c r="W39" s="18"/>
      <c r="X39" s="18"/>
      <c r="Y39" s="18"/>
    </row>
    <row r="40" spans="1:25" ht="37" customHeight="1">
      <c r="B40" s="450"/>
      <c r="C40" s="54"/>
      <c r="D40" s="68" t="str">
        <f>VLOOKUP(A39,'imp-questions'!A:H,7,0)</f>
        <v>You have identified all sources of external compliance obligations
You have captured and reconciled compliance obligations from all sources</v>
      </c>
      <c r="E40" s="56"/>
      <c r="F40" s="90"/>
      <c r="G40" s="91"/>
      <c r="H40" s="92"/>
      <c r="I40" s="451"/>
      <c r="J40" s="64"/>
      <c r="K40" s="452"/>
      <c r="L40" s="393"/>
      <c r="M40" s="394"/>
      <c r="N40" s="31"/>
      <c r="O40" s="31"/>
      <c r="P40" s="18"/>
      <c r="Q40" s="18"/>
      <c r="R40" s="18"/>
      <c r="S40" s="18"/>
      <c r="T40" s="18"/>
      <c r="U40" s="18"/>
      <c r="V40" s="18"/>
      <c r="W40" s="18"/>
      <c r="X40" s="18"/>
      <c r="Y40" s="18"/>
    </row>
    <row r="41" spans="1:25" ht="28">
      <c r="A41" s="47" t="s">
        <v>74</v>
      </c>
      <c r="B41" s="450"/>
      <c r="C41" s="48">
        <f>VLOOKUP(A41,'imp-questions'!A:H,5,0)</f>
        <v>2</v>
      </c>
      <c r="D41" s="49" t="str">
        <f>VLOOKUP(A41,'imp-questions'!A:H,6,0)</f>
        <v>Do you have a standard set of security requirements and verification procedures addressing the organization's external compliance obligations?</v>
      </c>
      <c r="E41" s="50" t="str">
        <f>CHAR(65+VLOOKUP(A41,'imp-questions'!A:H,8,0))</f>
        <v>D</v>
      </c>
      <c r="F41" s="88" t="s">
        <v>75</v>
      </c>
      <c r="G41" s="62">
        <f>IFERROR(VLOOKUP(F41,AnsDTBL,2,0),0)</f>
        <v>0.5</v>
      </c>
      <c r="H41" s="89"/>
      <c r="I41" s="431"/>
      <c r="J41" s="64"/>
      <c r="K41" s="432"/>
      <c r="L41" s="393"/>
      <c r="M41" s="394"/>
      <c r="N41" s="31"/>
      <c r="O41" s="31"/>
      <c r="P41" s="18"/>
      <c r="Q41" s="18"/>
      <c r="R41" s="18"/>
      <c r="S41" s="18"/>
      <c r="T41" s="18"/>
      <c r="U41" s="18"/>
      <c r="V41" s="18"/>
      <c r="W41" s="18"/>
      <c r="X41" s="18"/>
      <c r="Y41" s="18"/>
    </row>
    <row r="42" spans="1:25" ht="38" customHeight="1">
      <c r="B42" s="450"/>
      <c r="C42" s="54"/>
      <c r="D42" s="68" t="str">
        <f>VLOOKUP(A41,'imp-questions'!A:H,7,0)</f>
        <v>You map each external compliance obligation to a well-defined set of application requirements
You define verification procedures, including automated tests, to verify compliance with compliance-related requirements</v>
      </c>
      <c r="E42" s="56"/>
      <c r="F42" s="90"/>
      <c r="G42" s="91"/>
      <c r="H42" s="92"/>
      <c r="I42" s="431"/>
      <c r="J42" s="64"/>
      <c r="K42" s="432"/>
      <c r="L42" s="393"/>
      <c r="M42" s="394"/>
      <c r="N42" s="31"/>
      <c r="O42" s="31"/>
      <c r="P42" s="18"/>
      <c r="Q42" s="18"/>
      <c r="R42" s="18"/>
      <c r="S42" s="18"/>
      <c r="T42" s="18"/>
      <c r="U42" s="18"/>
      <c r="V42" s="18"/>
      <c r="W42" s="18"/>
      <c r="X42" s="18"/>
      <c r="Y42" s="18"/>
    </row>
    <row r="43" spans="1:25" ht="28">
      <c r="A43" s="47" t="s">
        <v>76</v>
      </c>
      <c r="B43" s="450"/>
      <c r="C43" s="48">
        <f>VLOOKUP(A43,'imp-questions'!A:H,5,0)</f>
        <v>3</v>
      </c>
      <c r="D43" s="49" t="str">
        <f>VLOOKUP(A43,'imp-questions'!A:H,6,0)</f>
        <v>Do you regularly report on adherence to external compliance obligations and use that information to guide efforts to close compliance gaps?</v>
      </c>
      <c r="E43" s="50" t="str">
        <f>CHAR(65+VLOOKUP(A43,'imp-questions'!A:H,8,0))</f>
        <v>E</v>
      </c>
      <c r="F43" s="88" t="s">
        <v>72</v>
      </c>
      <c r="G43" s="62">
        <f>IFERROR(VLOOKUP(F43,AnsETBL,2,0),0)</f>
        <v>0.5</v>
      </c>
      <c r="H43" s="89"/>
      <c r="I43" s="433"/>
      <c r="J43" s="64"/>
      <c r="K43" s="392"/>
      <c r="L43" s="393"/>
      <c r="M43" s="394"/>
      <c r="N43" s="31"/>
      <c r="O43" s="31"/>
      <c r="P43" s="18"/>
      <c r="Q43" s="18"/>
      <c r="R43" s="18"/>
      <c r="S43" s="18"/>
      <c r="T43" s="18"/>
      <c r="U43" s="18"/>
      <c r="V43" s="18"/>
      <c r="W43" s="18"/>
      <c r="X43" s="18"/>
      <c r="Y43" s="18"/>
    </row>
    <row r="44" spans="1:25" ht="45" customHeight="1">
      <c r="B44" s="450"/>
      <c r="C44" s="54"/>
      <c r="D44" s="68" t="str">
        <f>VLOOKUP(A43,'imp-questions'!A:H,7,0)</f>
        <v>You have established, well-defined compliance metrics
You measure and report on applications' compliance metrics regularly
Stakeholders use the reported compliance status information to identify compliance gaps and prioritize gap remediation efforts</v>
      </c>
      <c r="E44" s="69"/>
      <c r="F44" s="93"/>
      <c r="G44" s="94"/>
      <c r="H44" s="95"/>
      <c r="I44" s="433"/>
      <c r="J44" s="64"/>
      <c r="K44" s="392"/>
      <c r="L44" s="393"/>
      <c r="M44" s="394"/>
      <c r="N44" s="31"/>
      <c r="O44" s="31"/>
      <c r="P44" s="18"/>
      <c r="Q44" s="18"/>
      <c r="R44" s="18"/>
      <c r="S44" s="18"/>
      <c r="T44" s="18"/>
      <c r="U44" s="18"/>
      <c r="V44" s="18"/>
      <c r="W44" s="18"/>
      <c r="X44" s="18"/>
      <c r="Y44" s="18"/>
    </row>
    <row r="45" spans="1:25" ht="12.75" customHeight="1">
      <c r="B45" s="446" t="s">
        <v>77</v>
      </c>
      <c r="C45" s="446"/>
      <c r="D45" s="446"/>
      <c r="E45" s="80"/>
      <c r="F45" s="81" t="s">
        <v>52</v>
      </c>
      <c r="G45" s="81"/>
      <c r="H45" s="82"/>
      <c r="I45" s="83" t="s">
        <v>53</v>
      </c>
      <c r="J45" s="84" t="s">
        <v>54</v>
      </c>
      <c r="K45" s="85"/>
      <c r="L45" s="86"/>
      <c r="M45" s="87"/>
      <c r="N45" s="31"/>
      <c r="O45" s="31"/>
      <c r="P45" s="18"/>
      <c r="Q45" s="18"/>
      <c r="R45" s="18"/>
      <c r="S45" s="18"/>
      <c r="T45" s="18"/>
      <c r="U45" s="18"/>
      <c r="V45" s="18"/>
      <c r="W45" s="18"/>
      <c r="X45" s="18"/>
      <c r="Y45" s="18"/>
    </row>
    <row r="46" spans="1:25">
      <c r="A46" s="96" t="s">
        <v>78</v>
      </c>
      <c r="B46" s="447" t="str">
        <f>VLOOKUP(A46,'imp-questions'!A:H,4,0)</f>
        <v>Training and Awareness</v>
      </c>
      <c r="C46" s="77">
        <f>VLOOKUP(A46,'imp-questions'!A:H,5,0)</f>
        <v>1</v>
      </c>
      <c r="D46" s="78" t="str">
        <f>VLOOKUP(A46,'imp-questions'!A:H,6,0)</f>
        <v>Do you require employees involved with application development to take SDLC training?</v>
      </c>
      <c r="E46" s="60" t="str">
        <f>CHAR(65+VLOOKUP(A46,'imp-questions'!A:H,8,0))</f>
        <v>C</v>
      </c>
      <c r="F46" s="61" t="s">
        <v>79</v>
      </c>
      <c r="G46" s="62">
        <f>IFERROR(VLOOKUP(F46,AnsCTBL,2,0),0)</f>
        <v>0.25</v>
      </c>
      <c r="H46" s="79">
        <f>IFERROR(AVERAGE(G46,G53),0)</f>
        <v>0.625</v>
      </c>
      <c r="I46" s="423"/>
      <c r="J46" s="448">
        <f>SUM(H46,H48,H50)</f>
        <v>2.125</v>
      </c>
      <c r="K46" s="399"/>
      <c r="L46" s="393"/>
      <c r="M46" s="394"/>
      <c r="N46" s="31"/>
      <c r="O46" s="31"/>
      <c r="P46" s="18"/>
      <c r="Q46" s="18"/>
      <c r="R46" s="18"/>
      <c r="S46" s="18"/>
      <c r="T46" s="18"/>
      <c r="U46" s="18"/>
      <c r="V46" s="18"/>
      <c r="W46" s="18"/>
      <c r="X46" s="18"/>
      <c r="Y46" s="18"/>
    </row>
    <row r="47" spans="1:25" ht="84" customHeight="1">
      <c r="B47" s="447"/>
      <c r="C47" s="54"/>
      <c r="D47" s="68" t="str">
        <f>VLOOKUP(A46,'imp-questions'!A:H,7,0)</f>
        <v>Training is repeatable, consistent, and available to anyone involved with software development lifecycle
Training includes the latest OWASP Top 10 if appropriate and includes concepts such as Least Privilege, Defense-in-Depth, Fail Secure (Safe), Complete Mediation, Session Management, Open Design, and Psychological Acceptability
Training requires a sign-off or an acknowledgement from attendees
You have updated the training in the last 12 months
Training is required during employees' onboarding process</v>
      </c>
      <c r="E47" s="56"/>
      <c r="F47" s="66"/>
      <c r="G47" s="58"/>
      <c r="H47" s="59"/>
      <c r="I47" s="423"/>
      <c r="J47" s="448"/>
      <c r="K47" s="399"/>
      <c r="L47" s="393"/>
      <c r="M47" s="394"/>
      <c r="N47" s="31"/>
      <c r="O47" s="31"/>
      <c r="P47" s="18"/>
      <c r="Q47" s="18"/>
      <c r="R47" s="18"/>
      <c r="S47" s="18"/>
      <c r="T47" s="18"/>
      <c r="U47" s="18"/>
      <c r="V47" s="18"/>
      <c r="W47" s="18"/>
      <c r="X47" s="18"/>
      <c r="Y47" s="18"/>
    </row>
    <row r="48" spans="1:25" ht="13.75" customHeight="1">
      <c r="A48" s="96" t="s">
        <v>80</v>
      </c>
      <c r="B48" s="447"/>
      <c r="C48" s="48">
        <f>VLOOKUP(A48,'imp-questions'!A:H,5,0)</f>
        <v>2</v>
      </c>
      <c r="D48" s="49" t="str">
        <f>VLOOKUP(A48,'imp-questions'!A:H,6,0)</f>
        <v>Is training customized for individual roles such as developers, testers, or security champions?</v>
      </c>
      <c r="E48" s="60" t="str">
        <f>CHAR(65+VLOOKUP(A48,'imp-questions'!A:H,8,0))</f>
        <v>I</v>
      </c>
      <c r="F48" s="61" t="s">
        <v>81</v>
      </c>
      <c r="G48" s="62">
        <f>IFERROR(VLOOKUP(F48,AnsITBL,2,0),0)</f>
        <v>0.5</v>
      </c>
      <c r="H48" s="63">
        <f>IFERROR(AVERAGE(G48,G55),0)</f>
        <v>0.75</v>
      </c>
      <c r="I48" s="425"/>
      <c r="J48" s="17"/>
      <c r="K48" s="449" t="s">
        <v>556</v>
      </c>
      <c r="L48" s="393"/>
      <c r="M48" s="394"/>
      <c r="N48" s="31"/>
      <c r="O48" s="31"/>
      <c r="P48" s="18"/>
      <c r="Q48" s="18"/>
      <c r="R48" s="18"/>
      <c r="S48" s="18"/>
      <c r="T48" s="18"/>
      <c r="U48" s="18"/>
      <c r="V48" s="18"/>
      <c r="W48" s="18"/>
      <c r="X48" s="18"/>
      <c r="Y48" s="18"/>
    </row>
    <row r="49" spans="1:25" ht="73" customHeight="1">
      <c r="B49" s="447"/>
      <c r="C49" s="54"/>
      <c r="D49" s="68" t="str">
        <f>VLOOKUP(A48,'imp-questions'!A:H,7,0)</f>
        <v>Training includes all topics from maturity level 1, and adds more specific tools, techniques, and demonstrations
Training is mandatory for all employees and contractors
Training includes input from in-house SMEs and trainees
Training includes demonstrations of tools and techniques developed in-house
You use feedback to enhance and make future training more relevant</v>
      </c>
      <c r="E49" s="56"/>
      <c r="F49" s="66"/>
      <c r="G49" s="58"/>
      <c r="H49" s="67"/>
      <c r="I49" s="425"/>
      <c r="J49" s="17"/>
      <c r="K49" s="449"/>
      <c r="L49" s="393"/>
      <c r="M49" s="394"/>
      <c r="N49" s="31"/>
      <c r="O49" s="31"/>
      <c r="P49" s="18"/>
      <c r="Q49" s="18"/>
      <c r="R49" s="18"/>
      <c r="S49" s="18"/>
      <c r="T49" s="18"/>
      <c r="U49" s="18"/>
      <c r="V49" s="18"/>
      <c r="W49" s="18"/>
      <c r="X49" s="18"/>
      <c r="Y49" s="18"/>
    </row>
    <row r="50" spans="1:25">
      <c r="A50" s="96" t="s">
        <v>82</v>
      </c>
      <c r="B50" s="447"/>
      <c r="C50" s="48">
        <f>VLOOKUP(A50,'imp-questions'!A:H,5,0)</f>
        <v>3</v>
      </c>
      <c r="D50" s="49" t="str">
        <f>VLOOKUP(A50,'imp-questions'!A:H,6,0)</f>
        <v>Have you implemented a Learning Management System or equivalent to track employee training and certification processes?</v>
      </c>
      <c r="E50" s="60" t="str">
        <f>CHAR(65+VLOOKUP(A50,'imp-questions'!A:H,8,0))</f>
        <v>I</v>
      </c>
      <c r="F50" s="61" t="s">
        <v>83</v>
      </c>
      <c r="G50" s="62">
        <f>IFERROR(VLOOKUP(F50,AnsITBL,2,0),0)</f>
        <v>1</v>
      </c>
      <c r="H50" s="63">
        <f>IFERROR(AVERAGE(G50,G57),0)</f>
        <v>0.75</v>
      </c>
      <c r="I50" s="426"/>
      <c r="J50" s="17"/>
      <c r="K50" s="411"/>
      <c r="L50" s="393"/>
      <c r="M50" s="394"/>
      <c r="N50" s="31"/>
      <c r="O50" s="31"/>
      <c r="P50" s="18"/>
      <c r="Q50" s="18"/>
      <c r="R50" s="18"/>
      <c r="S50" s="18"/>
      <c r="T50" s="18"/>
      <c r="U50" s="18"/>
      <c r="V50" s="18"/>
      <c r="W50" s="18"/>
      <c r="X50" s="18"/>
      <c r="Y50" s="18"/>
    </row>
    <row r="51" spans="1:25" ht="47" customHeight="1">
      <c r="B51" s="447"/>
      <c r="C51" s="65"/>
      <c r="D51" s="55" t="str">
        <f>VLOOKUP(A50,'imp-questions'!A:H,7,0)</f>
        <v>A Learning Management System (LMS) is used to track trainings and certifications
Training is based on internal standards, policies, and procedures
You use certification programs or attendance records to determine access to development systems and resources</v>
      </c>
      <c r="E51" s="56"/>
      <c r="F51" s="66"/>
      <c r="G51" s="58"/>
      <c r="H51" s="67"/>
      <c r="I51" s="426"/>
      <c r="J51" s="17"/>
      <c r="K51" s="411"/>
      <c r="L51" s="393"/>
      <c r="M51" s="394"/>
      <c r="N51" s="31"/>
      <c r="O51" s="31"/>
      <c r="P51" s="18"/>
      <c r="Q51" s="18"/>
      <c r="R51" s="18"/>
      <c r="S51" s="18"/>
      <c r="T51" s="18"/>
      <c r="U51" s="18"/>
      <c r="V51" s="18"/>
      <c r="W51" s="18"/>
      <c r="X51" s="18"/>
      <c r="Y51" s="18"/>
    </row>
    <row r="52" spans="1:25">
      <c r="B52" s="73"/>
      <c r="C52" s="74"/>
      <c r="D52" s="74"/>
      <c r="E52" s="74"/>
      <c r="F52" s="74"/>
      <c r="G52" s="74"/>
      <c r="H52" s="74"/>
      <c r="I52" s="74"/>
      <c r="J52" s="75"/>
      <c r="K52" s="74"/>
      <c r="L52" s="74"/>
      <c r="M52" s="76"/>
      <c r="N52" s="31"/>
      <c r="O52" s="31"/>
      <c r="P52" s="18"/>
      <c r="Q52" s="18"/>
      <c r="R52" s="18"/>
      <c r="S52" s="18"/>
      <c r="T52" s="18"/>
      <c r="U52" s="18"/>
      <c r="V52" s="18"/>
      <c r="W52" s="18"/>
      <c r="X52" s="18"/>
      <c r="Y52" s="18"/>
    </row>
    <row r="53" spans="1:25">
      <c r="A53" s="96" t="s">
        <v>84</v>
      </c>
      <c r="B53" s="443" t="str">
        <f>VLOOKUP(A53,'imp-questions'!A:H,4,0)</f>
        <v>Organization and Culture</v>
      </c>
      <c r="C53" s="48">
        <f>VLOOKUP(A53,'imp-questions'!A:H,5,0)</f>
        <v>1</v>
      </c>
      <c r="D53" s="49" t="str">
        <f>VLOOKUP(A53,'imp-questions'!A:H,6,0)</f>
        <v>Have you identified a Security Champion for each development team?</v>
      </c>
      <c r="E53" s="50" t="str">
        <f>CHAR(65+VLOOKUP(A53,'imp-questions'!A:H,8,0))</f>
        <v>W</v>
      </c>
      <c r="F53" s="51" t="s">
        <v>85</v>
      </c>
      <c r="G53" s="62">
        <f>IFERROR(VLOOKUP(F53,AnsWTBL,2,0),0)</f>
        <v>1</v>
      </c>
      <c r="H53" s="63"/>
      <c r="I53" s="433"/>
      <c r="J53" s="64"/>
      <c r="K53" s="444" t="s">
        <v>86</v>
      </c>
      <c r="L53" s="393"/>
      <c r="M53" s="394"/>
      <c r="N53" s="31"/>
      <c r="O53" s="31"/>
      <c r="P53" s="18"/>
      <c r="Q53" s="18"/>
      <c r="R53" s="18"/>
      <c r="S53" s="18"/>
      <c r="T53" s="18"/>
      <c r="U53" s="18"/>
      <c r="V53" s="18"/>
      <c r="W53" s="18"/>
      <c r="X53" s="18"/>
      <c r="Y53" s="18"/>
    </row>
    <row r="54" spans="1:25" ht="70" customHeight="1">
      <c r="B54" s="443"/>
      <c r="C54" s="54"/>
      <c r="D54" s="68" t="str">
        <f>VLOOKUP(A53,'imp-questions'!A:H,7,0)</f>
        <v>Security Champions receive appropriate training
Application Security and Development teams receive periodic briefings from Security Champions on the overall status of security initiatives and fixes
The Security Champion reviews the results of external testing before adding to the application backlog</v>
      </c>
      <c r="E54" s="69"/>
      <c r="F54" s="66"/>
      <c r="G54" s="58"/>
      <c r="H54" s="67"/>
      <c r="I54" s="433"/>
      <c r="J54" s="64"/>
      <c r="K54" s="444"/>
      <c r="L54" s="393"/>
      <c r="M54" s="394"/>
      <c r="N54" s="31"/>
      <c r="O54" s="31"/>
      <c r="P54" s="18"/>
      <c r="Q54" s="18"/>
      <c r="R54" s="18"/>
      <c r="S54" s="18"/>
      <c r="T54" s="18"/>
      <c r="U54" s="18"/>
      <c r="V54" s="18"/>
      <c r="W54" s="18"/>
      <c r="X54" s="18"/>
      <c r="Y54" s="18"/>
    </row>
    <row r="55" spans="1:25">
      <c r="A55" s="96" t="s">
        <v>87</v>
      </c>
      <c r="B55" s="443"/>
      <c r="C55" s="48">
        <f>VLOOKUP(A55,'imp-questions'!A:H,5,0)</f>
        <v>2</v>
      </c>
      <c r="D55" s="49" t="str">
        <f>VLOOKUP(A55,'imp-questions'!A:H,6,0)</f>
        <v>Does the organization have a Secure Software Center of Excellence (SSCE)?</v>
      </c>
      <c r="E55" s="50" t="str">
        <f>CHAR(65+VLOOKUP(A55,'imp-questions'!A:H,8,0))</f>
        <v>L</v>
      </c>
      <c r="F55" s="61" t="s">
        <v>88</v>
      </c>
      <c r="G55" s="62">
        <f>IFERROR(VLOOKUP(F55,AnsLTBL,2,0),0)</f>
        <v>1</v>
      </c>
      <c r="H55" s="63"/>
      <c r="I55" s="445"/>
      <c r="J55" s="64"/>
      <c r="K55" s="392"/>
      <c r="L55" s="393"/>
      <c r="M55" s="394"/>
      <c r="N55" s="31"/>
      <c r="O55" s="31"/>
      <c r="P55" s="18"/>
      <c r="Q55" s="18"/>
      <c r="R55" s="18"/>
      <c r="S55" s="18"/>
      <c r="T55" s="18"/>
      <c r="U55" s="18"/>
      <c r="V55" s="18"/>
      <c r="W55" s="18"/>
      <c r="X55" s="18"/>
      <c r="Y55" s="18"/>
    </row>
    <row r="56" spans="1:25" ht="60" customHeight="1">
      <c r="B56" s="443"/>
      <c r="C56" s="54"/>
      <c r="D56" s="68" t="str">
        <f>VLOOKUP(A55,'imp-questions'!A:H,7,0)</f>
        <v>The SSCE has a charter defining its role in the organization
Development teams review all significant architectural changes with the SSCE
The SSCE publishes SDLC standards and guidelines related to Application Security
Product Champions are responsible for promoting the use of specific security tools</v>
      </c>
      <c r="E56" s="56"/>
      <c r="F56" s="66"/>
      <c r="G56" s="58"/>
      <c r="H56" s="67"/>
      <c r="I56" s="445"/>
      <c r="J56" s="64"/>
      <c r="K56" s="392"/>
      <c r="L56" s="393"/>
      <c r="M56" s="394"/>
      <c r="N56" s="31"/>
      <c r="O56" s="31"/>
      <c r="P56" s="18"/>
      <c r="Q56" s="18"/>
      <c r="R56" s="18"/>
      <c r="S56" s="18"/>
      <c r="T56" s="18"/>
      <c r="U56" s="18"/>
      <c r="V56" s="18"/>
      <c r="W56" s="18"/>
      <c r="X56" s="18"/>
      <c r="Y56" s="18"/>
    </row>
    <row r="57" spans="1:25" ht="28">
      <c r="A57" s="96" t="s">
        <v>89</v>
      </c>
      <c r="B57" s="443"/>
      <c r="C57" s="48">
        <f>VLOOKUP(A57,'imp-questions'!A:H,5,0)</f>
        <v>3</v>
      </c>
      <c r="D57" s="49" t="str">
        <f>VLOOKUP(A57,'imp-questions'!A:H,6,0)</f>
        <v>Is there a centralized portal where developers and application security professionals from different teams and business units are able to communicate and share information?</v>
      </c>
      <c r="E57" s="50" t="str">
        <f>CHAR(65+VLOOKUP(A57,'imp-questions'!A:H,8,0))</f>
        <v>L</v>
      </c>
      <c r="F57" s="61" t="s">
        <v>90</v>
      </c>
      <c r="G57" s="62">
        <f>IFERROR(VLOOKUP(F57,AnsLTBL,2,0),0)</f>
        <v>0.5</v>
      </c>
      <c r="H57" s="63"/>
      <c r="I57" s="445"/>
      <c r="J57" s="64"/>
      <c r="K57" s="392"/>
      <c r="L57" s="393"/>
      <c r="M57" s="394"/>
      <c r="N57" s="31"/>
      <c r="O57" s="31"/>
      <c r="P57" s="18"/>
      <c r="Q57" s="18"/>
      <c r="R57" s="18"/>
      <c r="S57" s="18"/>
      <c r="T57" s="18"/>
      <c r="U57" s="18"/>
      <c r="V57" s="18"/>
      <c r="W57" s="18"/>
      <c r="X57" s="18"/>
      <c r="Y57" s="18"/>
    </row>
    <row r="58" spans="1:25" ht="106" customHeight="1">
      <c r="B58" s="443"/>
      <c r="C58" s="65"/>
      <c r="D58" s="55" t="str">
        <f>VLOOKUP(A57,'imp-questions'!A:H,7,0)</f>
        <v>The organization promotes use of a single portal across different teams and business units
The portal is used for timely information such as notification of security incidents, tool updates, architectural standard changes, and other related announcements
The portal is widely recognized by developers and architects as a centralized repository of the organization-specific application security information
All content is considered persistent and searchable
The portal provides access to application-specific security metrics</v>
      </c>
      <c r="E58" s="56"/>
      <c r="F58" s="66"/>
      <c r="G58" s="58"/>
      <c r="H58" s="67"/>
      <c r="I58" s="445"/>
      <c r="J58" s="64"/>
      <c r="K58" s="392"/>
      <c r="L58" s="393"/>
      <c r="M58" s="394"/>
      <c r="N58" s="31"/>
      <c r="O58" s="31"/>
      <c r="P58" s="18"/>
      <c r="Q58" s="18"/>
      <c r="R58" s="18"/>
      <c r="S58" s="18"/>
      <c r="T58" s="18"/>
      <c r="U58" s="18"/>
      <c r="V58" s="18"/>
      <c r="W58" s="18"/>
      <c r="X58" s="18"/>
      <c r="Y58" s="18"/>
    </row>
    <row r="59" spans="1:25" ht="12.75" customHeight="1">
      <c r="B59" s="441" t="s">
        <v>91</v>
      </c>
      <c r="C59" s="441"/>
      <c r="D59" s="441"/>
      <c r="E59" s="441"/>
      <c r="F59" s="441"/>
      <c r="G59" s="441"/>
      <c r="H59" s="441"/>
      <c r="I59" s="441"/>
      <c r="J59" s="441"/>
      <c r="K59" s="97"/>
      <c r="L59" s="97"/>
      <c r="M59" s="97"/>
      <c r="N59" s="31"/>
      <c r="O59" s="31"/>
      <c r="P59" s="18"/>
      <c r="Q59" s="18"/>
      <c r="R59" s="18"/>
      <c r="S59" s="18"/>
      <c r="T59" s="18"/>
      <c r="U59" s="18"/>
      <c r="V59" s="18"/>
      <c r="W59" s="18"/>
      <c r="X59" s="18"/>
      <c r="Y59" s="18"/>
    </row>
    <row r="60" spans="1:25" ht="12.75" customHeight="1">
      <c r="B60" s="442" t="s">
        <v>92</v>
      </c>
      <c r="C60" s="442"/>
      <c r="D60" s="442"/>
      <c r="E60" s="99"/>
      <c r="F60" s="98" t="s">
        <v>52</v>
      </c>
      <c r="G60" s="98"/>
      <c r="H60" s="100"/>
      <c r="I60" s="101" t="s">
        <v>53</v>
      </c>
      <c r="J60" s="102" t="s">
        <v>54</v>
      </c>
      <c r="K60" s="103"/>
      <c r="L60" s="104"/>
      <c r="M60" s="105"/>
      <c r="N60" s="31"/>
      <c r="O60" s="31"/>
      <c r="P60" s="18"/>
      <c r="Q60" s="18"/>
      <c r="R60" s="18"/>
      <c r="S60" s="18"/>
      <c r="T60" s="18"/>
      <c r="U60" s="18"/>
      <c r="V60" s="18"/>
      <c r="W60" s="18"/>
      <c r="X60" s="18"/>
      <c r="Y60" s="18"/>
    </row>
    <row r="61" spans="1:25">
      <c r="A61" s="96" t="s">
        <v>93</v>
      </c>
      <c r="B61" s="435" t="str">
        <f>VLOOKUP(A61,'imp-questions'!A:H,4,0)</f>
        <v>Application Risk Profile</v>
      </c>
      <c r="C61" s="107">
        <f>VLOOKUP(A61,'imp-questions'!A:H,5,0)</f>
        <v>1</v>
      </c>
      <c r="D61" s="49" t="str">
        <f>VLOOKUP(A61,'imp-questions'!A:H,6,0)</f>
        <v>Do you classify applications according to business risk based on a simple and predefined set of questions?</v>
      </c>
      <c r="E61" s="50" t="str">
        <f>CHAR(65+VLOOKUP(A61,'imp-questions'!A:H,8,0))</f>
        <v>C</v>
      </c>
      <c r="F61" s="108" t="s">
        <v>94</v>
      </c>
      <c r="G61" s="62">
        <f>IFERROR(VLOOKUP(F61,AnsCTBL,2,0),0)</f>
        <v>1</v>
      </c>
      <c r="H61" s="53">
        <f>IFERROR(AVERAGE(G61,G68),0)</f>
        <v>1</v>
      </c>
      <c r="I61" s="391"/>
      <c r="J61" s="436">
        <f>SUM(H61,H63,H65)</f>
        <v>2.25</v>
      </c>
      <c r="K61" s="400"/>
      <c r="L61" s="393"/>
      <c r="M61" s="394"/>
      <c r="N61" s="31"/>
      <c r="O61" s="31"/>
      <c r="P61" s="18"/>
      <c r="Q61" s="18"/>
      <c r="R61" s="18"/>
      <c r="S61" s="18"/>
      <c r="T61" s="18"/>
      <c r="U61" s="18"/>
      <c r="V61" s="18"/>
      <c r="W61" s="18"/>
      <c r="X61" s="18"/>
      <c r="Y61" s="18"/>
    </row>
    <row r="62" spans="1:25" ht="56">
      <c r="B62" s="435"/>
      <c r="C62" s="54"/>
      <c r="D62" s="68" t="str">
        <f>VLOOKUP(A61,'imp-questions'!A:H,7,0)</f>
        <v>An agreed-upon risk classification exists
The application team understands the risk classification
The risk classification covers critical aspects of business risks the organization is facing
The organization has an inventory for the applications in scope</v>
      </c>
      <c r="E62" s="56"/>
      <c r="F62" s="70"/>
      <c r="G62" s="58"/>
      <c r="H62" s="59"/>
      <c r="I62" s="391"/>
      <c r="J62" s="436"/>
      <c r="K62" s="400"/>
      <c r="L62" s="393"/>
      <c r="M62" s="394"/>
      <c r="N62" s="31"/>
      <c r="O62" s="31"/>
      <c r="P62" s="18"/>
      <c r="Q62" s="18"/>
      <c r="R62" s="18"/>
      <c r="S62" s="18"/>
      <c r="T62" s="18"/>
      <c r="U62" s="18"/>
      <c r="V62" s="18"/>
      <c r="W62" s="18"/>
      <c r="X62" s="18"/>
      <c r="Y62" s="18"/>
    </row>
    <row r="63" spans="1:25">
      <c r="A63" s="96" t="s">
        <v>95</v>
      </c>
      <c r="B63" s="435"/>
      <c r="C63" s="107">
        <f>VLOOKUP(A63,'imp-questions'!A:H,5,0)</f>
        <v>2</v>
      </c>
      <c r="D63" s="49" t="str">
        <f>VLOOKUP(A63,'imp-questions'!A:H,6,0)</f>
        <v>Do you use centralized and quantified application risk profiles to evaluate business risk?</v>
      </c>
      <c r="E63" s="50" t="str">
        <f>CHAR(65+VLOOKUP(A63,'imp-questions'!A:H,8,0))</f>
        <v>F</v>
      </c>
      <c r="F63" s="108" t="s">
        <v>68</v>
      </c>
      <c r="G63" s="62">
        <f>IFERROR(VLOOKUP(F63,AnsFTBL,2,0),0)</f>
        <v>1</v>
      </c>
      <c r="H63" s="53">
        <f>IFERROR(AVERAGE(G63,G70),0)</f>
        <v>1</v>
      </c>
      <c r="I63" s="425"/>
      <c r="J63" s="109"/>
      <c r="K63" s="400"/>
      <c r="L63" s="393"/>
      <c r="M63" s="394"/>
      <c r="N63" s="31"/>
      <c r="O63" s="31"/>
      <c r="P63" s="18"/>
      <c r="Q63" s="18"/>
      <c r="R63" s="18"/>
      <c r="S63" s="18"/>
      <c r="T63" s="18"/>
      <c r="U63" s="18"/>
      <c r="V63" s="18"/>
      <c r="W63" s="18"/>
      <c r="X63" s="18"/>
      <c r="Y63" s="18"/>
    </row>
    <row r="64" spans="1:25" ht="56">
      <c r="B64" s="435"/>
      <c r="C64" s="54"/>
      <c r="D64" s="68" t="str">
        <f>VLOOKUP(A63,'imp-questions'!A:H,7,0)</f>
        <v>The application risk profile is in line with the organizational risk standard
The application risk profile covers impact to security and privacy
You validate the quality of the risk profile manually and/or automatically
The application risk profiles are stored in a central inventory</v>
      </c>
      <c r="E64" s="56"/>
      <c r="F64" s="90"/>
      <c r="G64" s="91"/>
      <c r="H64" s="67"/>
      <c r="I64" s="425"/>
      <c r="J64" s="109"/>
      <c r="K64" s="400"/>
      <c r="L64" s="393"/>
      <c r="M64" s="394"/>
      <c r="N64" s="31"/>
      <c r="O64" s="31"/>
      <c r="P64" s="18"/>
      <c r="Q64" s="18"/>
      <c r="R64" s="18"/>
      <c r="S64" s="18"/>
      <c r="T64" s="18"/>
      <c r="U64" s="18"/>
      <c r="V64" s="18"/>
      <c r="W64" s="18"/>
      <c r="X64" s="18"/>
      <c r="Y64" s="18"/>
    </row>
    <row r="65" spans="1:25">
      <c r="A65" s="96" t="s">
        <v>96</v>
      </c>
      <c r="B65" s="435"/>
      <c r="C65" s="107">
        <f>VLOOKUP(A65,'imp-questions'!A:H,5,0)</f>
        <v>3</v>
      </c>
      <c r="D65" s="49" t="str">
        <f>VLOOKUP(A65,'imp-questions'!A:H,6,0)</f>
        <v>Do you regularly review and update the risk profiles for your applications?</v>
      </c>
      <c r="E65" s="50" t="str">
        <f>CHAR(65+VLOOKUP(A65,'imp-questions'!A:H,8,0))</f>
        <v>G</v>
      </c>
      <c r="F65" s="108" t="s">
        <v>97</v>
      </c>
      <c r="G65" s="110">
        <f>IFERROR(VLOOKUP(F65,AnsGTBL,2,0),0)</f>
        <v>0.25</v>
      </c>
      <c r="H65" s="53">
        <f>IFERROR(AVERAGE(G65,G72),0)</f>
        <v>0.25</v>
      </c>
      <c r="I65" s="426"/>
      <c r="J65" s="109"/>
      <c r="K65" s="400"/>
      <c r="L65" s="393"/>
      <c r="M65" s="394"/>
      <c r="N65" s="31"/>
      <c r="O65" s="31"/>
      <c r="P65" s="18"/>
      <c r="Q65" s="18"/>
      <c r="R65" s="18"/>
      <c r="S65" s="18"/>
      <c r="T65" s="18"/>
      <c r="U65" s="18"/>
      <c r="V65" s="18"/>
      <c r="W65" s="18"/>
      <c r="X65" s="18"/>
      <c r="Y65" s="18"/>
    </row>
    <row r="66" spans="1:25" ht="28">
      <c r="B66" s="435"/>
      <c r="C66" s="65"/>
      <c r="D66" s="55" t="str">
        <f>VLOOKUP(A65,'imp-questions'!A:H,7,0)</f>
        <v>The organizational risk standard considers historical feedback to improve the evaluation method
Significant changes in the application or business context trigger a review of the relevant risk profiles</v>
      </c>
      <c r="E66" s="56"/>
      <c r="F66" s="90"/>
      <c r="G66" s="91"/>
      <c r="H66" s="67"/>
      <c r="I66" s="426"/>
      <c r="J66" s="109"/>
      <c r="K66" s="400"/>
      <c r="L66" s="393"/>
      <c r="M66" s="394"/>
      <c r="N66" s="31"/>
      <c r="O66" s="31"/>
      <c r="P66" s="18"/>
      <c r="Q66" s="18"/>
      <c r="R66" s="18"/>
      <c r="S66" s="18"/>
      <c r="T66" s="18"/>
      <c r="U66" s="18"/>
      <c r="V66" s="18"/>
      <c r="W66" s="18"/>
      <c r="X66" s="18"/>
      <c r="Y66" s="18"/>
    </row>
    <row r="67" spans="1:25">
      <c r="B67" s="73"/>
      <c r="C67" s="74"/>
      <c r="D67" s="74"/>
      <c r="E67" s="74"/>
      <c r="F67" s="74"/>
      <c r="G67" s="74"/>
      <c r="H67" s="74"/>
      <c r="I67" s="74"/>
      <c r="J67" s="75"/>
      <c r="K67" s="74"/>
      <c r="L67" s="74"/>
      <c r="M67" s="76"/>
      <c r="N67" s="31"/>
      <c r="O67" s="31"/>
      <c r="P67" s="18"/>
      <c r="Q67" s="18"/>
      <c r="R67" s="18"/>
      <c r="S67" s="18"/>
      <c r="T67" s="18"/>
      <c r="U67" s="18"/>
      <c r="V67" s="18"/>
      <c r="W67" s="18"/>
      <c r="X67" s="18"/>
      <c r="Y67" s="18"/>
    </row>
    <row r="68" spans="1:25">
      <c r="A68" s="96" t="s">
        <v>98</v>
      </c>
      <c r="B68" s="430" t="str">
        <f>VLOOKUP(A68,'imp-questions'!A:H,4,0)</f>
        <v>Threat Modeling</v>
      </c>
      <c r="C68" s="107">
        <f>VLOOKUP(A68,'imp-questions'!A:H,5,0)</f>
        <v>1</v>
      </c>
      <c r="D68" s="49" t="str">
        <f>VLOOKUP(A68,'imp-questions'!A:H,6,0)</f>
        <v>Do you identify and manage architectural design flaws with threat modeling?</v>
      </c>
      <c r="E68" s="50" t="str">
        <f>CHAR(65+VLOOKUP(A68,'imp-questions'!A:H,8,0))</f>
        <v>C</v>
      </c>
      <c r="F68" s="108" t="s">
        <v>94</v>
      </c>
      <c r="G68" s="62">
        <f>IFERROR(VLOOKUP(F68,AnsCTBL,2,0),0)</f>
        <v>1</v>
      </c>
      <c r="H68" s="63"/>
      <c r="I68" s="391"/>
      <c r="J68" s="111"/>
      <c r="K68" s="400"/>
      <c r="L68" s="393"/>
      <c r="M68" s="394"/>
      <c r="N68" s="31"/>
      <c r="O68" s="31"/>
      <c r="P68" s="18"/>
      <c r="Q68" s="18"/>
      <c r="R68" s="18"/>
      <c r="S68" s="18"/>
      <c r="T68" s="18"/>
      <c r="U68" s="18"/>
      <c r="V68" s="18"/>
      <c r="W68" s="18"/>
      <c r="X68" s="18"/>
      <c r="Y68" s="18"/>
    </row>
    <row r="69" spans="1:25" ht="42">
      <c r="B69" s="430"/>
      <c r="C69" s="54"/>
      <c r="D69" s="68" t="str">
        <f>VLOOKUP(A68,'imp-questions'!A:H,7,0)</f>
        <v>You perform threat modeling for high-risk applications
You use simple threat checklists, such as STRIDE
You persist the outcome of a threat model for later use</v>
      </c>
      <c r="E69" s="56"/>
      <c r="F69" s="90"/>
      <c r="G69" s="91"/>
      <c r="H69" s="92"/>
      <c r="I69" s="391"/>
      <c r="J69" s="111"/>
      <c r="K69" s="400"/>
      <c r="L69" s="393"/>
      <c r="M69" s="394"/>
      <c r="N69" s="31"/>
      <c r="O69" s="31"/>
      <c r="P69" s="18"/>
      <c r="Q69" s="18"/>
      <c r="R69" s="18"/>
      <c r="S69" s="18"/>
      <c r="T69" s="18"/>
      <c r="U69" s="18"/>
      <c r="V69" s="18"/>
      <c r="W69" s="18"/>
      <c r="X69" s="18"/>
      <c r="Y69" s="18"/>
    </row>
    <row r="70" spans="1:25" ht="14" customHeight="1">
      <c r="A70" s="96" t="s">
        <v>99</v>
      </c>
      <c r="B70" s="430"/>
      <c r="C70" s="107">
        <f>VLOOKUP(A70,'imp-questions'!A:H,5,0)</f>
        <v>2</v>
      </c>
      <c r="D70" s="49" t="str">
        <f>VLOOKUP(A70,'imp-questions'!A:H,6,0)</f>
        <v>Do you use a standard methodology, aligned on your application risk levels?</v>
      </c>
      <c r="E70" s="50" t="str">
        <f>CHAR(65+VLOOKUP(A70,'imp-questions'!A:H,8,0))</f>
        <v>F</v>
      </c>
      <c r="F70" s="108" t="s">
        <v>68</v>
      </c>
      <c r="G70" s="62">
        <f>IFERROR(VLOOKUP(F70,AnsFTBL,2,0),0)</f>
        <v>1</v>
      </c>
      <c r="H70" s="63"/>
      <c r="I70" s="391"/>
      <c r="J70" s="111"/>
      <c r="K70" s="440" t="s">
        <v>100</v>
      </c>
      <c r="L70" s="393"/>
      <c r="M70" s="394"/>
      <c r="N70" s="31"/>
      <c r="O70" s="31"/>
      <c r="P70" s="18"/>
      <c r="Q70" s="18"/>
      <c r="R70" s="18"/>
      <c r="S70" s="18"/>
      <c r="T70" s="18"/>
      <c r="U70" s="18"/>
      <c r="V70" s="18"/>
      <c r="W70" s="18"/>
      <c r="X70" s="18"/>
      <c r="Y70" s="18"/>
    </row>
    <row r="71" spans="1:25" ht="70">
      <c r="B71" s="430"/>
      <c r="C71" s="54"/>
      <c r="D71" s="68" t="str">
        <f>VLOOKUP(A70,'imp-questions'!A:H,7,0)</f>
        <v>You train your architects, security champions, and other stakeholders on how to do practical threat modeling
Your threat modeling methodology includes at least diagramming, threat identification, design flaw mitigations, and how to validate your threat model artifacts
Changes in the application or business context trigger a review of the relevant threat models
You capture the threat modeling artifacts with tools that are used by your application teams</v>
      </c>
      <c r="E71" s="56"/>
      <c r="F71" s="90"/>
      <c r="G71" s="91"/>
      <c r="H71" s="92"/>
      <c r="I71" s="391"/>
      <c r="J71" s="111"/>
      <c r="K71" s="440"/>
      <c r="L71" s="393"/>
      <c r="M71" s="394"/>
      <c r="N71" s="31"/>
      <c r="O71" s="31"/>
      <c r="P71" s="18"/>
      <c r="Q71" s="18"/>
      <c r="R71" s="18"/>
      <c r="S71" s="18"/>
      <c r="T71" s="18"/>
      <c r="U71" s="18"/>
      <c r="V71" s="18"/>
      <c r="W71" s="18"/>
      <c r="X71" s="18"/>
      <c r="Y71" s="18"/>
    </row>
    <row r="72" spans="1:25">
      <c r="A72" s="96" t="s">
        <v>101</v>
      </c>
      <c r="B72" s="430"/>
      <c r="C72" s="107">
        <f>VLOOKUP(A72,'imp-questions'!A:H,5,0)</f>
        <v>3</v>
      </c>
      <c r="D72" s="49" t="str">
        <f>VLOOKUP(A72,'imp-questions'!A:H,6,0)</f>
        <v>Do you regularly review and update the threat modeling methodology for your applications?</v>
      </c>
      <c r="E72" s="50" t="str">
        <f>CHAR(65+VLOOKUP(A72,'imp-questions'!A:H,8,0))</f>
        <v>N</v>
      </c>
      <c r="F72" s="88" t="s">
        <v>60</v>
      </c>
      <c r="G72" s="62">
        <f>IFERROR(VLOOKUP(F72,AnsNTBL,2,0),0)</f>
        <v>0.25</v>
      </c>
      <c r="H72" s="63"/>
      <c r="I72" s="428"/>
      <c r="J72" s="111"/>
      <c r="K72" s="406"/>
      <c r="L72" s="393"/>
      <c r="M72" s="394"/>
      <c r="N72" s="31"/>
      <c r="O72" s="31"/>
      <c r="P72" s="18"/>
      <c r="Q72" s="18"/>
      <c r="R72" s="18"/>
      <c r="S72" s="18"/>
      <c r="T72" s="18"/>
      <c r="U72" s="18"/>
      <c r="V72" s="18"/>
      <c r="W72" s="18"/>
      <c r="X72" s="18"/>
      <c r="Y72" s="18"/>
    </row>
    <row r="73" spans="1:25" ht="42">
      <c r="B73" s="430"/>
      <c r="C73" s="54"/>
      <c r="D73" s="68" t="str">
        <f>VLOOKUP(A72,'imp-questions'!A:H,7,0)</f>
        <v>The threat model methodology considers historical feedback for improvement
You regularly (e.g., yearly) review the existing threat models to verify that no new threats are relevant for your applications
You automate parts of your threat modeling process with threat modeling tools</v>
      </c>
      <c r="E73" s="69"/>
      <c r="F73" s="93"/>
      <c r="G73" s="94"/>
      <c r="H73" s="95"/>
      <c r="I73" s="428"/>
      <c r="J73" s="111"/>
      <c r="K73" s="406"/>
      <c r="L73" s="393"/>
      <c r="M73" s="394"/>
      <c r="N73" s="31"/>
      <c r="O73" s="31"/>
      <c r="P73" s="18"/>
      <c r="Q73" s="18"/>
      <c r="R73" s="18"/>
      <c r="S73" s="18"/>
      <c r="T73" s="18"/>
      <c r="U73" s="18"/>
      <c r="V73" s="18"/>
      <c r="W73" s="18"/>
      <c r="X73" s="18"/>
      <c r="Y73" s="18"/>
    </row>
    <row r="74" spans="1:25" ht="12.75" customHeight="1">
      <c r="B74" s="434" t="s">
        <v>102</v>
      </c>
      <c r="C74" s="434"/>
      <c r="D74" s="434"/>
      <c r="E74" s="112"/>
      <c r="F74" s="113" t="s">
        <v>52</v>
      </c>
      <c r="G74" s="113"/>
      <c r="H74" s="114"/>
      <c r="I74" s="115" t="s">
        <v>53</v>
      </c>
      <c r="J74" s="116" t="s">
        <v>54</v>
      </c>
      <c r="K74" s="117"/>
      <c r="L74" s="118"/>
      <c r="M74" s="119"/>
      <c r="N74" s="31"/>
      <c r="O74" s="31"/>
      <c r="P74" s="18"/>
      <c r="Q74" s="18"/>
      <c r="R74" s="18"/>
      <c r="S74" s="18"/>
      <c r="T74" s="18"/>
      <c r="U74" s="18"/>
      <c r="V74" s="18"/>
      <c r="W74" s="18"/>
      <c r="X74" s="18"/>
      <c r="Y74" s="18"/>
    </row>
    <row r="75" spans="1:25" ht="14" customHeight="1">
      <c r="A75" s="96" t="s">
        <v>103</v>
      </c>
      <c r="B75" s="438" t="str">
        <f>VLOOKUP(A75,'imp-questions'!A:H,4,0)</f>
        <v>Software Requirements</v>
      </c>
      <c r="C75" s="120">
        <f>VLOOKUP(A75,'imp-questions'!A:H,5,0)</f>
        <v>1</v>
      </c>
      <c r="D75" s="78" t="str">
        <f>VLOOKUP(A75,'imp-questions'!A:H,6,0)</f>
        <v>Do project teams specify security requirements during development?</v>
      </c>
      <c r="E75" s="60" t="str">
        <f>CHAR(65+VLOOKUP(A75,'imp-questions'!A:H,8,0))</f>
        <v>F</v>
      </c>
      <c r="F75" s="121" t="s">
        <v>68</v>
      </c>
      <c r="G75" s="62">
        <f>IFERROR(VLOOKUP(F75,AnsFTBL,2,0),0)</f>
        <v>1</v>
      </c>
      <c r="H75" s="79">
        <f>IFERROR(AVERAGE(G75,G82),0)</f>
        <v>1</v>
      </c>
      <c r="I75" s="423"/>
      <c r="J75" s="439">
        <f>SUM(H75,H77,H79)</f>
        <v>2.25</v>
      </c>
      <c r="K75" s="399"/>
      <c r="L75" s="393"/>
      <c r="M75" s="394"/>
      <c r="N75" s="31"/>
      <c r="O75" s="31"/>
      <c r="P75" s="18"/>
      <c r="Q75" s="18"/>
      <c r="R75" s="18"/>
      <c r="S75" s="18"/>
      <c r="T75" s="18"/>
      <c r="U75" s="18"/>
      <c r="V75" s="18"/>
      <c r="W75" s="18"/>
      <c r="X75" s="18"/>
      <c r="Y75" s="18"/>
    </row>
    <row r="76" spans="1:25" ht="42">
      <c r="B76" s="438"/>
      <c r="C76" s="54"/>
      <c r="D76" s="68" t="str">
        <f>VLOOKUP(A75,'imp-questions'!A:H,7,0)</f>
        <v>Teams derive security requirements from functional requirements and customer or organization concerns
Security requirements are specific, measurable, and reasonable
Security requirements are in line with the organizational baseline</v>
      </c>
      <c r="E76" s="56"/>
      <c r="F76" s="90"/>
      <c r="G76" s="91"/>
      <c r="H76" s="59"/>
      <c r="I76" s="423"/>
      <c r="J76" s="439"/>
      <c r="K76" s="399"/>
      <c r="L76" s="393"/>
      <c r="M76" s="394"/>
      <c r="N76" s="31"/>
      <c r="O76" s="31"/>
      <c r="P76" s="18"/>
      <c r="Q76" s="18"/>
      <c r="R76" s="18"/>
      <c r="S76" s="18"/>
      <c r="T76" s="18"/>
      <c r="U76" s="18"/>
      <c r="V76" s="18"/>
      <c r="W76" s="18"/>
      <c r="X76" s="18"/>
      <c r="Y76" s="18"/>
    </row>
    <row r="77" spans="1:25">
      <c r="A77" s="96" t="s">
        <v>104</v>
      </c>
      <c r="B77" s="438"/>
      <c r="C77" s="107">
        <f>VLOOKUP(A77,'imp-questions'!A:H,5,0)</f>
        <v>2</v>
      </c>
      <c r="D77" s="49" t="str">
        <f>VLOOKUP(A77,'imp-questions'!A:H,6,0)</f>
        <v>Do you define, structure, and include prioritization in the artifacts of the security requirements gathering process?</v>
      </c>
      <c r="E77" s="50" t="str">
        <f>CHAR(65+VLOOKUP(A77,'imp-questions'!A:H,8,0))</f>
        <v>H</v>
      </c>
      <c r="F77" s="121" t="s">
        <v>105</v>
      </c>
      <c r="G77" s="62">
        <f>IFERROR(VLOOKUP(F77,AnsHTBL,2,0),0)</f>
        <v>1</v>
      </c>
      <c r="H77" s="53">
        <f>IFERROR(AVERAGE(G77,G84),0)</f>
        <v>0.625</v>
      </c>
      <c r="I77" s="425"/>
      <c r="J77" s="109"/>
      <c r="K77" s="410"/>
      <c r="L77" s="393"/>
      <c r="M77" s="394"/>
      <c r="N77" s="31"/>
      <c r="O77" s="31"/>
      <c r="P77" s="18"/>
      <c r="Q77" s="18"/>
      <c r="R77" s="18"/>
      <c r="S77" s="18"/>
      <c r="T77" s="18"/>
      <c r="U77" s="18"/>
      <c r="V77" s="18"/>
      <c r="W77" s="18"/>
      <c r="X77" s="18"/>
      <c r="Y77" s="18"/>
    </row>
    <row r="78" spans="1:25" ht="56">
      <c r="B78" s="438"/>
      <c r="C78" s="54"/>
      <c r="D78" s="68" t="str">
        <f>VLOOKUP(A77,'imp-questions'!A:H,7,0)</f>
        <v>Security requirements take into consideration domain specific knowledge when applying policies and guidance to product development
Domain experts are involved in the requirements definition process
You have an agreed upon structured notation for security requirements
Development teams have a security champion dedicated to reviewing security requirements and outcomes</v>
      </c>
      <c r="E78" s="56"/>
      <c r="F78" s="90"/>
      <c r="G78" s="91"/>
      <c r="H78" s="67"/>
      <c r="I78" s="425"/>
      <c r="J78" s="109"/>
      <c r="K78" s="410"/>
      <c r="L78" s="393"/>
      <c r="M78" s="394"/>
      <c r="N78" s="31"/>
      <c r="O78" s="31"/>
      <c r="P78" s="18"/>
      <c r="Q78" s="18"/>
      <c r="R78" s="18"/>
      <c r="S78" s="18"/>
      <c r="T78" s="18"/>
      <c r="U78" s="18"/>
      <c r="V78" s="18"/>
      <c r="W78" s="18"/>
      <c r="X78" s="18"/>
      <c r="Y78" s="18"/>
    </row>
    <row r="79" spans="1:25">
      <c r="A79" s="96" t="s">
        <v>106</v>
      </c>
      <c r="B79" s="438"/>
      <c r="C79" s="107">
        <f>VLOOKUP(A79,'imp-questions'!A:H,5,0)</f>
        <v>3</v>
      </c>
      <c r="D79" s="49" t="str">
        <f>VLOOKUP(A79,'imp-questions'!A:H,6,0)</f>
        <v>Do you use a standard requirements framework to streamline the elicitation of security requirements?</v>
      </c>
      <c r="E79" s="50" t="str">
        <f>CHAR(65+VLOOKUP(A79,'imp-questions'!A:H,8,0))</f>
        <v>F</v>
      </c>
      <c r="F79" s="108" t="s">
        <v>68</v>
      </c>
      <c r="G79" s="62">
        <f>IFERROR(VLOOKUP(F79,AnsFTBL,2,0),0)</f>
        <v>1</v>
      </c>
      <c r="H79" s="53">
        <f>IFERROR(AVERAGE(G79,G86),0)</f>
        <v>0.625</v>
      </c>
      <c r="I79" s="426"/>
      <c r="J79" s="109"/>
      <c r="K79" s="411"/>
      <c r="L79" s="393"/>
      <c r="M79" s="394"/>
      <c r="N79" s="31"/>
      <c r="O79" s="31"/>
      <c r="P79" s="18"/>
      <c r="Q79" s="18"/>
      <c r="R79" s="18"/>
      <c r="S79" s="18"/>
      <c r="T79" s="18"/>
      <c r="U79" s="18"/>
      <c r="V79" s="18"/>
      <c r="W79" s="18"/>
      <c r="X79" s="18"/>
      <c r="Y79" s="18"/>
    </row>
    <row r="80" spans="1:25" ht="56">
      <c r="B80" s="438"/>
      <c r="C80" s="65"/>
      <c r="D80" s="55" t="str">
        <f>VLOOKUP(A79,'imp-questions'!A:H,7,0)</f>
        <v>A security requirements framework is available for project teams
The framework is categorized by common requirements and standards-based requirements
The framework gives clear guidance on the quality of requirements and how to describe them
The framework is adaptable to specific business requirements</v>
      </c>
      <c r="E80" s="56"/>
      <c r="F80" s="90"/>
      <c r="G80" s="91"/>
      <c r="H80" s="67"/>
      <c r="I80" s="426"/>
      <c r="J80" s="109"/>
      <c r="K80" s="411"/>
      <c r="L80" s="393"/>
      <c r="M80" s="394"/>
      <c r="N80" s="31"/>
      <c r="O80" s="31"/>
      <c r="P80" s="18"/>
      <c r="Q80" s="18"/>
      <c r="R80" s="18"/>
      <c r="S80" s="18"/>
      <c r="T80" s="18"/>
      <c r="U80" s="18"/>
      <c r="V80" s="18"/>
      <c r="W80" s="18"/>
      <c r="X80" s="18"/>
      <c r="Y80" s="18"/>
    </row>
    <row r="81" spans="1:25">
      <c r="B81" s="73"/>
      <c r="C81" s="74"/>
      <c r="D81" s="74"/>
      <c r="E81" s="74"/>
      <c r="F81" s="74"/>
      <c r="G81" s="74"/>
      <c r="H81" s="74"/>
      <c r="I81" s="74"/>
      <c r="J81" s="75"/>
      <c r="K81" s="74"/>
      <c r="L81" s="74"/>
      <c r="M81" s="76"/>
      <c r="N81" s="31"/>
      <c r="O81" s="31"/>
      <c r="P81" s="18"/>
      <c r="Q81" s="18"/>
      <c r="R81" s="18"/>
      <c r="S81" s="18"/>
      <c r="T81" s="18"/>
      <c r="U81" s="18"/>
      <c r="V81" s="18"/>
      <c r="W81" s="18"/>
      <c r="X81" s="18"/>
      <c r="Y81" s="18"/>
    </row>
    <row r="82" spans="1:25">
      <c r="A82" s="96" t="s">
        <v>107</v>
      </c>
      <c r="B82" s="435" t="str">
        <f>VLOOKUP(A82,'imp-questions'!A:H,4,0)</f>
        <v>Supplier Security</v>
      </c>
      <c r="C82" s="107">
        <f>VLOOKUP(A82,'imp-questions'!A:H,5,0)</f>
        <v>1</v>
      </c>
      <c r="D82" s="49" t="str">
        <f>VLOOKUP(A82,'imp-questions'!A:H,6,0)</f>
        <v>Do stakeholders review vendor collaborations for security requirements and methodology?</v>
      </c>
      <c r="E82" s="50" t="str">
        <f>CHAR(65+VLOOKUP(A82,'imp-questions'!A:H,8,0))</f>
        <v>H</v>
      </c>
      <c r="F82" s="121" t="s">
        <v>105</v>
      </c>
      <c r="G82" s="62">
        <f>IFERROR(VLOOKUP(F82,AnsHTBL,2,0),0)</f>
        <v>1</v>
      </c>
      <c r="H82" s="63"/>
      <c r="I82" s="431"/>
      <c r="J82" s="111"/>
      <c r="K82" s="437"/>
      <c r="L82" s="393"/>
      <c r="M82" s="394"/>
      <c r="N82" s="31"/>
      <c r="O82" s="31"/>
      <c r="P82" s="18"/>
      <c r="Q82" s="18"/>
      <c r="R82" s="18"/>
      <c r="S82" s="18"/>
      <c r="T82" s="18"/>
      <c r="U82" s="18"/>
      <c r="V82" s="18"/>
      <c r="W82" s="18"/>
      <c r="X82" s="18"/>
      <c r="Y82" s="18"/>
    </row>
    <row r="83" spans="1:25" ht="32" customHeight="1">
      <c r="B83" s="435"/>
      <c r="C83" s="54"/>
      <c r="D83" s="68" t="str">
        <f>VLOOKUP(A82,'imp-questions'!A:H,7,0)</f>
        <v>You consider including specific security requirements, activities, and processes when creating third-party agreements
A vendor questionnaire is available and used to assess the strengths and weaknesses of your suppliers</v>
      </c>
      <c r="E83" s="56"/>
      <c r="F83" s="90"/>
      <c r="G83" s="91"/>
      <c r="H83" s="92"/>
      <c r="I83" s="431"/>
      <c r="J83" s="111"/>
      <c r="K83" s="437"/>
      <c r="L83" s="393"/>
      <c r="M83" s="394"/>
      <c r="N83" s="31"/>
      <c r="O83" s="31"/>
      <c r="P83" s="18"/>
      <c r="Q83" s="18"/>
      <c r="R83" s="18"/>
      <c r="S83" s="18"/>
      <c r="T83" s="18"/>
      <c r="U83" s="18"/>
      <c r="V83" s="18"/>
      <c r="W83" s="18"/>
      <c r="X83" s="18"/>
      <c r="Y83" s="18"/>
    </row>
    <row r="84" spans="1:25">
      <c r="A84" s="96" t="s">
        <v>108</v>
      </c>
      <c r="B84" s="435"/>
      <c r="C84" s="107">
        <f>VLOOKUP(A84,'imp-questions'!A:H,5,0)</f>
        <v>2</v>
      </c>
      <c r="D84" s="49" t="str">
        <f>VLOOKUP(A84,'imp-questions'!A:H,6,0)</f>
        <v>Do vendors meet the security responsibilities and quality measures of service level agreements defined by the organization?</v>
      </c>
      <c r="E84" s="50" t="str">
        <f>CHAR(65+VLOOKUP(A84,'imp-questions'!A:H,8,0))</f>
        <v>H</v>
      </c>
      <c r="F84" s="121" t="s">
        <v>109</v>
      </c>
      <c r="G84" s="62">
        <f>IFERROR(VLOOKUP(F84,AnsHTBL,2,0),0)</f>
        <v>0.25</v>
      </c>
      <c r="H84" s="63"/>
      <c r="I84" s="431"/>
      <c r="J84" s="111"/>
      <c r="K84" s="437"/>
      <c r="L84" s="393"/>
      <c r="M84" s="394"/>
      <c r="N84" s="31"/>
      <c r="O84" s="31"/>
      <c r="P84" s="18"/>
      <c r="Q84" s="18"/>
      <c r="R84" s="18"/>
      <c r="S84" s="18"/>
      <c r="T84" s="18"/>
      <c r="U84" s="18"/>
      <c r="V84" s="18"/>
      <c r="W84" s="18"/>
      <c r="X84" s="18"/>
      <c r="Y84" s="18"/>
    </row>
    <row r="85" spans="1:25" ht="74" customHeight="1">
      <c r="B85" s="435"/>
      <c r="C85" s="54"/>
      <c r="D85" s="68" t="str">
        <f>VLOOKUP(A84,'imp-questions'!A:H,7,0)</f>
        <v>You discuss security requirements with the vendor when creating vendor agreements
Vendor agreements provide specific guidance on security defect remediation within an agreed upon timeframe
The organization has a templated agreement of responsibilities and service levels for key vendor security processes
You measure key performance indicators</v>
      </c>
      <c r="E85" s="56"/>
      <c r="F85" s="90"/>
      <c r="G85" s="91"/>
      <c r="H85" s="92"/>
      <c r="I85" s="431"/>
      <c r="J85" s="111"/>
      <c r="K85" s="437"/>
      <c r="L85" s="393"/>
      <c r="M85" s="394"/>
      <c r="N85" s="31"/>
      <c r="O85" s="31"/>
      <c r="P85" s="18"/>
      <c r="Q85" s="18"/>
      <c r="R85" s="18"/>
      <c r="S85" s="18"/>
      <c r="T85" s="18"/>
      <c r="U85" s="18"/>
      <c r="V85" s="18"/>
      <c r="W85" s="18"/>
      <c r="X85" s="18"/>
      <c r="Y85" s="18"/>
    </row>
    <row r="86" spans="1:25" ht="28">
      <c r="A86" s="96" t="s">
        <v>110</v>
      </c>
      <c r="B86" s="435"/>
      <c r="C86" s="107">
        <f>VLOOKUP(A86,'imp-questions'!A:H,5,0)</f>
        <v>3</v>
      </c>
      <c r="D86" s="49" t="str">
        <f>VLOOKUP(A86,'imp-questions'!A:H,6,0)</f>
        <v>Are vendors aligned with standard security controls and software development tools and processes that the organization utilizes?</v>
      </c>
      <c r="E86" s="50" t="str">
        <f>CHAR(65+VLOOKUP(A86,'imp-questions'!A:H,8,0))</f>
        <v>H</v>
      </c>
      <c r="F86" s="121" t="s">
        <v>109</v>
      </c>
      <c r="G86" s="62">
        <f>IFERROR(VLOOKUP(F86,AnsHTBL,2,0),0)</f>
        <v>0.25</v>
      </c>
      <c r="H86" s="63"/>
      <c r="I86" s="431"/>
      <c r="J86" s="111"/>
      <c r="K86" s="437"/>
      <c r="L86" s="393"/>
      <c r="M86" s="394"/>
      <c r="N86" s="31"/>
      <c r="O86" s="31"/>
      <c r="P86" s="18"/>
      <c r="Q86" s="18"/>
      <c r="R86" s="18"/>
      <c r="S86" s="18"/>
      <c r="T86" s="18"/>
      <c r="U86" s="18"/>
      <c r="V86" s="18"/>
      <c r="W86" s="18"/>
      <c r="X86" s="18"/>
      <c r="Y86" s="18"/>
    </row>
    <row r="87" spans="1:25" ht="72" customHeight="1">
      <c r="B87" s="435"/>
      <c r="C87" s="65"/>
      <c r="D87" s="55" t="str">
        <f>VLOOKUP(A86,'imp-questions'!A:H,7,0)</f>
        <v>The vendor has a secure SDLC that includes secure build, secure deployment, defect management, and incident management that align with those used in your organization
You verify the solution meets quality and security objectives before every major release
When standard verification processes are not available, you use compensating controls such as software composition analysis and independent penetration testing</v>
      </c>
      <c r="E87" s="56"/>
      <c r="F87" s="90"/>
      <c r="G87" s="91"/>
      <c r="H87" s="92"/>
      <c r="I87" s="431"/>
      <c r="J87" s="111"/>
      <c r="K87" s="437"/>
      <c r="L87" s="393"/>
      <c r="M87" s="394"/>
      <c r="N87" s="31"/>
      <c r="O87" s="31"/>
      <c r="P87" s="18"/>
      <c r="Q87" s="18"/>
      <c r="R87" s="18"/>
      <c r="S87" s="18"/>
      <c r="T87" s="18"/>
      <c r="U87" s="18"/>
      <c r="V87" s="18"/>
      <c r="W87" s="18"/>
      <c r="X87" s="18"/>
      <c r="Y87" s="18"/>
    </row>
    <row r="88" spans="1:25" ht="13.25" customHeight="1">
      <c r="B88" s="434" t="s">
        <v>111</v>
      </c>
      <c r="C88" s="434"/>
      <c r="D88" s="434"/>
      <c r="E88" s="112"/>
      <c r="F88" s="113" t="s">
        <v>52</v>
      </c>
      <c r="G88" s="113"/>
      <c r="H88" s="114"/>
      <c r="I88" s="115" t="s">
        <v>53</v>
      </c>
      <c r="J88" s="116" t="s">
        <v>54</v>
      </c>
      <c r="K88" s="117"/>
      <c r="L88" s="118"/>
      <c r="M88" s="119"/>
      <c r="N88" s="31"/>
      <c r="O88" s="31"/>
      <c r="P88" s="18"/>
      <c r="Q88" s="18"/>
      <c r="R88" s="18"/>
      <c r="S88" s="18"/>
      <c r="T88" s="18"/>
      <c r="U88" s="18"/>
      <c r="V88" s="18"/>
      <c r="W88" s="18"/>
      <c r="X88" s="18"/>
      <c r="Y88" s="18"/>
    </row>
    <row r="89" spans="1:25" ht="14" customHeight="1">
      <c r="A89" s="96" t="s">
        <v>112</v>
      </c>
      <c r="B89" s="435" t="str">
        <f>VLOOKUP(A89,'imp-questions'!A:H,4,0)</f>
        <v>Architecture Design</v>
      </c>
      <c r="C89" s="107">
        <f>VLOOKUP(A89,'imp-questions'!A:H,5,0)</f>
        <v>1</v>
      </c>
      <c r="D89" s="49" t="str">
        <f>VLOOKUP(A89,'imp-questions'!A:H,6,0)</f>
        <v>Do teams use security principles during design?</v>
      </c>
      <c r="E89" s="50" t="str">
        <f>CHAR(65+VLOOKUP(A89,'imp-questions'!A:H,8,0))</f>
        <v>F</v>
      </c>
      <c r="F89" s="108" t="s">
        <v>68</v>
      </c>
      <c r="G89" s="62">
        <f>IFERROR(VLOOKUP(F89,AnsFTBL,2,0),0)</f>
        <v>1</v>
      </c>
      <c r="H89" s="53">
        <f>IFERROR(AVERAGE(G89,G96),0)</f>
        <v>1</v>
      </c>
      <c r="I89" s="391"/>
      <c r="J89" s="436">
        <f>SUM(H89,H91,H93)</f>
        <v>1.875</v>
      </c>
      <c r="K89" s="400"/>
      <c r="L89" s="393"/>
      <c r="M89" s="394"/>
      <c r="N89" s="31"/>
      <c r="O89" s="31"/>
      <c r="P89" s="18"/>
      <c r="Q89" s="18"/>
      <c r="R89" s="18"/>
      <c r="S89" s="18"/>
      <c r="T89" s="18"/>
      <c r="U89" s="18"/>
      <c r="V89" s="18"/>
      <c r="W89" s="18"/>
      <c r="X89" s="18"/>
      <c r="Y89" s="18"/>
    </row>
    <row r="90" spans="1:25" ht="42">
      <c r="B90" s="435"/>
      <c r="C90" s="54"/>
      <c r="D90" s="68" t="str">
        <f>VLOOKUP(A89,'imp-questions'!A:H,7,0)</f>
        <v>You have an agreed upon checklist of security principles
You store your checklist in an accessible location
Relevant stakeholders understand security principles</v>
      </c>
      <c r="E90" s="56"/>
      <c r="F90" s="90"/>
      <c r="G90" s="91"/>
      <c r="H90" s="59"/>
      <c r="I90" s="391"/>
      <c r="J90" s="436"/>
      <c r="K90" s="400"/>
      <c r="L90" s="393"/>
      <c r="M90" s="394"/>
      <c r="N90" s="31"/>
      <c r="O90" s="31"/>
      <c r="P90" s="18"/>
      <c r="Q90" s="18"/>
      <c r="R90" s="18"/>
      <c r="S90" s="18"/>
      <c r="T90" s="18"/>
      <c r="U90" s="18"/>
      <c r="V90" s="18"/>
      <c r="W90" s="18"/>
      <c r="X90" s="18"/>
      <c r="Y90" s="18"/>
    </row>
    <row r="91" spans="1:25">
      <c r="A91" s="96" t="s">
        <v>113</v>
      </c>
      <c r="B91" s="435"/>
      <c r="C91" s="107">
        <f>VLOOKUP(A91,'imp-questions'!A:H,5,0)</f>
        <v>2</v>
      </c>
      <c r="D91" s="49" t="str">
        <f>VLOOKUP(A91,'imp-questions'!A:H,6,0)</f>
        <v>Do you use shared security services during design?</v>
      </c>
      <c r="E91" s="50" t="str">
        <f>CHAR(65+VLOOKUP(A91,'imp-questions'!A:H,8,0))</f>
        <v>F</v>
      </c>
      <c r="F91" s="108" t="s">
        <v>114</v>
      </c>
      <c r="G91" s="62">
        <f>IFERROR(VLOOKUP(F91,AnsFTBL,2,0),0)</f>
        <v>0.25</v>
      </c>
      <c r="H91" s="53">
        <f>IFERROR(AVERAGE(G91,G98),0)</f>
        <v>0.375</v>
      </c>
      <c r="I91" s="425"/>
      <c r="J91" s="109"/>
      <c r="K91" s="410"/>
      <c r="L91" s="393"/>
      <c r="M91" s="394"/>
      <c r="N91" s="31"/>
      <c r="O91" s="31"/>
      <c r="P91" s="18"/>
      <c r="Q91" s="18"/>
      <c r="R91" s="18"/>
      <c r="S91" s="18"/>
      <c r="T91" s="18"/>
      <c r="U91" s="18"/>
      <c r="V91" s="18"/>
      <c r="W91" s="18"/>
      <c r="X91" s="18"/>
      <c r="Y91" s="18"/>
    </row>
    <row r="92" spans="1:25" ht="42">
      <c r="B92" s="435"/>
      <c r="C92" s="54"/>
      <c r="D92" s="68" t="str">
        <f>VLOOKUP(A91,'imp-questions'!A:H,7,0)</f>
        <v>You have a documented list of reusable security services, available to relevant stakeholders
You have reviewed the baseline security posture for each selected service
Your designers are trained to integrate each selected service following available guidance</v>
      </c>
      <c r="E92" s="56"/>
      <c r="F92" s="90"/>
      <c r="G92" s="91"/>
      <c r="H92" s="67"/>
      <c r="I92" s="425"/>
      <c r="J92" s="109"/>
      <c r="K92" s="410"/>
      <c r="L92" s="393"/>
      <c r="M92" s="394"/>
      <c r="N92" s="31"/>
      <c r="O92" s="31"/>
      <c r="P92" s="18"/>
      <c r="Q92" s="18"/>
      <c r="R92" s="18"/>
      <c r="S92" s="18"/>
      <c r="T92" s="18"/>
      <c r="U92" s="18"/>
      <c r="V92" s="18"/>
      <c r="W92" s="18"/>
      <c r="X92" s="18"/>
      <c r="Y92" s="18"/>
    </row>
    <row r="93" spans="1:25">
      <c r="A93" s="96" t="s">
        <v>115</v>
      </c>
      <c r="B93" s="435"/>
      <c r="C93" s="107">
        <f>VLOOKUP(A93,'imp-questions'!A:H,5,0)</f>
        <v>3</v>
      </c>
      <c r="D93" s="49" t="str">
        <f>VLOOKUP(A93,'imp-questions'!A:H,6,0)</f>
        <v>Do you base your design on available reference architectures?</v>
      </c>
      <c r="E93" s="50" t="str">
        <f>CHAR(65+VLOOKUP(A93,'imp-questions'!A:H,8,0))</f>
        <v>F</v>
      </c>
      <c r="F93" s="108" t="s">
        <v>64</v>
      </c>
      <c r="G93" s="62">
        <f>IFERROR(VLOOKUP(F93,AnsFTBL,2,0),0)</f>
        <v>0</v>
      </c>
      <c r="H93" s="53">
        <f>IFERROR(AVERAGE(G93,G100),0)</f>
        <v>0.5</v>
      </c>
      <c r="I93" s="426"/>
      <c r="J93" s="109"/>
      <c r="K93" s="411"/>
      <c r="L93" s="393"/>
      <c r="M93" s="394"/>
      <c r="N93" s="31"/>
      <c r="O93" s="31"/>
      <c r="P93" s="18"/>
      <c r="Q93" s="18"/>
      <c r="R93" s="18"/>
      <c r="S93" s="18"/>
      <c r="T93" s="18"/>
      <c r="U93" s="18"/>
      <c r="V93" s="18"/>
      <c r="W93" s="18"/>
      <c r="X93" s="18"/>
      <c r="Y93" s="18"/>
    </row>
    <row r="94" spans="1:25" ht="42">
      <c r="B94" s="435"/>
      <c r="C94" s="65"/>
      <c r="D94" s="55" t="str">
        <f>VLOOKUP(A93,'imp-questions'!A:H,7,0)</f>
        <v>You have one or more approved reference architectures documented and available to stakeholders
You improve the reference architectures continuously based on insights and best practices
You provide a set of components, libraries, and tools to implement each reference architecture</v>
      </c>
      <c r="E94" s="56"/>
      <c r="F94" s="90"/>
      <c r="G94" s="91"/>
      <c r="H94" s="67"/>
      <c r="I94" s="426"/>
      <c r="J94" s="109"/>
      <c r="K94" s="411"/>
      <c r="L94" s="393"/>
      <c r="M94" s="394"/>
      <c r="N94" s="31"/>
      <c r="O94" s="31"/>
      <c r="P94" s="18"/>
      <c r="Q94" s="18"/>
      <c r="R94" s="18"/>
      <c r="S94" s="18"/>
      <c r="T94" s="18"/>
      <c r="U94" s="18"/>
      <c r="V94" s="18"/>
      <c r="W94" s="18"/>
      <c r="X94" s="18"/>
      <c r="Y94" s="18"/>
    </row>
    <row r="95" spans="1:25">
      <c r="B95" s="73"/>
      <c r="C95" s="74"/>
      <c r="D95" s="74"/>
      <c r="E95" s="74"/>
      <c r="F95" s="74"/>
      <c r="G95" s="74"/>
      <c r="H95" s="74"/>
      <c r="I95" s="74"/>
      <c r="J95" s="75"/>
      <c r="K95" s="74"/>
      <c r="L95" s="74"/>
      <c r="M95" s="76"/>
      <c r="N95" s="31"/>
      <c r="O95" s="31"/>
      <c r="P95" s="18"/>
      <c r="Q95" s="18"/>
      <c r="R95" s="18"/>
      <c r="S95" s="18"/>
      <c r="T95" s="18"/>
      <c r="U95" s="18"/>
      <c r="V95" s="18"/>
      <c r="W95" s="18"/>
      <c r="X95" s="18"/>
      <c r="Y95" s="18"/>
    </row>
    <row r="96" spans="1:25">
      <c r="A96" s="96" t="s">
        <v>116</v>
      </c>
      <c r="B96" s="430" t="str">
        <f>VLOOKUP(A96,'imp-questions'!A:H,4,0)</f>
        <v>Technology Management</v>
      </c>
      <c r="C96" s="107">
        <f>VLOOKUP(A96,'imp-questions'!A:H,5,0)</f>
        <v>1</v>
      </c>
      <c r="D96" s="49" t="str">
        <f>VLOOKUP(A96,'imp-questions'!A:H,6,0)</f>
        <v>Do you evaluate the security quality of important technologies used for development?</v>
      </c>
      <c r="E96" s="50" t="str">
        <f>CHAR(65+VLOOKUP(A96,'imp-questions'!A:H,8,0))</f>
        <v>F</v>
      </c>
      <c r="F96" s="108" t="s">
        <v>68</v>
      </c>
      <c r="G96" s="62">
        <f>IFERROR(VLOOKUP(F96,AnsFTBL,2,0),0)</f>
        <v>1</v>
      </c>
      <c r="H96" s="63"/>
      <c r="I96" s="431"/>
      <c r="J96" s="111"/>
      <c r="K96" s="432"/>
      <c r="L96" s="393"/>
      <c r="M96" s="394"/>
      <c r="N96" s="31"/>
      <c r="O96" s="31"/>
      <c r="P96" s="18"/>
      <c r="Q96" s="18"/>
      <c r="R96" s="18"/>
      <c r="S96" s="18"/>
      <c r="T96" s="18"/>
      <c r="U96" s="18"/>
      <c r="V96" s="18"/>
      <c r="W96" s="18"/>
      <c r="X96" s="18"/>
      <c r="Y96" s="18"/>
    </row>
    <row r="97" spans="1:25" ht="42">
      <c r="B97" s="430"/>
      <c r="C97" s="54"/>
      <c r="D97" s="68" t="str">
        <f>VLOOKUP(A96,'imp-questions'!A:H,7,0)</f>
        <v>You have a list of the most important technologies used in or in support of each application
You identify and track technological risks
You ensure the risks to these technologies are in line with the organizational baseline</v>
      </c>
      <c r="E97" s="56"/>
      <c r="F97" s="90"/>
      <c r="G97" s="91"/>
      <c r="H97" s="92"/>
      <c r="I97" s="431"/>
      <c r="J97" s="111"/>
      <c r="K97" s="432"/>
      <c r="L97" s="393"/>
      <c r="M97" s="394"/>
      <c r="N97" s="31"/>
      <c r="O97" s="31"/>
      <c r="P97" s="18"/>
      <c r="Q97" s="18"/>
      <c r="R97" s="18"/>
      <c r="S97" s="18"/>
      <c r="T97" s="18"/>
      <c r="U97" s="18"/>
      <c r="V97" s="18"/>
      <c r="W97" s="18"/>
      <c r="X97" s="18"/>
      <c r="Y97" s="18"/>
    </row>
    <row r="98" spans="1:25" ht="28">
      <c r="A98" s="96" t="s">
        <v>117</v>
      </c>
      <c r="B98" s="430"/>
      <c r="C98" s="107">
        <f>VLOOKUP(A98,'imp-questions'!A:H,5,0)</f>
        <v>2</v>
      </c>
      <c r="D98" s="49" t="str">
        <f>VLOOKUP(A98,'imp-questions'!A:H,6,0)</f>
        <v>Do you have a list of recommended technologies for the organization?</v>
      </c>
      <c r="E98" s="50" t="str">
        <f>CHAR(65+VLOOKUP(A98,'imp-questions'!A:H,8,0))</f>
        <v>U</v>
      </c>
      <c r="F98" s="121" t="s">
        <v>118</v>
      </c>
      <c r="G98" s="62">
        <f>IFERROR(VLOOKUP(F98,AnsUTBL,2,0),0)</f>
        <v>0.5</v>
      </c>
      <c r="H98" s="63"/>
      <c r="I98" s="431"/>
      <c r="J98" s="111"/>
      <c r="K98" s="432"/>
      <c r="L98" s="393"/>
      <c r="M98" s="394"/>
      <c r="N98" s="31"/>
      <c r="O98" s="31"/>
      <c r="P98" s="18"/>
      <c r="Q98" s="18"/>
      <c r="R98" s="18"/>
      <c r="S98" s="18"/>
      <c r="T98" s="18"/>
      <c r="U98" s="18"/>
      <c r="V98" s="18"/>
      <c r="W98" s="18"/>
      <c r="X98" s="18"/>
      <c r="Y98" s="18"/>
    </row>
    <row r="99" spans="1:25" ht="56">
      <c r="B99" s="430"/>
      <c r="C99" s="54"/>
      <c r="D99" s="68" t="str">
        <f>VLOOKUP(A98,'imp-questions'!A:H,7,0)</f>
        <v>The list is based on technologies used in the software portfolio
Lead architects and developers review and approve the list
You share the list across the organization
You review and update the list at least yearly</v>
      </c>
      <c r="E99" s="56"/>
      <c r="F99" s="90"/>
      <c r="G99" s="91"/>
      <c r="H99" s="92"/>
      <c r="I99" s="431"/>
      <c r="J99" s="111"/>
      <c r="K99" s="432"/>
      <c r="L99" s="393"/>
      <c r="M99" s="394"/>
      <c r="N99" s="31"/>
      <c r="O99" s="31"/>
      <c r="P99" s="18"/>
      <c r="Q99" s="18"/>
      <c r="R99" s="18"/>
      <c r="S99" s="18"/>
      <c r="T99" s="18"/>
      <c r="U99" s="18"/>
      <c r="V99" s="18"/>
      <c r="W99" s="18"/>
      <c r="X99" s="18"/>
      <c r="Y99" s="18"/>
    </row>
    <row r="100" spans="1:25">
      <c r="A100" s="96" t="s">
        <v>119</v>
      </c>
      <c r="B100" s="430"/>
      <c r="C100" s="107">
        <f>VLOOKUP(A100,'imp-questions'!A:H,5,0)</f>
        <v>3</v>
      </c>
      <c r="D100" s="49" t="str">
        <f>VLOOKUP(A100,'imp-questions'!A:H,6,0)</f>
        <v>Do you enforce the use of recommended technologies within the organization?</v>
      </c>
      <c r="E100" s="50" t="str">
        <f>CHAR(65+VLOOKUP(A100,'imp-questions'!A:H,8,0))</f>
        <v>F</v>
      </c>
      <c r="F100" s="108" t="s">
        <v>68</v>
      </c>
      <c r="G100" s="62">
        <f>IFERROR(VLOOKUP(F100,AnsFTBL,2,0),0)</f>
        <v>1</v>
      </c>
      <c r="H100" s="63"/>
      <c r="I100" s="433"/>
      <c r="J100" s="111"/>
      <c r="K100" s="392"/>
      <c r="L100" s="393"/>
      <c r="M100" s="394"/>
      <c r="N100" s="31"/>
      <c r="O100" s="31"/>
      <c r="P100" s="18"/>
      <c r="Q100" s="18"/>
      <c r="R100" s="18"/>
      <c r="S100" s="18"/>
      <c r="T100" s="18"/>
      <c r="U100" s="18"/>
      <c r="V100" s="18"/>
      <c r="W100" s="18"/>
      <c r="X100" s="18"/>
      <c r="Y100" s="18"/>
    </row>
    <row r="101" spans="1:25" ht="42">
      <c r="B101" s="430"/>
      <c r="C101" s="54"/>
      <c r="D101" s="68" t="str">
        <f>VLOOKUP(A100,'imp-questions'!A:H,7,0)</f>
        <v>You monitor applications regularly for the correct use of the recommended technologies
You solve violations against the list accoranding to organizational policies
You take action if the number of violations falls outside the yearly objectives</v>
      </c>
      <c r="E101" s="69"/>
      <c r="F101" s="93"/>
      <c r="G101" s="94"/>
      <c r="H101" s="95"/>
      <c r="I101" s="433"/>
      <c r="J101" s="111"/>
      <c r="K101" s="392"/>
      <c r="L101" s="393"/>
      <c r="M101" s="394"/>
      <c r="N101" s="31"/>
      <c r="O101" s="31"/>
      <c r="P101" s="18"/>
      <c r="Q101" s="18"/>
      <c r="R101" s="18"/>
      <c r="S101" s="18"/>
      <c r="T101" s="18"/>
      <c r="U101" s="18"/>
      <c r="V101" s="18"/>
      <c r="W101" s="18"/>
      <c r="X101" s="18"/>
      <c r="Y101" s="18"/>
    </row>
    <row r="102" spans="1:25" ht="12.75" customHeight="1">
      <c r="B102" s="429" t="s">
        <v>120</v>
      </c>
      <c r="C102" s="429"/>
      <c r="D102" s="429"/>
      <c r="E102" s="429"/>
      <c r="F102" s="429"/>
      <c r="G102" s="429"/>
      <c r="H102" s="429"/>
      <c r="I102" s="429"/>
      <c r="J102" s="429"/>
      <c r="K102" s="122"/>
      <c r="L102" s="122"/>
      <c r="M102" s="123"/>
      <c r="N102" s="31"/>
      <c r="O102" s="31"/>
      <c r="P102" s="18"/>
      <c r="Q102" s="18"/>
      <c r="R102" s="18"/>
      <c r="S102" s="18"/>
      <c r="T102" s="18"/>
      <c r="U102" s="18"/>
      <c r="V102" s="18"/>
      <c r="W102" s="18"/>
      <c r="X102" s="18"/>
      <c r="Y102" s="18"/>
    </row>
    <row r="103" spans="1:25" ht="12.75" customHeight="1">
      <c r="B103" s="419" t="s">
        <v>121</v>
      </c>
      <c r="C103" s="419"/>
      <c r="D103" s="419"/>
      <c r="E103" s="125"/>
      <c r="F103" s="124" t="s">
        <v>52</v>
      </c>
      <c r="G103" s="124"/>
      <c r="H103" s="126"/>
      <c r="I103" s="127" t="s">
        <v>53</v>
      </c>
      <c r="J103" s="128" t="s">
        <v>54</v>
      </c>
      <c r="K103" s="129"/>
      <c r="L103" s="130"/>
      <c r="M103" s="131"/>
      <c r="N103" s="31"/>
      <c r="O103" s="31"/>
      <c r="P103" s="18"/>
      <c r="Q103" s="18"/>
      <c r="R103" s="18"/>
      <c r="S103" s="18"/>
      <c r="T103" s="18"/>
      <c r="U103" s="18"/>
      <c r="V103" s="18"/>
      <c r="W103" s="18"/>
      <c r="X103" s="18"/>
      <c r="Y103" s="18"/>
    </row>
    <row r="104" spans="1:25">
      <c r="A104" s="96" t="s">
        <v>122</v>
      </c>
      <c r="B104" s="418" t="str">
        <f>VLOOKUP(A104,'imp-questions'!A:H,4,0)</f>
        <v>Build Process</v>
      </c>
      <c r="C104" s="133">
        <f>VLOOKUP(A104,'imp-questions'!A:H,5,0)</f>
        <v>1</v>
      </c>
      <c r="D104" s="49" t="str">
        <f>VLOOKUP(A104,'imp-questions'!A:H,6,0)</f>
        <v>Is your full build process formally described?</v>
      </c>
      <c r="E104" s="50" t="str">
        <f>CHAR(65+VLOOKUP(A104,'imp-questions'!A:H,8,0))</f>
        <v>F</v>
      </c>
      <c r="F104" s="108" t="s">
        <v>68</v>
      </c>
      <c r="G104" s="62">
        <f>IFERROR(VLOOKUP(F104,AnsFTBL,2,0),0)</f>
        <v>1</v>
      </c>
      <c r="H104" s="53">
        <f>IFERROR(AVERAGE(G104,G111),0)</f>
        <v>0.625</v>
      </c>
      <c r="I104" s="391"/>
      <c r="J104" s="420">
        <f>SUM(H104,H106,H108)</f>
        <v>1.5</v>
      </c>
      <c r="K104" s="400"/>
      <c r="L104" s="393"/>
      <c r="M104" s="394"/>
      <c r="N104" s="31"/>
      <c r="O104" s="31"/>
      <c r="P104" s="18"/>
      <c r="Q104" s="18"/>
      <c r="R104" s="18"/>
      <c r="S104" s="18"/>
      <c r="T104" s="18"/>
      <c r="U104" s="18"/>
      <c r="V104" s="18"/>
      <c r="W104" s="18"/>
      <c r="X104" s="18"/>
      <c r="Y104" s="18"/>
    </row>
    <row r="105" spans="1:25" ht="70">
      <c r="B105" s="418"/>
      <c r="C105" s="54"/>
      <c r="D105" s="68" t="str">
        <f>VLOOKUP(A104,'imp-questions'!A:H,7,0)</f>
        <v>You have enough information to recreate the build processes
Your build documentation up to date
Your build documentation is stored in an accessible location
Produced artifact checksums are created during build to support later verification
You harden the tools that are used within the build process</v>
      </c>
      <c r="E105" s="56"/>
      <c r="F105" s="90"/>
      <c r="G105" s="91"/>
      <c r="H105" s="59"/>
      <c r="I105" s="391"/>
      <c r="J105" s="420"/>
      <c r="K105" s="400"/>
      <c r="L105" s="393"/>
      <c r="M105" s="394"/>
      <c r="N105" s="31"/>
      <c r="O105" s="31"/>
      <c r="P105" s="18"/>
      <c r="Q105" s="18"/>
      <c r="R105" s="18"/>
      <c r="S105" s="18"/>
      <c r="T105" s="18"/>
      <c r="U105" s="18"/>
      <c r="V105" s="18"/>
      <c r="W105" s="18"/>
      <c r="X105" s="18"/>
      <c r="Y105" s="18"/>
    </row>
    <row r="106" spans="1:25" ht="28">
      <c r="A106" s="96" t="s">
        <v>123</v>
      </c>
      <c r="B106" s="418"/>
      <c r="C106" s="133">
        <f>VLOOKUP(A106,'imp-questions'!A:H,5,0)</f>
        <v>2</v>
      </c>
      <c r="D106" s="49" t="str">
        <f>VLOOKUP(A106,'imp-questions'!A:H,6,0)</f>
        <v>Is the build process fully automated?</v>
      </c>
      <c r="E106" s="50" t="str">
        <f>CHAR(65+VLOOKUP(A106,'imp-questions'!A:H,8,0))</f>
        <v>F</v>
      </c>
      <c r="F106" s="108" t="s">
        <v>124</v>
      </c>
      <c r="G106" s="62">
        <f>IFERROR(VLOOKUP(F106,AnsFTBL,2,0),0)</f>
        <v>0.5</v>
      </c>
      <c r="H106" s="53">
        <f>IFERROR(AVERAGE(G106,G113),0)</f>
        <v>0.75</v>
      </c>
      <c r="I106" s="425"/>
      <c r="J106" s="109"/>
      <c r="K106" s="410"/>
      <c r="L106" s="393"/>
      <c r="M106" s="394"/>
      <c r="N106" s="31"/>
      <c r="O106" s="31"/>
      <c r="P106" s="18"/>
      <c r="Q106" s="18"/>
      <c r="R106" s="18"/>
      <c r="S106" s="18"/>
      <c r="T106" s="18"/>
      <c r="U106" s="18"/>
      <c r="V106" s="18"/>
      <c r="W106" s="18"/>
      <c r="X106" s="18"/>
      <c r="Y106" s="18"/>
    </row>
    <row r="107" spans="1:25" ht="42">
      <c r="B107" s="418"/>
      <c r="C107" s="54"/>
      <c r="D107" s="68" t="str">
        <f>VLOOKUP(A106,'imp-questions'!A:H,7,0)</f>
        <v>The build process itself doesn't require any human interaction
Your build tools are hardened as per best practice and vendor guidance
You encrypt the secrets required by the build tools and control access based on the principle of least privilege</v>
      </c>
      <c r="E107" s="56"/>
      <c r="F107" s="90"/>
      <c r="G107" s="91"/>
      <c r="H107" s="67"/>
      <c r="I107" s="425"/>
      <c r="J107" s="109"/>
      <c r="K107" s="410"/>
      <c r="L107" s="393"/>
      <c r="M107" s="394"/>
      <c r="N107" s="31"/>
      <c r="O107" s="31"/>
      <c r="P107" s="18"/>
      <c r="Q107" s="18"/>
      <c r="R107" s="18"/>
      <c r="S107" s="18"/>
      <c r="T107" s="18"/>
      <c r="U107" s="18"/>
      <c r="V107" s="18"/>
      <c r="W107" s="18"/>
      <c r="X107" s="18"/>
      <c r="Y107" s="18"/>
    </row>
    <row r="108" spans="1:25">
      <c r="A108" s="96" t="s">
        <v>125</v>
      </c>
      <c r="B108" s="418"/>
      <c r="C108" s="133">
        <f>VLOOKUP(A108,'imp-questions'!A:H,5,0)</f>
        <v>3</v>
      </c>
      <c r="D108" s="49" t="str">
        <f>VLOOKUP(A108,'imp-questions'!A:H,6,0)</f>
        <v>Do you enforce automated security checks in your build processes?</v>
      </c>
      <c r="E108" s="50" t="str">
        <f>CHAR(65+VLOOKUP(A108,'imp-questions'!A:H,8,0))</f>
        <v>F</v>
      </c>
      <c r="F108" s="108" t="s">
        <v>114</v>
      </c>
      <c r="G108" s="62">
        <f>IFERROR(VLOOKUP(F108,AnsFTBL,2,0),0)</f>
        <v>0.25</v>
      </c>
      <c r="H108" s="53">
        <f>IFERROR(AVERAGE(G108,G115),0)</f>
        <v>0.125</v>
      </c>
      <c r="I108" s="426"/>
      <c r="J108" s="109"/>
      <c r="K108" s="411"/>
      <c r="L108" s="393"/>
      <c r="M108" s="394"/>
      <c r="N108" s="31"/>
      <c r="O108" s="31"/>
      <c r="P108" s="18"/>
      <c r="Q108" s="18"/>
      <c r="R108" s="18"/>
      <c r="S108" s="18"/>
      <c r="T108" s="18"/>
      <c r="U108" s="18"/>
      <c r="V108" s="18"/>
      <c r="W108" s="18"/>
      <c r="X108" s="18"/>
      <c r="Y108" s="18"/>
    </row>
    <row r="109" spans="1:25" ht="56">
      <c r="B109" s="418"/>
      <c r="C109" s="65"/>
      <c r="D109" s="55" t="str">
        <f>VLOOKUP(A108,'imp-questions'!A:H,7,0)</f>
        <v>Builds fail if the application doesn't meet a predefined security baseline
You have a maximum accepted severity for vulnerabilties
You log warnings and failures in a centralized system
You select and configure tools to evaluate each application against its security requirements at least once a year</v>
      </c>
      <c r="E109" s="56"/>
      <c r="F109" s="90"/>
      <c r="G109" s="91"/>
      <c r="H109" s="67"/>
      <c r="I109" s="426"/>
      <c r="J109" s="109"/>
      <c r="K109" s="411"/>
      <c r="L109" s="393"/>
      <c r="M109" s="394"/>
      <c r="N109" s="31"/>
      <c r="O109" s="31"/>
      <c r="P109" s="18"/>
      <c r="Q109" s="18"/>
      <c r="R109" s="18"/>
      <c r="S109" s="18"/>
      <c r="T109" s="18"/>
      <c r="U109" s="18"/>
      <c r="V109" s="18"/>
      <c r="W109" s="18"/>
      <c r="X109" s="18"/>
      <c r="Y109" s="18"/>
    </row>
    <row r="110" spans="1:25">
      <c r="B110" s="73"/>
      <c r="C110" s="74"/>
      <c r="D110" s="74"/>
      <c r="E110" s="74"/>
      <c r="F110" s="74"/>
      <c r="G110" s="74"/>
      <c r="H110" s="74"/>
      <c r="I110" s="74"/>
      <c r="J110" s="75"/>
      <c r="K110" s="74"/>
      <c r="L110" s="74"/>
      <c r="M110" s="76"/>
      <c r="N110" s="31"/>
      <c r="O110" s="31"/>
      <c r="P110" s="18"/>
      <c r="Q110" s="18"/>
      <c r="R110" s="18"/>
      <c r="S110" s="18"/>
      <c r="T110" s="18"/>
      <c r="U110" s="18"/>
      <c r="V110" s="18"/>
      <c r="W110" s="18"/>
      <c r="X110" s="18"/>
      <c r="Y110" s="18"/>
    </row>
    <row r="111" spans="1:25">
      <c r="A111" s="96" t="s">
        <v>126</v>
      </c>
      <c r="B111" s="427" t="str">
        <f>VLOOKUP(A111,'imp-questions'!A:H,4,0)</f>
        <v>Software Dependencies</v>
      </c>
      <c r="C111" s="133">
        <f>VLOOKUP(A111,'imp-questions'!A:H,5,0)</f>
        <v>1</v>
      </c>
      <c r="D111" s="49" t="str">
        <f>VLOOKUP(A111,'imp-questions'!A:H,6,0)</f>
        <v>Do you have solid knowledge about dependencies you're relying on?</v>
      </c>
      <c r="E111" s="50" t="str">
        <f>CHAR(65+VLOOKUP(A111,'imp-questions'!A:H,8,0))</f>
        <v>F</v>
      </c>
      <c r="F111" s="108" t="s">
        <v>114</v>
      </c>
      <c r="G111" s="62">
        <f>IFERROR(VLOOKUP(F111,AnsFTBL,2,0),0)</f>
        <v>0.25</v>
      </c>
      <c r="H111" s="63"/>
      <c r="I111" s="391"/>
      <c r="J111" s="111"/>
      <c r="K111" s="400"/>
      <c r="L111" s="393"/>
      <c r="M111" s="394"/>
      <c r="N111" s="31"/>
      <c r="O111" s="31"/>
      <c r="P111" s="18"/>
      <c r="Q111" s="18"/>
      <c r="R111" s="18"/>
      <c r="S111" s="18"/>
      <c r="T111" s="18"/>
      <c r="U111" s="18"/>
      <c r="V111" s="18"/>
      <c r="W111" s="18"/>
      <c r="X111" s="18"/>
      <c r="Y111" s="18"/>
    </row>
    <row r="112" spans="1:25" ht="42">
      <c r="B112" s="427"/>
      <c r="C112" s="54"/>
      <c r="D112" s="68" t="str">
        <f>VLOOKUP(A111,'imp-questions'!A:H,7,0)</f>
        <v>You have a current bill of materials (BOM) for every application
You can quickly find out which applications are affected by a particular CVE
You have analyzed, addressed, and documented findings from dependencies at least once in the last three months</v>
      </c>
      <c r="E112" s="56"/>
      <c r="F112" s="90"/>
      <c r="G112" s="91"/>
      <c r="H112" s="92"/>
      <c r="I112" s="391"/>
      <c r="J112" s="111"/>
      <c r="K112" s="400"/>
      <c r="L112" s="393"/>
      <c r="M112" s="394"/>
      <c r="N112" s="31"/>
      <c r="O112" s="31"/>
      <c r="P112" s="18"/>
      <c r="Q112" s="18"/>
      <c r="R112" s="18"/>
      <c r="S112" s="18"/>
      <c r="T112" s="18"/>
      <c r="U112" s="18"/>
      <c r="V112" s="18"/>
      <c r="W112" s="18"/>
      <c r="X112" s="18"/>
      <c r="Y112" s="18"/>
    </row>
    <row r="113" spans="1:25">
      <c r="A113" s="96" t="s">
        <v>127</v>
      </c>
      <c r="B113" s="427"/>
      <c r="C113" s="133">
        <f>VLOOKUP(A113,'imp-questions'!A:H,5,0)</f>
        <v>2</v>
      </c>
      <c r="D113" s="49" t="str">
        <f>VLOOKUP(A113,'imp-questions'!A:H,6,0)</f>
        <v>Do you handle 3rd party dependency risk by a formal process?</v>
      </c>
      <c r="E113" s="50" t="str">
        <f>CHAR(65+VLOOKUP(A113,'imp-questions'!A:H,8,0))</f>
        <v>F</v>
      </c>
      <c r="F113" s="108" t="s">
        <v>68</v>
      </c>
      <c r="G113" s="62">
        <f>IFERROR(VLOOKUP(F113,AnsFTBL,2,0),0)</f>
        <v>1</v>
      </c>
      <c r="H113" s="63"/>
      <c r="I113" s="391"/>
      <c r="J113" s="111"/>
      <c r="K113" s="400"/>
      <c r="L113" s="393"/>
      <c r="M113" s="394"/>
      <c r="N113" s="31"/>
      <c r="O113" s="31"/>
      <c r="P113" s="18"/>
      <c r="Q113" s="18"/>
      <c r="R113" s="18"/>
      <c r="S113" s="18"/>
      <c r="T113" s="18"/>
      <c r="U113" s="18"/>
      <c r="V113" s="18"/>
      <c r="W113" s="18"/>
      <c r="X113" s="18"/>
      <c r="Y113" s="18"/>
    </row>
    <row r="114" spans="1:25" ht="70">
      <c r="B114" s="427"/>
      <c r="C114" s="54"/>
      <c r="D114" s="68" t="str">
        <f>VLOOKUP(A113,'imp-questions'!A:H,7,0)</f>
        <v>You keep a list of approved dependencies that meet predefined criteria
You automatically evaluate dependencies for new CVEs and alert responsible staff
You automatically detect and alert to license changes with possible impact on legal application usage
You track and alert to usage of unmaintained dependencies
You reliably detect and remove unnecessary dependencies from the software</v>
      </c>
      <c r="E114" s="56"/>
      <c r="F114" s="90"/>
      <c r="G114" s="91"/>
      <c r="H114" s="92"/>
      <c r="I114" s="391"/>
      <c r="J114" s="111"/>
      <c r="K114" s="400"/>
      <c r="L114" s="393"/>
      <c r="M114" s="394"/>
      <c r="N114" s="31"/>
      <c r="O114" s="31"/>
      <c r="P114" s="18"/>
      <c r="Q114" s="18"/>
      <c r="R114" s="18"/>
      <c r="S114" s="18"/>
      <c r="T114" s="18"/>
      <c r="U114" s="18"/>
      <c r="V114" s="18"/>
      <c r="W114" s="18"/>
      <c r="X114" s="18"/>
      <c r="Y114" s="18"/>
    </row>
    <row r="115" spans="1:25">
      <c r="A115" s="96" t="s">
        <v>128</v>
      </c>
      <c r="B115" s="427"/>
      <c r="C115" s="133">
        <f>VLOOKUP(A115,'imp-questions'!A:H,5,0)</f>
        <v>3</v>
      </c>
      <c r="D115" s="49" t="str">
        <f>VLOOKUP(A115,'imp-questions'!A:H,6,0)</f>
        <v>Do you prevent build of software if it's affected by vulnerabilities in dependencies?</v>
      </c>
      <c r="E115" s="50" t="str">
        <f>CHAR(65+VLOOKUP(A115,'imp-questions'!A:H,8,0))</f>
        <v>F</v>
      </c>
      <c r="F115" s="108" t="s">
        <v>64</v>
      </c>
      <c r="G115" s="62">
        <f>IFERROR(VLOOKUP(F115,AnsFTBL,2,0),0)</f>
        <v>0</v>
      </c>
      <c r="H115" s="63"/>
      <c r="I115" s="428"/>
      <c r="J115" s="111"/>
      <c r="K115" s="406"/>
      <c r="L115" s="393"/>
      <c r="M115" s="394"/>
      <c r="N115" s="31"/>
      <c r="O115" s="31"/>
      <c r="P115" s="18"/>
      <c r="Q115" s="18"/>
      <c r="R115" s="18"/>
      <c r="S115" s="18"/>
      <c r="T115" s="18"/>
      <c r="U115" s="18"/>
      <c r="V115" s="18"/>
      <c r="W115" s="18"/>
      <c r="X115" s="18"/>
      <c r="Y115" s="18"/>
    </row>
    <row r="116" spans="1:25" ht="70">
      <c r="B116" s="427"/>
      <c r="C116" s="54"/>
      <c r="D116" s="68" t="str">
        <f>VLOOKUP(A115,'imp-questions'!A:H,7,0)</f>
        <v>Your build system is connected to a system for tracking 3rd party dependency risk, causing build to fail unless the vulnerability is evaluated to be a false positive or the risk is explicitly accepted
You scan your dependencies using a static analysis tool
You report findings back to dependency authors using an established responsible disclosure process
Using a new dependency not evaluated for security risks causes the build to fail</v>
      </c>
      <c r="E116" s="69"/>
      <c r="F116" s="93"/>
      <c r="G116" s="94"/>
      <c r="H116" s="95"/>
      <c r="I116" s="428"/>
      <c r="J116" s="111"/>
      <c r="K116" s="406"/>
      <c r="L116" s="393"/>
      <c r="M116" s="394"/>
      <c r="N116" s="31"/>
      <c r="O116" s="31"/>
      <c r="P116" s="18"/>
      <c r="Q116" s="18"/>
      <c r="R116" s="18"/>
      <c r="S116" s="18"/>
      <c r="T116" s="18"/>
      <c r="U116" s="18"/>
      <c r="V116" s="18"/>
      <c r="W116" s="18"/>
      <c r="X116" s="18"/>
      <c r="Y116" s="18"/>
    </row>
    <row r="117" spans="1:25" ht="12.75" customHeight="1">
      <c r="B117" s="421" t="s">
        <v>129</v>
      </c>
      <c r="C117" s="421"/>
      <c r="D117" s="421"/>
      <c r="E117" s="134"/>
      <c r="F117" s="135" t="s">
        <v>52</v>
      </c>
      <c r="G117" s="136"/>
      <c r="H117" s="137"/>
      <c r="I117" s="138" t="s">
        <v>53</v>
      </c>
      <c r="J117" s="139" t="s">
        <v>54</v>
      </c>
      <c r="K117" s="140"/>
      <c r="L117" s="141"/>
      <c r="M117" s="142"/>
      <c r="N117" s="31"/>
      <c r="O117" s="31"/>
      <c r="P117" s="18"/>
      <c r="Q117" s="18"/>
      <c r="R117" s="18"/>
      <c r="S117" s="18"/>
      <c r="T117" s="18"/>
      <c r="U117" s="18"/>
      <c r="V117" s="18"/>
      <c r="W117" s="18"/>
      <c r="X117" s="18"/>
      <c r="Y117" s="18"/>
    </row>
    <row r="118" spans="1:25" ht="14" customHeight="1">
      <c r="A118" s="96" t="s">
        <v>130</v>
      </c>
      <c r="B118" s="422" t="str">
        <f>VLOOKUP(A118,'imp-questions'!A:H,4,0)</f>
        <v>Deployment Process</v>
      </c>
      <c r="C118" s="144">
        <f>VLOOKUP(A118,'imp-questions'!A:H,5,0)</f>
        <v>1</v>
      </c>
      <c r="D118" s="78" t="str">
        <f>VLOOKUP(A118,'imp-questions'!A:H,6,0)</f>
        <v>Do you use repeatable deployment processes?</v>
      </c>
      <c r="E118" s="60" t="str">
        <f>CHAR(65+VLOOKUP(A118,'imp-questions'!A:H,8,0))</f>
        <v>F</v>
      </c>
      <c r="F118" s="121" t="s">
        <v>68</v>
      </c>
      <c r="G118" s="62">
        <f>IFERROR(VLOOKUP(F118,AnsFTBL,2,0),0)</f>
        <v>1</v>
      </c>
      <c r="H118" s="79">
        <f>IFERROR(AVERAGE(G118,G125),0)</f>
        <v>1</v>
      </c>
      <c r="I118" s="423"/>
      <c r="J118" s="424">
        <f>SUM(H118,H120,H122)</f>
        <v>1.875</v>
      </c>
      <c r="K118" s="399"/>
      <c r="L118" s="393"/>
      <c r="M118" s="394"/>
      <c r="N118" s="31"/>
      <c r="O118" s="31"/>
      <c r="P118" s="18"/>
      <c r="Q118" s="18"/>
      <c r="R118" s="18"/>
      <c r="S118" s="18"/>
      <c r="T118" s="18"/>
      <c r="U118" s="18"/>
      <c r="V118" s="18"/>
      <c r="W118" s="18"/>
      <c r="X118" s="18"/>
      <c r="Y118" s="18"/>
    </row>
    <row r="119" spans="1:25" ht="70">
      <c r="B119" s="422"/>
      <c r="C119" s="54"/>
      <c r="D119" s="68" t="str">
        <f>VLOOKUP(A118,'imp-questions'!A:H,7,0)</f>
        <v>You have enough information to run the deployment processes
Your deployment documentation up to date
Your deployment documentation is accessible to relevant stakeholders
You ensure that only defined qualified personnel can trigger a deployment
You harden the tools that are used within the deployment process</v>
      </c>
      <c r="E119" s="56"/>
      <c r="F119" s="90"/>
      <c r="G119" s="91"/>
      <c r="H119" s="59"/>
      <c r="I119" s="423"/>
      <c r="J119" s="424"/>
      <c r="K119" s="399"/>
      <c r="L119" s="393"/>
      <c r="M119" s="394"/>
      <c r="N119" s="31"/>
      <c r="O119" s="31"/>
      <c r="P119" s="18"/>
      <c r="Q119" s="18"/>
      <c r="R119" s="18"/>
      <c r="S119" s="18"/>
      <c r="T119" s="18"/>
      <c r="U119" s="18"/>
      <c r="V119" s="18"/>
      <c r="W119" s="18"/>
      <c r="X119" s="18"/>
      <c r="Y119" s="18"/>
    </row>
    <row r="120" spans="1:25">
      <c r="A120" s="96" t="s">
        <v>131</v>
      </c>
      <c r="B120" s="422"/>
      <c r="C120" s="133">
        <f>VLOOKUP(A120,'imp-questions'!A:H,5,0)</f>
        <v>2</v>
      </c>
      <c r="D120" s="49" t="str">
        <f>VLOOKUP(A120,'imp-questions'!A:H,6,0)</f>
        <v>Are deployment processes automated and employing security checks?</v>
      </c>
      <c r="E120" s="50" t="str">
        <f>CHAR(65+VLOOKUP(A120,'imp-questions'!A:H,8,0))</f>
        <v>F</v>
      </c>
      <c r="F120" s="108" t="s">
        <v>64</v>
      </c>
      <c r="G120" s="62">
        <f>IFERROR(VLOOKUP(F120,AnsFTBL,2,0),0)</f>
        <v>0</v>
      </c>
      <c r="H120" s="53">
        <f>IFERROR(AVERAGE(G120,G127),0)</f>
        <v>0.125</v>
      </c>
      <c r="I120" s="425"/>
      <c r="J120" s="109"/>
      <c r="K120" s="410"/>
      <c r="L120" s="393"/>
      <c r="M120" s="394"/>
      <c r="N120" s="31"/>
      <c r="O120" s="31"/>
      <c r="P120" s="18"/>
      <c r="Q120" s="18"/>
      <c r="R120" s="18"/>
      <c r="S120" s="18"/>
      <c r="T120" s="18"/>
      <c r="U120" s="18"/>
      <c r="V120" s="18"/>
      <c r="W120" s="18"/>
      <c r="X120" s="18"/>
      <c r="Y120" s="18"/>
    </row>
    <row r="121" spans="1:25" ht="56">
      <c r="B121" s="422"/>
      <c r="C121" s="54"/>
      <c r="D121" s="68" t="str">
        <f>VLOOKUP(A120,'imp-questions'!A:H,7,0)</f>
        <v>Deployment processes are automated on all stages
Deployment includes automated security testing procedures
You alert responsible staff to identified vulnerabilities
You have logs available for your past deployments for a defined period of time</v>
      </c>
      <c r="E121" s="56"/>
      <c r="F121" s="90"/>
      <c r="G121" s="91"/>
      <c r="H121" s="67"/>
      <c r="I121" s="425"/>
      <c r="J121" s="109"/>
      <c r="K121" s="410"/>
      <c r="L121" s="393"/>
      <c r="M121" s="394"/>
      <c r="N121" s="31"/>
      <c r="O121" s="31"/>
      <c r="P121" s="18"/>
      <c r="Q121" s="18"/>
      <c r="R121" s="18"/>
      <c r="S121" s="18"/>
      <c r="T121" s="18"/>
      <c r="U121" s="18"/>
      <c r="V121" s="18"/>
      <c r="W121" s="18"/>
      <c r="X121" s="18"/>
      <c r="Y121" s="18"/>
    </row>
    <row r="122" spans="1:25">
      <c r="A122" s="96" t="s">
        <v>132</v>
      </c>
      <c r="B122" s="422"/>
      <c r="C122" s="133">
        <f>VLOOKUP(A122,'imp-questions'!A:H,5,0)</f>
        <v>3</v>
      </c>
      <c r="D122" s="49" t="str">
        <f>VLOOKUP(A122,'imp-questions'!A:H,6,0)</f>
        <v>Do you consistently validate the integrity of deployed artifacts?</v>
      </c>
      <c r="E122" s="50" t="str">
        <f>CHAR(65+VLOOKUP(A122,'imp-questions'!A:H,8,0))</f>
        <v>F</v>
      </c>
      <c r="F122" s="108" t="s">
        <v>68</v>
      </c>
      <c r="G122" s="62">
        <f>IFERROR(VLOOKUP(F122,AnsFTBL,2,0),0)</f>
        <v>1</v>
      </c>
      <c r="H122" s="53">
        <f>IFERROR(AVERAGE(G122,G129),0)</f>
        <v>0.75</v>
      </c>
      <c r="I122" s="426"/>
      <c r="J122" s="109"/>
      <c r="K122" s="411"/>
      <c r="L122" s="393"/>
      <c r="M122" s="394"/>
      <c r="N122" s="31"/>
      <c r="O122" s="31"/>
      <c r="P122" s="18"/>
      <c r="Q122" s="18"/>
      <c r="R122" s="18"/>
      <c r="S122" s="18"/>
      <c r="T122" s="18"/>
      <c r="U122" s="18"/>
      <c r="V122" s="18"/>
      <c r="W122" s="18"/>
      <c r="X122" s="18"/>
      <c r="Y122" s="18"/>
    </row>
    <row r="123" spans="1:25" ht="42">
      <c r="B123" s="422"/>
      <c r="C123" s="65"/>
      <c r="D123" s="55" t="str">
        <f>VLOOKUP(A122,'imp-questions'!A:H,7,0)</f>
        <v>You prevent or roll back deployment if you detect an integrity breach
The verification is done against signatures created during the build time
If checking of signatures is not possible (e.g. externally build software), you introduce compensating measures</v>
      </c>
      <c r="E123" s="56"/>
      <c r="F123" s="90"/>
      <c r="G123" s="91"/>
      <c r="H123" s="67"/>
      <c r="I123" s="426"/>
      <c r="J123" s="109"/>
      <c r="K123" s="411"/>
      <c r="L123" s="393"/>
      <c r="M123" s="394"/>
      <c r="N123" s="31"/>
      <c r="O123" s="31"/>
      <c r="P123" s="18"/>
      <c r="Q123" s="18"/>
      <c r="R123" s="18"/>
      <c r="S123" s="18"/>
      <c r="T123" s="18"/>
      <c r="U123" s="18"/>
      <c r="V123" s="18"/>
      <c r="W123" s="18"/>
      <c r="X123" s="18"/>
      <c r="Y123" s="18"/>
    </row>
    <row r="124" spans="1:25">
      <c r="B124" s="73"/>
      <c r="C124" s="74"/>
      <c r="D124" s="74"/>
      <c r="E124" s="74"/>
      <c r="F124" s="74"/>
      <c r="G124" s="74"/>
      <c r="H124" s="74"/>
      <c r="I124" s="74"/>
      <c r="J124" s="75"/>
      <c r="K124" s="74"/>
      <c r="L124" s="74"/>
      <c r="M124" s="76"/>
      <c r="N124" s="31"/>
      <c r="O124" s="31"/>
      <c r="P124" s="18"/>
      <c r="Q124" s="18"/>
      <c r="R124" s="18"/>
      <c r="S124" s="18"/>
      <c r="T124" s="18"/>
      <c r="U124" s="18"/>
      <c r="V124" s="18"/>
      <c r="W124" s="18"/>
      <c r="X124" s="18"/>
      <c r="Y124" s="18"/>
    </row>
    <row r="125" spans="1:25">
      <c r="A125" s="96" t="s">
        <v>133</v>
      </c>
      <c r="B125" s="418" t="str">
        <f>VLOOKUP(A125,'imp-questions'!A:H,4,0)</f>
        <v>Secret Management</v>
      </c>
      <c r="C125" s="133">
        <f>VLOOKUP(A125,'imp-questions'!A:H,5,0)</f>
        <v>1</v>
      </c>
      <c r="D125" s="49" t="str">
        <f>VLOOKUP(A125,'imp-questions'!A:H,6,0)</f>
        <v>Do you limit access to application secrets according to the least privilege principle?</v>
      </c>
      <c r="E125" s="50" t="str">
        <f>CHAR(65+VLOOKUP(A125,'imp-questions'!A:H,8,0))</f>
        <v>F</v>
      </c>
      <c r="F125" s="108" t="s">
        <v>68</v>
      </c>
      <c r="G125" s="62">
        <f>IFERROR(VLOOKUP(F125,AnsFTBL,2,0),0)</f>
        <v>1</v>
      </c>
      <c r="H125" s="63"/>
      <c r="I125" s="391"/>
      <c r="J125" s="111"/>
      <c r="K125" s="400"/>
      <c r="L125" s="393"/>
      <c r="M125" s="394"/>
      <c r="N125" s="31"/>
      <c r="O125" s="31"/>
      <c r="P125" s="18"/>
      <c r="Q125" s="18"/>
      <c r="R125" s="18"/>
      <c r="S125" s="18"/>
      <c r="T125" s="18"/>
      <c r="U125" s="18"/>
      <c r="V125" s="18"/>
      <c r="W125" s="18"/>
      <c r="X125" s="18"/>
      <c r="Y125" s="18"/>
    </row>
    <row r="126" spans="1:25" ht="42">
      <c r="B126" s="418"/>
      <c r="C126" s="54"/>
      <c r="D126" s="68" t="str">
        <f>VLOOKUP(A125,'imp-questions'!A:H,7,0)</f>
        <v>You store production secrets protected in a secured location
Developers do not have access to production secrets
Production secrets are not available in non-production environments</v>
      </c>
      <c r="E126" s="56"/>
      <c r="F126" s="90"/>
      <c r="G126" s="91"/>
      <c r="H126" s="92"/>
      <c r="I126" s="391"/>
      <c r="J126" s="111"/>
      <c r="K126" s="400"/>
      <c r="L126" s="393"/>
      <c r="M126" s="394"/>
      <c r="N126" s="31"/>
      <c r="O126" s="31"/>
      <c r="P126" s="18"/>
      <c r="Q126" s="18"/>
      <c r="R126" s="18"/>
      <c r="S126" s="18"/>
      <c r="T126" s="18"/>
      <c r="U126" s="18"/>
      <c r="V126" s="18"/>
      <c r="W126" s="18"/>
      <c r="X126" s="18"/>
      <c r="Y126" s="18"/>
    </row>
    <row r="127" spans="1:25">
      <c r="A127" s="96" t="s">
        <v>134</v>
      </c>
      <c r="B127" s="418"/>
      <c r="C127" s="133">
        <f>VLOOKUP(A127,'imp-questions'!A:H,5,0)</f>
        <v>2</v>
      </c>
      <c r="D127" s="49" t="str">
        <f>VLOOKUP(A127,'imp-questions'!A:H,6,0)</f>
        <v>Do you inject production secrets into configuration files during deployment?</v>
      </c>
      <c r="E127" s="50" t="str">
        <f>CHAR(65+VLOOKUP(A127,'imp-questions'!A:H,8,0))</f>
        <v>F</v>
      </c>
      <c r="F127" s="108" t="s">
        <v>114</v>
      </c>
      <c r="G127" s="62">
        <f>IFERROR(VLOOKUP(F127,AnsFTBL,2,0),0)</f>
        <v>0.25</v>
      </c>
      <c r="H127" s="63"/>
      <c r="I127" s="391" t="s">
        <v>135</v>
      </c>
      <c r="J127" s="111"/>
      <c r="K127" s="400"/>
      <c r="L127" s="393"/>
      <c r="M127" s="394"/>
      <c r="N127" s="31"/>
      <c r="O127" s="31"/>
      <c r="P127" s="18"/>
      <c r="Q127" s="18"/>
      <c r="R127" s="18"/>
      <c r="S127" s="18"/>
      <c r="T127" s="18"/>
      <c r="U127" s="18"/>
      <c r="V127" s="18"/>
      <c r="W127" s="18"/>
      <c r="X127" s="18"/>
      <c r="Y127" s="18"/>
    </row>
    <row r="128" spans="1:25" ht="42">
      <c r="B128" s="418"/>
      <c r="C128" s="54"/>
      <c r="D128" s="68" t="str">
        <f>VLOOKUP(A127,'imp-questions'!A:H,7,0)</f>
        <v>Source code files no longer contain active application secrets
Under normal circumstances, no humans access secrets during deployment procedures
You log and alert to any abnormal access to secrets</v>
      </c>
      <c r="E128" s="56"/>
      <c r="F128" s="90"/>
      <c r="G128" s="91"/>
      <c r="H128" s="92"/>
      <c r="I128" s="391"/>
      <c r="J128" s="111"/>
      <c r="K128" s="400"/>
      <c r="L128" s="393"/>
      <c r="M128" s="394"/>
      <c r="N128" s="31"/>
      <c r="O128" s="31"/>
      <c r="P128" s="18"/>
      <c r="Q128" s="18"/>
      <c r="R128" s="18"/>
      <c r="S128" s="18"/>
      <c r="T128" s="18"/>
      <c r="U128" s="18"/>
      <c r="V128" s="18"/>
      <c r="W128" s="18"/>
      <c r="X128" s="18"/>
      <c r="Y128" s="18"/>
    </row>
    <row r="129" spans="1:25" ht="28">
      <c r="A129" s="96" t="s">
        <v>136</v>
      </c>
      <c r="B129" s="418"/>
      <c r="C129" s="133">
        <f>VLOOKUP(A129,'imp-questions'!A:H,5,0)</f>
        <v>3</v>
      </c>
      <c r="D129" s="49" t="str">
        <f>VLOOKUP(A129,'imp-questions'!A:H,6,0)</f>
        <v>Do you practice proper lifecycle management for application secrets?</v>
      </c>
      <c r="E129" s="50" t="str">
        <f>CHAR(65+VLOOKUP(A129,'imp-questions'!A:H,8,0))</f>
        <v>F</v>
      </c>
      <c r="F129" s="108" t="s">
        <v>124</v>
      </c>
      <c r="G129" s="62">
        <f>IFERROR(VLOOKUP(F129,AnsFTBL,2,0),0)</f>
        <v>0.5</v>
      </c>
      <c r="H129" s="63"/>
      <c r="I129" s="391"/>
      <c r="J129" s="111"/>
      <c r="K129" s="400"/>
      <c r="L129" s="393"/>
      <c r="M129" s="394"/>
      <c r="N129" s="31"/>
      <c r="O129" s="31"/>
      <c r="P129" s="18"/>
      <c r="Q129" s="18"/>
      <c r="R129" s="18"/>
      <c r="S129" s="18"/>
      <c r="T129" s="18"/>
      <c r="U129" s="18"/>
      <c r="V129" s="18"/>
      <c r="W129" s="18"/>
      <c r="X129" s="18"/>
      <c r="Y129" s="18"/>
    </row>
    <row r="130" spans="1:25" ht="42">
      <c r="B130" s="418"/>
      <c r="C130" s="65"/>
      <c r="D130" s="55" t="str">
        <f>VLOOKUP(A129,'imp-questions'!A:H,7,0)</f>
        <v>You generate and synchronize secrets using a vetted solution
Secrets are different between different application instances
Secrets are regularly updated</v>
      </c>
      <c r="E130" s="56"/>
      <c r="F130" s="90"/>
      <c r="G130" s="91"/>
      <c r="H130" s="92"/>
      <c r="I130" s="391"/>
      <c r="J130" s="111"/>
      <c r="K130" s="400"/>
      <c r="L130" s="393"/>
      <c r="M130" s="394"/>
      <c r="N130" s="31"/>
      <c r="O130" s="31"/>
      <c r="P130" s="18"/>
      <c r="Q130" s="18"/>
      <c r="R130" s="18"/>
      <c r="S130" s="18"/>
      <c r="T130" s="18"/>
      <c r="U130" s="18"/>
      <c r="V130" s="18"/>
      <c r="W130" s="18"/>
      <c r="X130" s="18"/>
      <c r="Y130" s="18"/>
    </row>
    <row r="131" spans="1:25" ht="12.75" customHeight="1">
      <c r="B131" s="419" t="s">
        <v>137</v>
      </c>
      <c r="C131" s="419"/>
      <c r="D131" s="419"/>
      <c r="E131" s="145"/>
      <c r="F131" s="124" t="s">
        <v>52</v>
      </c>
      <c r="G131" s="146"/>
      <c r="H131" s="147"/>
      <c r="I131" s="148" t="s">
        <v>53</v>
      </c>
      <c r="J131" s="149" t="s">
        <v>54</v>
      </c>
      <c r="K131" s="129"/>
      <c r="L131" s="130"/>
      <c r="M131" s="131"/>
      <c r="N131" s="31"/>
      <c r="O131" s="31"/>
      <c r="P131" s="18"/>
      <c r="Q131" s="18"/>
      <c r="R131" s="18"/>
      <c r="S131" s="18"/>
      <c r="T131" s="18"/>
      <c r="U131" s="18"/>
      <c r="V131" s="18"/>
      <c r="W131" s="18"/>
      <c r="X131" s="18"/>
      <c r="Y131" s="18"/>
    </row>
    <row r="132" spans="1:25" ht="14" customHeight="1">
      <c r="A132" s="96" t="s">
        <v>138</v>
      </c>
      <c r="B132" s="418" t="str">
        <f>VLOOKUP(A132,'imp-questions'!A:H,4,0)</f>
        <v>Defect Tracking</v>
      </c>
      <c r="C132" s="133">
        <f>VLOOKUP(A132,'imp-questions'!A:H,5,0)</f>
        <v>1</v>
      </c>
      <c r="D132" s="49" t="str">
        <f>VLOOKUP(A132,'imp-questions'!A:H,6,0)</f>
        <v>Do you track all known security defects in accessible locations?</v>
      </c>
      <c r="E132" s="50" t="str">
        <f>CHAR(65+VLOOKUP(A132,'imp-questions'!A:H,8,0))</f>
        <v>F</v>
      </c>
      <c r="F132" s="108" t="s">
        <v>68</v>
      </c>
      <c r="G132" s="62">
        <f>IFERROR(VLOOKUP(F132,AnsFTBL,2,0),0)</f>
        <v>1</v>
      </c>
      <c r="H132" s="53">
        <f>IFERROR(AVERAGE(G132,G139),0)</f>
        <v>1</v>
      </c>
      <c r="I132" s="391"/>
      <c r="J132" s="420">
        <f>SUM(H132,H134,H136)</f>
        <v>2.5</v>
      </c>
      <c r="K132" s="400"/>
      <c r="L132" s="393"/>
      <c r="M132" s="394"/>
      <c r="N132" s="31"/>
      <c r="O132" s="31"/>
      <c r="P132" s="18"/>
      <c r="Q132" s="18"/>
      <c r="R132" s="18"/>
      <c r="S132" s="18"/>
      <c r="T132" s="18"/>
      <c r="U132" s="18"/>
      <c r="V132" s="18"/>
      <c r="W132" s="18"/>
      <c r="X132" s="18"/>
      <c r="Y132" s="18"/>
    </row>
    <row r="133" spans="1:25" ht="56">
      <c r="B133" s="418"/>
      <c r="C133" s="54"/>
      <c r="D133" s="68" t="str">
        <f>VLOOKUP(A132,'imp-questions'!A:H,7,0)</f>
        <v>You can easily get an overview of all security defects impacting one application
You have at least a rudimentary classification scheme in place
The process includes a strategy for handling false positives and duplicate entries
The defect management system covers defects from various sources and activities</v>
      </c>
      <c r="E133" s="56"/>
      <c r="F133" s="90"/>
      <c r="G133" s="91"/>
      <c r="H133" s="59"/>
      <c r="I133" s="391"/>
      <c r="J133" s="420"/>
      <c r="K133" s="400"/>
      <c r="L133" s="393"/>
      <c r="M133" s="394"/>
      <c r="N133" s="31"/>
      <c r="O133" s="31"/>
      <c r="P133" s="18"/>
      <c r="Q133" s="18"/>
      <c r="R133" s="18"/>
      <c r="S133" s="18"/>
      <c r="T133" s="18"/>
      <c r="U133" s="18"/>
      <c r="V133" s="18"/>
      <c r="W133" s="18"/>
      <c r="X133" s="18"/>
      <c r="Y133" s="18"/>
    </row>
    <row r="134" spans="1:25">
      <c r="A134" s="96" t="s">
        <v>139</v>
      </c>
      <c r="B134" s="418"/>
      <c r="C134" s="133">
        <f>VLOOKUP(A134,'imp-questions'!A:H,5,0)</f>
        <v>2</v>
      </c>
      <c r="D134" s="49" t="str">
        <f>VLOOKUP(A134,'imp-questions'!A:H,6,0)</f>
        <v>Do you keep an overview of the state of security defects across the organization?</v>
      </c>
      <c r="E134" s="50" t="str">
        <f>CHAR(65+VLOOKUP(A134,'imp-questions'!A:H,8,0))</f>
        <v>F</v>
      </c>
      <c r="F134" s="108"/>
      <c r="G134" s="62">
        <f>IFERROR(VLOOKUP(F134,AnsFTBL,2,0),0)</f>
        <v>0</v>
      </c>
      <c r="H134" s="53">
        <f>IFERROR(AVERAGE(G134,G141),0)</f>
        <v>0.5</v>
      </c>
      <c r="I134" s="391"/>
      <c r="J134" s="109"/>
      <c r="K134" s="410"/>
      <c r="L134" s="393"/>
      <c r="M134" s="394"/>
      <c r="N134" s="31"/>
      <c r="O134" s="31"/>
      <c r="P134" s="18"/>
      <c r="Q134" s="18"/>
      <c r="R134" s="18"/>
      <c r="S134" s="18"/>
      <c r="T134" s="18"/>
      <c r="U134" s="18"/>
      <c r="V134" s="18"/>
      <c r="W134" s="18"/>
      <c r="X134" s="18"/>
      <c r="Y134" s="18"/>
    </row>
    <row r="135" spans="1:25" ht="42">
      <c r="B135" s="418"/>
      <c r="C135" s="54"/>
      <c r="D135" s="68" t="str">
        <f>VLOOKUP(A134,'imp-questions'!A:H,7,0)</f>
        <v>A single severity scheme is applied to all defects across the organization
The scheme includes SLAs for fixing particular severity classes
You regularly report compliance to SLAs</v>
      </c>
      <c r="E135" s="56"/>
      <c r="F135" s="90"/>
      <c r="G135" s="91"/>
      <c r="H135" s="67"/>
      <c r="I135" s="391"/>
      <c r="J135" s="109"/>
      <c r="K135" s="410"/>
      <c r="L135" s="393"/>
      <c r="M135" s="394"/>
      <c r="N135" s="31"/>
      <c r="O135" s="31"/>
      <c r="P135" s="18"/>
      <c r="Q135" s="18"/>
      <c r="R135" s="18"/>
      <c r="S135" s="18"/>
      <c r="T135" s="18"/>
      <c r="U135" s="18"/>
      <c r="V135" s="18"/>
      <c r="W135" s="18"/>
      <c r="X135" s="18"/>
      <c r="Y135" s="18"/>
    </row>
    <row r="136" spans="1:25">
      <c r="A136" s="96" t="s">
        <v>140</v>
      </c>
      <c r="B136" s="418"/>
      <c r="C136" s="133">
        <f>VLOOKUP(A136,'imp-questions'!A:H,5,0)</f>
        <v>3</v>
      </c>
      <c r="D136" s="49" t="str">
        <f>VLOOKUP(A136,'imp-questions'!A:H,6,0)</f>
        <v>Do you enforce SLAs for fixing security defects?</v>
      </c>
      <c r="E136" s="50" t="str">
        <f>CHAR(65+VLOOKUP(A136,'imp-questions'!A:H,8,0))</f>
        <v>F</v>
      </c>
      <c r="F136" s="108" t="s">
        <v>68</v>
      </c>
      <c r="G136" s="62">
        <f>IFERROR(VLOOKUP(F136,AnsFTBL,2,0),0)</f>
        <v>1</v>
      </c>
      <c r="H136" s="53">
        <f>IFERROR(AVERAGE(G136,G143),0)</f>
        <v>1</v>
      </c>
      <c r="I136" s="391"/>
      <c r="J136" s="109"/>
      <c r="K136" s="411"/>
      <c r="L136" s="393"/>
      <c r="M136" s="394"/>
      <c r="N136" s="31"/>
      <c r="O136" s="31"/>
      <c r="P136" s="18"/>
      <c r="Q136" s="18"/>
      <c r="R136" s="18"/>
      <c r="S136" s="18"/>
      <c r="T136" s="18"/>
      <c r="U136" s="18"/>
      <c r="V136" s="18"/>
      <c r="W136" s="18"/>
      <c r="X136" s="18"/>
      <c r="Y136" s="18"/>
    </row>
    <row r="137" spans="1:25" ht="28">
      <c r="B137" s="418"/>
      <c r="C137" s="65"/>
      <c r="D137" s="55" t="str">
        <f>VLOOKUP(A136,'imp-questions'!A:H,7,0)</f>
        <v>You automatically alert of SLA breaches and transfer respective defects to the risk management process
You integrate relevant tooling (e.g. monitoring, build, deployment) with the defect management system</v>
      </c>
      <c r="E137" s="56"/>
      <c r="F137" s="90"/>
      <c r="G137" s="91"/>
      <c r="H137" s="67"/>
      <c r="I137" s="391"/>
      <c r="J137" s="109"/>
      <c r="K137" s="411"/>
      <c r="L137" s="393"/>
      <c r="M137" s="394"/>
      <c r="N137" s="31"/>
      <c r="O137" s="31"/>
      <c r="P137" s="18"/>
      <c r="Q137" s="18"/>
      <c r="R137" s="18"/>
      <c r="S137" s="18"/>
      <c r="T137" s="18"/>
      <c r="U137" s="18"/>
      <c r="V137" s="18"/>
      <c r="W137" s="18"/>
      <c r="X137" s="18"/>
      <c r="Y137" s="18"/>
    </row>
    <row r="138" spans="1:25">
      <c r="B138" s="73"/>
      <c r="C138" s="74"/>
      <c r="D138" s="74"/>
      <c r="E138" s="74"/>
      <c r="F138" s="74"/>
      <c r="G138" s="74"/>
      <c r="H138" s="74"/>
      <c r="I138" s="74"/>
      <c r="J138" s="75"/>
      <c r="K138" s="74"/>
      <c r="L138" s="74"/>
      <c r="M138" s="76"/>
      <c r="N138" s="31"/>
      <c r="O138" s="31"/>
      <c r="P138" s="18"/>
      <c r="Q138" s="18"/>
      <c r="R138" s="18"/>
      <c r="S138" s="18"/>
      <c r="T138" s="18"/>
      <c r="U138" s="18"/>
      <c r="V138" s="18"/>
      <c r="W138" s="18"/>
      <c r="X138" s="18"/>
      <c r="Y138" s="18"/>
    </row>
    <row r="139" spans="1:25">
      <c r="A139" s="96" t="s">
        <v>141</v>
      </c>
      <c r="B139" s="418" t="str">
        <f>VLOOKUP(A139,'imp-questions'!A:H,4,0)</f>
        <v>Metrics and Feedback</v>
      </c>
      <c r="C139" s="133">
        <f>VLOOKUP(A139,'imp-questions'!A:H,5,0)</f>
        <v>1</v>
      </c>
      <c r="D139" s="49" t="str">
        <f>VLOOKUP(A139,'imp-questions'!A:H,6,0)</f>
        <v>Do you use basic metrics about recorded security defects to carry out quick win improvement activities?</v>
      </c>
      <c r="E139" s="50" t="str">
        <f>CHAR(65+VLOOKUP(A139,'imp-questions'!A:H,8,0))</f>
        <v>F</v>
      </c>
      <c r="F139" s="108" t="s">
        <v>68</v>
      </c>
      <c r="G139" s="62">
        <f>IFERROR(VLOOKUP(F139,AnsFTBL,2,0),0)</f>
        <v>1</v>
      </c>
      <c r="H139" s="63"/>
      <c r="I139" s="391"/>
      <c r="J139" s="111"/>
      <c r="K139" s="400"/>
      <c r="L139" s="393"/>
      <c r="M139" s="394"/>
      <c r="N139" s="31"/>
      <c r="O139" s="31"/>
      <c r="P139" s="18"/>
      <c r="Q139" s="18"/>
      <c r="R139" s="18"/>
      <c r="S139" s="18"/>
      <c r="T139" s="18"/>
      <c r="U139" s="18"/>
      <c r="V139" s="18"/>
      <c r="W139" s="18"/>
      <c r="X139" s="18"/>
      <c r="Y139" s="18"/>
    </row>
    <row r="140" spans="1:25" ht="42">
      <c r="B140" s="418"/>
      <c r="C140" s="54"/>
      <c r="D140" s="68" t="str">
        <f>VLOOKUP(A139,'imp-questions'!A:H,7,0)</f>
        <v>You analyzed your recorded metrics at least once in the last year
At least basic information about this initiative is recorded and available
You have identified and carried out at least one quick win activity based on the data</v>
      </c>
      <c r="E140" s="56"/>
      <c r="F140" s="90"/>
      <c r="G140" s="91"/>
      <c r="H140" s="92"/>
      <c r="I140" s="391"/>
      <c r="J140" s="111"/>
      <c r="K140" s="400"/>
      <c r="L140" s="393"/>
      <c r="M140" s="394"/>
      <c r="N140" s="31"/>
      <c r="O140" s="31"/>
      <c r="P140" s="18"/>
      <c r="Q140" s="18"/>
      <c r="R140" s="18"/>
      <c r="S140" s="18"/>
      <c r="T140" s="18"/>
      <c r="U140" s="18"/>
      <c r="V140" s="18"/>
      <c r="W140" s="18"/>
      <c r="X140" s="18"/>
      <c r="Y140" s="18"/>
    </row>
    <row r="141" spans="1:25">
      <c r="A141" s="96" t="s">
        <v>142</v>
      </c>
      <c r="B141" s="418"/>
      <c r="C141" s="133">
        <f>VLOOKUP(A141,'imp-questions'!A:H,5,0)</f>
        <v>2</v>
      </c>
      <c r="D141" s="49" t="str">
        <f>VLOOKUP(A141,'imp-questions'!A:H,6,0)</f>
        <v>Do you improve your security assurance program upon standardized metrics?</v>
      </c>
      <c r="E141" s="50" t="str">
        <f>CHAR(65+VLOOKUP(A141,'imp-questions'!A:H,8,0))</f>
        <v>F</v>
      </c>
      <c r="F141" s="108" t="s">
        <v>68</v>
      </c>
      <c r="G141" s="62">
        <f>IFERROR(VLOOKUP(F141,AnsFTBL,2,0),0)</f>
        <v>1</v>
      </c>
      <c r="H141" s="63"/>
      <c r="I141" s="391"/>
      <c r="J141" s="111"/>
      <c r="K141" s="400"/>
      <c r="L141" s="393"/>
      <c r="M141" s="394"/>
      <c r="N141" s="31"/>
      <c r="O141" s="31"/>
      <c r="P141" s="18"/>
      <c r="Q141" s="18"/>
      <c r="R141" s="18"/>
      <c r="S141" s="18"/>
      <c r="T141" s="18"/>
      <c r="U141" s="18"/>
      <c r="V141" s="18"/>
      <c r="W141" s="18"/>
      <c r="X141" s="18"/>
      <c r="Y141" s="18"/>
    </row>
    <row r="142" spans="1:25" ht="42">
      <c r="B142" s="418"/>
      <c r="C142" s="54"/>
      <c r="D142" s="68" t="str">
        <f>VLOOKUP(A141,'imp-questions'!A:H,7,0)</f>
        <v>You document metrics for defect classification and categorization and keep them up to date
Executive management regularly receives information about defects and has acted upon it in the last year
You regularly share technical details about security defects among teams</v>
      </c>
      <c r="E142" s="56"/>
      <c r="F142" s="90"/>
      <c r="G142" s="91"/>
      <c r="H142" s="92"/>
      <c r="I142" s="391"/>
      <c r="J142" s="111"/>
      <c r="K142" s="400"/>
      <c r="L142" s="393"/>
      <c r="M142" s="394"/>
      <c r="N142" s="31"/>
      <c r="O142" s="31"/>
      <c r="P142" s="18"/>
      <c r="Q142" s="18"/>
      <c r="R142" s="18"/>
      <c r="S142" s="18"/>
      <c r="T142" s="18"/>
      <c r="U142" s="18"/>
      <c r="V142" s="18"/>
      <c r="W142" s="18"/>
      <c r="X142" s="18"/>
      <c r="Y142" s="18"/>
    </row>
    <row r="143" spans="1:25">
      <c r="A143" s="96" t="s">
        <v>143</v>
      </c>
      <c r="B143" s="418"/>
      <c r="C143" s="133">
        <f>VLOOKUP(A143,'imp-questions'!A:H,5,0)</f>
        <v>3</v>
      </c>
      <c r="D143" s="49" t="str">
        <f>VLOOKUP(A143,'imp-questions'!A:H,6,0)</f>
        <v>Do you regularly evaluate the effectiveness of your security metrics so that its input helps drive your security strategy?</v>
      </c>
      <c r="E143" s="50" t="str">
        <f>CHAR(65+VLOOKUP(A143,'imp-questions'!A:H,8,0))</f>
        <v>F</v>
      </c>
      <c r="F143" s="108" t="s">
        <v>68</v>
      </c>
      <c r="G143" s="62">
        <f>IFERROR(VLOOKUP(F143,AnsFTBL,2,0),0)</f>
        <v>1</v>
      </c>
      <c r="H143" s="63"/>
      <c r="I143" s="391"/>
      <c r="J143" s="111"/>
      <c r="K143" s="400"/>
      <c r="L143" s="393"/>
      <c r="M143" s="394"/>
      <c r="N143" s="31"/>
      <c r="O143" s="31"/>
      <c r="P143" s="18"/>
      <c r="Q143" s="18"/>
      <c r="R143" s="18"/>
      <c r="S143" s="18"/>
      <c r="T143" s="18"/>
      <c r="U143" s="18"/>
      <c r="V143" s="18"/>
      <c r="W143" s="18"/>
      <c r="X143" s="18"/>
      <c r="Y143" s="18"/>
    </row>
    <row r="144" spans="1:25" ht="56">
      <c r="B144" s="418"/>
      <c r="C144" s="65"/>
      <c r="D144" s="55" t="str">
        <f>VLOOKUP(A143,'imp-questions'!A:H,7,0)</f>
        <v>You have analyzed the effectivenss of the security metrics at least once in the last year
Where possible, you verify the correctness of the data automatically
The metrics is aggregated with other sources like threat intelligence or incident management
You derived at least one strategic activity from the metrics in the last year</v>
      </c>
      <c r="E144" s="56"/>
      <c r="F144" s="90"/>
      <c r="G144" s="91"/>
      <c r="H144" s="92"/>
      <c r="I144" s="391"/>
      <c r="J144" s="111"/>
      <c r="K144" s="400"/>
      <c r="L144" s="393"/>
      <c r="M144" s="394"/>
      <c r="N144" s="31"/>
      <c r="O144" s="31"/>
      <c r="P144" s="18"/>
      <c r="Q144" s="18"/>
      <c r="R144" s="18"/>
      <c r="S144" s="18"/>
      <c r="T144" s="18"/>
      <c r="U144" s="18"/>
      <c r="V144" s="18"/>
      <c r="W144" s="18"/>
      <c r="X144" s="18"/>
      <c r="Y144" s="18"/>
    </row>
    <row r="145" spans="1:25" ht="12.75" customHeight="1">
      <c r="B145" s="414" t="s">
        <v>144</v>
      </c>
      <c r="C145" s="414"/>
      <c r="D145" s="414"/>
      <c r="E145" s="414"/>
      <c r="F145" s="414"/>
      <c r="G145" s="414"/>
      <c r="H145" s="414"/>
      <c r="I145" s="414"/>
      <c r="J145" s="414"/>
      <c r="K145" s="150"/>
      <c r="L145" s="150"/>
      <c r="M145" s="150"/>
      <c r="N145" s="31"/>
      <c r="O145" s="31"/>
      <c r="P145" s="18"/>
      <c r="Q145" s="18"/>
      <c r="R145" s="18"/>
      <c r="S145" s="18"/>
      <c r="T145" s="18"/>
      <c r="U145" s="18"/>
      <c r="V145" s="18"/>
      <c r="W145" s="18"/>
      <c r="X145" s="18"/>
      <c r="Y145" s="18"/>
    </row>
    <row r="146" spans="1:25" ht="12.75" customHeight="1">
      <c r="B146" s="415" t="s">
        <v>145</v>
      </c>
      <c r="C146" s="415"/>
      <c r="D146" s="415"/>
      <c r="E146" s="152"/>
      <c r="F146" s="151" t="s">
        <v>52</v>
      </c>
      <c r="G146" s="151"/>
      <c r="H146" s="153"/>
      <c r="I146" s="154" t="s">
        <v>53</v>
      </c>
      <c r="J146" s="155" t="s">
        <v>54</v>
      </c>
      <c r="K146" s="156"/>
      <c r="L146" s="157"/>
      <c r="M146" s="158"/>
      <c r="N146" s="31"/>
      <c r="O146" s="31"/>
      <c r="P146" s="18"/>
      <c r="Q146" s="18"/>
      <c r="R146" s="18"/>
      <c r="S146" s="18"/>
      <c r="T146" s="18"/>
      <c r="U146" s="18"/>
      <c r="V146" s="18"/>
      <c r="W146" s="18"/>
      <c r="X146" s="18"/>
      <c r="Y146" s="18"/>
    </row>
    <row r="147" spans="1:25">
      <c r="A147" s="96" t="s">
        <v>146</v>
      </c>
      <c r="B147" s="416" t="str">
        <f>VLOOKUP(A147,'imp-questions'!A:H,4,0)</f>
        <v>Architecture Validation</v>
      </c>
      <c r="C147" s="159">
        <f>VLOOKUP(A147,'imp-questions'!A:H,5,0)</f>
        <v>1</v>
      </c>
      <c r="D147" s="49" t="str">
        <f>VLOOKUP(A147,'imp-questions'!A:H,6,0)</f>
        <v>Do you review the application architecture for key security objectives on an ad-hoc basis?</v>
      </c>
      <c r="E147" s="160" t="str">
        <f>CHAR(65+VLOOKUP(A147,'imp-questions'!A:H,8,0))</f>
        <v>F</v>
      </c>
      <c r="F147" s="108"/>
      <c r="G147" s="62">
        <f>IFERROR(VLOOKUP(F147,AnsFTBL,2,0),0)</f>
        <v>0</v>
      </c>
      <c r="H147" s="53">
        <f>IFERROR(AVERAGE(G147,G154),0)</f>
        <v>0.25</v>
      </c>
      <c r="I147" s="391"/>
      <c r="J147" s="417">
        <f>SUM(H147,H149,H151)</f>
        <v>0.75</v>
      </c>
      <c r="K147" s="400"/>
      <c r="L147" s="393"/>
      <c r="M147" s="394"/>
      <c r="N147" s="31"/>
      <c r="O147" s="31"/>
      <c r="P147" s="18"/>
      <c r="Q147" s="18"/>
      <c r="R147" s="18"/>
      <c r="S147" s="18"/>
      <c r="T147" s="18"/>
      <c r="U147" s="18"/>
      <c r="V147" s="18"/>
      <c r="W147" s="18"/>
      <c r="X147" s="18"/>
      <c r="Y147" s="18"/>
    </row>
    <row r="148" spans="1:25" ht="56">
      <c r="B148" s="416"/>
      <c r="C148" s="54"/>
      <c r="D148" s="68" t="str">
        <f>VLOOKUP(A147,'imp-questions'!A:H,7,0)</f>
        <v>You have an agreed upon model of the overall software architecture
You include components, interfaces, and integrations in the architecture model
You verify the correct provision of general security mechanisms
You log missing security controls as defects</v>
      </c>
      <c r="E148" s="161"/>
      <c r="F148" s="162"/>
      <c r="G148" s="163"/>
      <c r="H148" s="59"/>
      <c r="I148" s="391"/>
      <c r="J148" s="417"/>
      <c r="K148" s="400"/>
      <c r="L148" s="393"/>
      <c r="M148" s="394"/>
      <c r="N148" s="31"/>
      <c r="O148" s="31"/>
      <c r="P148" s="18"/>
      <c r="Q148" s="18"/>
      <c r="R148" s="18"/>
      <c r="S148" s="18"/>
      <c r="T148" s="18"/>
      <c r="U148" s="18"/>
      <c r="V148" s="18"/>
      <c r="W148" s="18"/>
      <c r="X148" s="18"/>
      <c r="Y148" s="18"/>
    </row>
    <row r="149" spans="1:25">
      <c r="A149" s="96" t="s">
        <v>147</v>
      </c>
      <c r="B149" s="416"/>
      <c r="C149" s="159">
        <f>VLOOKUP(A149,'imp-questions'!A:H,5,0)</f>
        <v>2</v>
      </c>
      <c r="D149" s="49" t="str">
        <f>VLOOKUP(A149,'imp-questions'!A:H,6,0)</f>
        <v>Do you regularly review the security mechanisms of your architecture?</v>
      </c>
      <c r="E149" s="160" t="str">
        <f>CHAR(65+VLOOKUP(A149,'imp-questions'!A:H,8,0))</f>
        <v>F</v>
      </c>
      <c r="F149" s="108"/>
      <c r="G149" s="62">
        <f>IFERROR(VLOOKUP(F149,AnsFTBL,2,0),0)</f>
        <v>0</v>
      </c>
      <c r="H149" s="53">
        <f>IFERROR(AVERAGE(G149,G156),0)</f>
        <v>0.5</v>
      </c>
      <c r="I149" s="391"/>
      <c r="J149" s="109"/>
      <c r="K149" s="410"/>
      <c r="L149" s="393"/>
      <c r="M149" s="394"/>
      <c r="N149" s="31"/>
      <c r="O149" s="31"/>
      <c r="P149" s="18"/>
      <c r="Q149" s="18"/>
      <c r="R149" s="18"/>
      <c r="S149" s="18"/>
      <c r="T149" s="18"/>
      <c r="U149" s="18"/>
      <c r="V149" s="18"/>
      <c r="W149" s="18"/>
      <c r="X149" s="18"/>
      <c r="Y149" s="18"/>
    </row>
    <row r="150" spans="1:25" ht="56">
      <c r="B150" s="416"/>
      <c r="C150" s="54"/>
      <c r="D150" s="68" t="str">
        <f>VLOOKUP(A149,'imp-questions'!A:H,7,0)</f>
        <v>You review compliance with internal and external requirements
You systematically review each interface in the system
You use a formalized review method and structured validation
You log missing security mechanisms as defects</v>
      </c>
      <c r="E150" s="161"/>
      <c r="F150" s="162"/>
      <c r="G150" s="163"/>
      <c r="H150" s="67"/>
      <c r="I150" s="391"/>
      <c r="J150" s="109"/>
      <c r="K150" s="410"/>
      <c r="L150" s="393"/>
      <c r="M150" s="394"/>
      <c r="N150" s="31"/>
      <c r="O150" s="31"/>
      <c r="P150" s="18"/>
      <c r="Q150" s="18"/>
      <c r="R150" s="18"/>
      <c r="S150" s="18"/>
      <c r="T150" s="18"/>
      <c r="U150" s="18"/>
      <c r="V150" s="18"/>
      <c r="W150" s="18"/>
      <c r="X150" s="18"/>
      <c r="Y150" s="18"/>
    </row>
    <row r="151" spans="1:25">
      <c r="A151" s="96" t="s">
        <v>148</v>
      </c>
      <c r="B151" s="416"/>
      <c r="C151" s="159">
        <f>VLOOKUP(A151,'imp-questions'!A:H,5,0)</f>
        <v>3</v>
      </c>
      <c r="D151" s="49" t="str">
        <f>VLOOKUP(A151,'imp-questions'!A:H,6,0)</f>
        <v>Do you regularly review the effectiveness of the security controls?</v>
      </c>
      <c r="E151" s="160" t="str">
        <f>CHAR(65+VLOOKUP(A151,'imp-questions'!A:H,8,0))</f>
        <v>F</v>
      </c>
      <c r="F151" s="108"/>
      <c r="G151" s="62">
        <f>IFERROR(VLOOKUP(F151,AnsFTBL,2,0),0)</f>
        <v>0</v>
      </c>
      <c r="H151" s="53">
        <f>IFERROR(AVERAGE(G151,G158),0)</f>
        <v>0</v>
      </c>
      <c r="I151" s="391"/>
      <c r="J151" s="109"/>
      <c r="K151" s="411"/>
      <c r="L151" s="393"/>
      <c r="M151" s="394"/>
      <c r="N151" s="31"/>
      <c r="O151" s="31"/>
      <c r="P151" s="18"/>
      <c r="Q151" s="18"/>
      <c r="R151" s="18"/>
      <c r="S151" s="18"/>
      <c r="T151" s="18"/>
      <c r="U151" s="18"/>
      <c r="V151" s="18"/>
      <c r="W151" s="18"/>
      <c r="X151" s="18"/>
      <c r="Y151" s="18"/>
    </row>
    <row r="152" spans="1:25" ht="56">
      <c r="B152" s="416"/>
      <c r="C152" s="65"/>
      <c r="D152" s="55" t="str">
        <f>VLOOKUP(A151,'imp-questions'!A:H,7,0)</f>
        <v>You evaluate the preventive, detective, and response capabilities of security controls
You evaluate the strategy alignment, appropriate support, and scalability of security controls
You evaluate the effectiveness at least yearly
You log identified shortcomings as defects</v>
      </c>
      <c r="E152" s="161"/>
      <c r="F152" s="162"/>
      <c r="G152" s="163"/>
      <c r="H152" s="67"/>
      <c r="I152" s="391"/>
      <c r="J152" s="109"/>
      <c r="K152" s="411"/>
      <c r="L152" s="393"/>
      <c r="M152" s="394"/>
      <c r="N152" s="31"/>
      <c r="O152" s="31"/>
      <c r="P152" s="18"/>
      <c r="Q152" s="18"/>
      <c r="R152" s="18"/>
      <c r="S152" s="18"/>
      <c r="T152" s="18"/>
      <c r="U152" s="18"/>
      <c r="V152" s="18"/>
      <c r="W152" s="18"/>
      <c r="X152" s="18"/>
      <c r="Y152" s="18"/>
    </row>
    <row r="153" spans="1:25">
      <c r="B153" s="73"/>
      <c r="C153" s="74"/>
      <c r="D153" s="74"/>
      <c r="E153" s="74"/>
      <c r="F153" s="74"/>
      <c r="G153" s="74"/>
      <c r="H153" s="74"/>
      <c r="I153" s="74"/>
      <c r="J153" s="75"/>
      <c r="K153" s="74"/>
      <c r="L153" s="74"/>
      <c r="M153" s="76"/>
      <c r="N153" s="31"/>
      <c r="O153" s="31"/>
      <c r="P153" s="18"/>
      <c r="Q153" s="18"/>
      <c r="R153" s="18"/>
      <c r="S153" s="18"/>
      <c r="T153" s="18"/>
      <c r="U153" s="18"/>
      <c r="V153" s="18"/>
      <c r="W153" s="18"/>
      <c r="X153" s="18"/>
      <c r="Y153" s="18"/>
    </row>
    <row r="154" spans="1:25" ht="28">
      <c r="A154" s="96" t="s">
        <v>149</v>
      </c>
      <c r="B154" s="405" t="str">
        <f>VLOOKUP(A154,'imp-questions'!A:H,4,0)</f>
        <v>Architecture Mitigation</v>
      </c>
      <c r="C154" s="159">
        <f>VLOOKUP(A154,'imp-questions'!A:H,5,0)</f>
        <v>1</v>
      </c>
      <c r="D154" s="49" t="str">
        <f>VLOOKUP(A154,'imp-questions'!A:H,6,0)</f>
        <v>Do you review the application architecture for mitigations of typical threats on an ad-hoc basis?</v>
      </c>
      <c r="E154" s="160" t="str">
        <f>CHAR(65+VLOOKUP(A154,'imp-questions'!A:H,8,0))</f>
        <v>F</v>
      </c>
      <c r="F154" s="108" t="s">
        <v>124</v>
      </c>
      <c r="G154" s="62">
        <f>IFERROR(VLOOKUP(F154,AnsFTBL,2,0),0)</f>
        <v>0.5</v>
      </c>
      <c r="H154" s="164"/>
      <c r="I154" s="391"/>
      <c r="J154" s="111"/>
      <c r="K154" s="412"/>
      <c r="L154" s="393"/>
      <c r="M154" s="394"/>
      <c r="N154" s="31"/>
      <c r="O154" s="31"/>
      <c r="P154" s="18"/>
      <c r="Q154" s="18"/>
      <c r="R154" s="18"/>
      <c r="S154" s="18"/>
      <c r="T154" s="18"/>
      <c r="U154" s="18"/>
      <c r="V154" s="18"/>
      <c r="W154" s="18"/>
      <c r="X154" s="18"/>
      <c r="Y154" s="18"/>
    </row>
    <row r="155" spans="1:25" ht="42">
      <c r="B155" s="405"/>
      <c r="C155" s="54"/>
      <c r="D155" s="68" t="str">
        <f>VLOOKUP(A154,'imp-questions'!A:H,7,0)</f>
        <v>You have an agreed upon model of the overall software architecture
Security savvy staff conduct the review
You consider different types of threats, including insider and data-related one</v>
      </c>
      <c r="E155" s="161"/>
      <c r="F155" s="162"/>
      <c r="G155" s="163"/>
      <c r="H155" s="165"/>
      <c r="I155" s="391"/>
      <c r="J155" s="111"/>
      <c r="K155" s="412"/>
      <c r="L155" s="393"/>
      <c r="M155" s="394"/>
      <c r="N155" s="31"/>
      <c r="O155" s="31"/>
      <c r="P155" s="18"/>
      <c r="Q155" s="18"/>
      <c r="R155" s="18"/>
      <c r="S155" s="18"/>
      <c r="T155" s="18"/>
      <c r="U155" s="18"/>
      <c r="V155" s="18"/>
      <c r="W155" s="18"/>
      <c r="X155" s="18"/>
      <c r="Y155" s="18"/>
    </row>
    <row r="156" spans="1:25">
      <c r="A156" s="96" t="s">
        <v>150</v>
      </c>
      <c r="B156" s="405"/>
      <c r="C156" s="159">
        <f>VLOOKUP(A156,'imp-questions'!A:H,5,0)</f>
        <v>2</v>
      </c>
      <c r="D156" s="49" t="str">
        <f>VLOOKUP(A156,'imp-questions'!A:H,6,0)</f>
        <v>Do you regularly evaluate the threats to your architecture?</v>
      </c>
      <c r="E156" s="160" t="str">
        <f>CHAR(65+VLOOKUP(A156,'imp-questions'!A:H,8,0))</f>
        <v>F</v>
      </c>
      <c r="F156" s="108" t="s">
        <v>68</v>
      </c>
      <c r="G156" s="62">
        <f>IFERROR(VLOOKUP(F156,AnsFTBL,2,0),0)</f>
        <v>1</v>
      </c>
      <c r="H156" s="164"/>
      <c r="I156" s="391"/>
      <c r="J156" s="111"/>
      <c r="K156" s="412"/>
      <c r="L156" s="393"/>
      <c r="M156" s="394"/>
      <c r="N156" s="31"/>
      <c r="O156" s="31"/>
      <c r="P156" s="18"/>
      <c r="Q156" s="18"/>
      <c r="R156" s="18"/>
      <c r="S156" s="18"/>
      <c r="T156" s="18"/>
      <c r="U156" s="18"/>
      <c r="V156" s="18"/>
      <c r="W156" s="18"/>
      <c r="X156" s="18"/>
      <c r="Y156" s="18"/>
    </row>
    <row r="157" spans="1:25" ht="56">
      <c r="B157" s="405"/>
      <c r="C157" s="54"/>
      <c r="D157" s="68" t="str">
        <f>VLOOKUP(A156,'imp-questions'!A:H,7,0)</f>
        <v>You systematically review each threat identified in the Threat Assessment
Trained or experienced people lead review exercise
You identify mitigating design-level features for each identified threat
You log unhandled threats as defects</v>
      </c>
      <c r="E157" s="161"/>
      <c r="F157" s="162"/>
      <c r="G157" s="163"/>
      <c r="H157" s="165"/>
      <c r="I157" s="391"/>
      <c r="J157" s="111"/>
      <c r="K157" s="412"/>
      <c r="L157" s="393"/>
      <c r="M157" s="394"/>
      <c r="N157" s="31"/>
      <c r="O157" s="31"/>
      <c r="P157" s="18"/>
      <c r="Q157" s="18"/>
      <c r="R157" s="18"/>
      <c r="S157" s="18"/>
      <c r="T157" s="18"/>
      <c r="U157" s="18"/>
      <c r="V157" s="18"/>
      <c r="W157" s="18"/>
      <c r="X157" s="18"/>
      <c r="Y157" s="18"/>
    </row>
    <row r="158" spans="1:25">
      <c r="A158" s="96" t="s">
        <v>151</v>
      </c>
      <c r="B158" s="405"/>
      <c r="C158" s="159">
        <f>VLOOKUP(A158,'imp-questions'!A:H,5,0)</f>
        <v>3</v>
      </c>
      <c r="D158" s="49" t="str">
        <f>VLOOKUP(A158,'imp-questions'!A:H,6,0)</f>
        <v>Do you regularly update your reference architectures based on architecture assessment findings?</v>
      </c>
      <c r="E158" s="160" t="str">
        <f>CHAR(65+VLOOKUP(A158,'imp-questions'!A:H,8,0))</f>
        <v>F</v>
      </c>
      <c r="F158" s="108"/>
      <c r="G158" s="62">
        <f>IFERROR(VLOOKUP(F158,AnsFTBL,2,0),0)</f>
        <v>0</v>
      </c>
      <c r="H158" s="164"/>
      <c r="I158" s="391"/>
      <c r="J158" s="111"/>
      <c r="K158" s="413"/>
      <c r="L158" s="393"/>
      <c r="M158" s="394"/>
      <c r="N158" s="31"/>
      <c r="O158" s="31"/>
      <c r="P158" s="18"/>
      <c r="Q158" s="18"/>
      <c r="R158" s="18"/>
      <c r="S158" s="18"/>
      <c r="T158" s="18"/>
      <c r="U158" s="18"/>
      <c r="V158" s="18"/>
      <c r="W158" s="18"/>
      <c r="X158" s="18"/>
      <c r="Y158" s="18"/>
    </row>
    <row r="159" spans="1:25" ht="56">
      <c r="B159" s="405"/>
      <c r="C159" s="54"/>
      <c r="D159" s="68" t="str">
        <f>VLOOKUP(A158,'imp-questions'!A:H,7,0)</f>
        <v>You assess your architectures in a standardized, documented manner
You use recurring findings to trigger a review of reference architectures
You independently review the quality of the architecture assessments on an ad-hoc basis
You use reference architecture updates to trigger reviews of relevant shared solutions, in a risk-based manner</v>
      </c>
      <c r="E159" s="166"/>
      <c r="F159" s="167"/>
      <c r="G159" s="168"/>
      <c r="H159" s="169"/>
      <c r="I159" s="391"/>
      <c r="J159" s="111"/>
      <c r="K159" s="413"/>
      <c r="L159" s="393"/>
      <c r="M159" s="394"/>
      <c r="N159" s="31"/>
      <c r="O159" s="31"/>
      <c r="P159" s="18"/>
      <c r="Q159" s="18"/>
      <c r="R159" s="18"/>
      <c r="S159" s="18"/>
      <c r="T159" s="18"/>
      <c r="U159" s="18"/>
      <c r="V159" s="18"/>
      <c r="W159" s="18"/>
      <c r="X159" s="18"/>
      <c r="Y159" s="18"/>
    </row>
    <row r="160" spans="1:25" ht="12.75" customHeight="1">
      <c r="B160" s="407" t="s">
        <v>152</v>
      </c>
      <c r="C160" s="407"/>
      <c r="D160" s="407"/>
      <c r="E160" s="170"/>
      <c r="F160" s="171" t="s">
        <v>52</v>
      </c>
      <c r="G160" s="171"/>
      <c r="H160" s="172"/>
      <c r="I160" s="173" t="s">
        <v>53</v>
      </c>
      <c r="J160" s="174" t="s">
        <v>54</v>
      </c>
      <c r="K160" s="175"/>
      <c r="L160" s="176"/>
      <c r="M160" s="177"/>
      <c r="N160" s="31"/>
      <c r="O160" s="31"/>
      <c r="P160" s="18"/>
      <c r="Q160" s="18"/>
      <c r="R160" s="18"/>
      <c r="S160" s="18"/>
      <c r="T160" s="18"/>
      <c r="U160" s="18"/>
      <c r="V160" s="18"/>
      <c r="W160" s="18"/>
      <c r="X160" s="18"/>
      <c r="Y160" s="18"/>
    </row>
    <row r="161" spans="1:25" ht="14" customHeight="1">
      <c r="A161" s="96" t="s">
        <v>153</v>
      </c>
      <c r="B161" s="408" t="str">
        <f>VLOOKUP(A161,'imp-questions'!A:H,4,0)</f>
        <v>Control Verification</v>
      </c>
      <c r="C161" s="178">
        <f>VLOOKUP(A161,'imp-questions'!A:H,5,0)</f>
        <v>1</v>
      </c>
      <c r="D161" s="78" t="str">
        <f>VLOOKUP(A161,'imp-questions'!A:H,6,0)</f>
        <v>Do you test applications for the correct functioning of standard security controls?</v>
      </c>
      <c r="E161" s="60" t="str">
        <f>CHAR(65+VLOOKUP(A161,'imp-questions'!A:H,8,0))</f>
        <v>C</v>
      </c>
      <c r="F161" s="121"/>
      <c r="G161" s="62">
        <f>IFERROR(VLOOKUP(F161,AnsCTBL,2,0),0)</f>
        <v>0</v>
      </c>
      <c r="H161" s="79">
        <f>IFERROR(AVERAGE(G161,G168),0)</f>
        <v>0</v>
      </c>
      <c r="I161" s="391"/>
      <c r="J161" s="409">
        <f>SUM(H161,H163,H165)</f>
        <v>0</v>
      </c>
      <c r="K161" s="399"/>
      <c r="L161" s="393"/>
      <c r="M161" s="394"/>
      <c r="N161" s="31"/>
      <c r="O161" s="31"/>
      <c r="P161" s="18"/>
      <c r="Q161" s="18"/>
      <c r="R161" s="18"/>
      <c r="S161" s="18"/>
      <c r="T161" s="18"/>
      <c r="U161" s="18"/>
      <c r="V161" s="18"/>
      <c r="W161" s="18"/>
      <c r="X161" s="18"/>
      <c r="Y161" s="18"/>
    </row>
    <row r="162" spans="1:25" ht="42">
      <c r="B162" s="408"/>
      <c r="C162" s="54"/>
      <c r="D162" s="68" t="str">
        <f>VLOOKUP(A161,'imp-questions'!A:H,7,0)</f>
        <v>Security testing at least verifies the implementation of authentication, access control, input validation, encoding and escaping data, and encryption controls
Security testing executes whenever the application changes its use of the controls</v>
      </c>
      <c r="E162" s="56"/>
      <c r="F162" s="90"/>
      <c r="G162" s="91"/>
      <c r="H162" s="59"/>
      <c r="I162" s="391"/>
      <c r="J162" s="409"/>
      <c r="K162" s="399"/>
      <c r="L162" s="393"/>
      <c r="M162" s="394"/>
      <c r="N162" s="31"/>
      <c r="O162" s="31"/>
      <c r="P162" s="18"/>
      <c r="Q162" s="18"/>
      <c r="R162" s="18"/>
      <c r="S162" s="18"/>
      <c r="T162" s="18"/>
      <c r="U162" s="18"/>
      <c r="V162" s="18"/>
      <c r="W162" s="18"/>
      <c r="X162" s="18"/>
      <c r="Y162" s="18"/>
    </row>
    <row r="163" spans="1:25">
      <c r="A163" s="96" t="s">
        <v>154</v>
      </c>
      <c r="B163" s="408"/>
      <c r="C163" s="159">
        <f>VLOOKUP(A163,'imp-questions'!A:H,5,0)</f>
        <v>2</v>
      </c>
      <c r="D163" s="49" t="str">
        <f>VLOOKUP(A163,'imp-questions'!A:H,6,0)</f>
        <v>Do you consistently write and execute test scripts to verify the functionality of security requirements?</v>
      </c>
      <c r="E163" s="50" t="str">
        <f>CHAR(65+VLOOKUP(A163,'imp-questions'!A:H,8,0))</f>
        <v>C</v>
      </c>
      <c r="F163" s="108"/>
      <c r="G163" s="62">
        <f>IFERROR(VLOOKUP(F163,AnsCTBL,2,0),0)</f>
        <v>0</v>
      </c>
      <c r="H163" s="53">
        <f>IFERROR(AVERAGE(G163,G170),0)</f>
        <v>0</v>
      </c>
      <c r="I163" s="391"/>
      <c r="J163" s="109"/>
      <c r="K163" s="410"/>
      <c r="L163" s="393"/>
      <c r="M163" s="394"/>
      <c r="N163" s="31"/>
      <c r="O163" s="31"/>
      <c r="P163" s="18"/>
      <c r="Q163" s="18"/>
      <c r="R163" s="18"/>
      <c r="S163" s="18"/>
      <c r="T163" s="18"/>
      <c r="U163" s="18"/>
      <c r="V163" s="18"/>
      <c r="W163" s="18"/>
      <c r="X163" s="18"/>
      <c r="Y163" s="18"/>
    </row>
    <row r="164" spans="1:25" ht="42">
      <c r="B164" s="408"/>
      <c r="C164" s="54"/>
      <c r="D164" s="68" t="str">
        <f>VLOOKUP(A163,'imp-questions'!A:H,7,0)</f>
        <v>You tailor tests to each application and assert expected security functionality
You capture test results as a pass or fail condition
Tests use a standardized framework or DSL</v>
      </c>
      <c r="E164" s="56"/>
      <c r="F164" s="90"/>
      <c r="G164" s="91"/>
      <c r="H164" s="67"/>
      <c r="I164" s="391"/>
      <c r="J164" s="109"/>
      <c r="K164" s="410"/>
      <c r="L164" s="393"/>
      <c r="M164" s="394"/>
      <c r="N164" s="31"/>
      <c r="O164" s="31"/>
      <c r="P164" s="18"/>
      <c r="Q164" s="18"/>
      <c r="R164" s="18"/>
      <c r="S164" s="18"/>
      <c r="T164" s="18"/>
      <c r="U164" s="18"/>
      <c r="V164" s="18"/>
      <c r="W164" s="18"/>
      <c r="X164" s="18"/>
      <c r="Y164" s="18"/>
    </row>
    <row r="165" spans="1:25">
      <c r="A165" s="96" t="s">
        <v>155</v>
      </c>
      <c r="B165" s="408"/>
      <c r="C165" s="159">
        <f>VLOOKUP(A165,'imp-questions'!A:H,5,0)</f>
        <v>3</v>
      </c>
      <c r="D165" s="49" t="str">
        <f>VLOOKUP(A165,'imp-questions'!A:H,6,0)</f>
        <v>Do you automatically test applications for security regressions?</v>
      </c>
      <c r="E165" s="50" t="str">
        <f>CHAR(65+VLOOKUP(A165,'imp-questions'!A:H,8,0))</f>
        <v>F</v>
      </c>
      <c r="F165" s="108"/>
      <c r="G165" s="62">
        <f>IFERROR(VLOOKUP(F165,AnsFTBL,2,0),0)</f>
        <v>0</v>
      </c>
      <c r="H165" s="53">
        <f>IFERROR(AVERAGE(G165,G172),0)</f>
        <v>0</v>
      </c>
      <c r="I165" s="391"/>
      <c r="J165" s="109"/>
      <c r="K165" s="411"/>
      <c r="L165" s="393"/>
      <c r="M165" s="394"/>
      <c r="N165" s="31"/>
      <c r="O165" s="31"/>
      <c r="P165" s="18"/>
      <c r="Q165" s="18"/>
      <c r="R165" s="18"/>
      <c r="S165" s="18"/>
      <c r="T165" s="18"/>
      <c r="U165" s="18"/>
      <c r="V165" s="18"/>
      <c r="W165" s="18"/>
      <c r="X165" s="18"/>
      <c r="Y165" s="18"/>
    </row>
    <row r="166" spans="1:25" ht="28">
      <c r="B166" s="408"/>
      <c r="C166" s="65"/>
      <c r="D166" s="55" t="str">
        <f>VLOOKUP(A165,'imp-questions'!A:H,7,0)</f>
        <v>You consistently write tests for all identified bugs (possibly exceeding a pre-defined severity threshhold)
You collect security tests in a test suite that is part of the existing unit testing framework</v>
      </c>
      <c r="E166" s="56"/>
      <c r="F166" s="90"/>
      <c r="G166" s="91"/>
      <c r="H166" s="67"/>
      <c r="I166" s="391"/>
      <c r="J166" s="109"/>
      <c r="K166" s="411"/>
      <c r="L166" s="393"/>
      <c r="M166" s="394"/>
      <c r="N166" s="31"/>
      <c r="O166" s="31"/>
      <c r="P166" s="18"/>
      <c r="Q166" s="18"/>
      <c r="R166" s="18"/>
      <c r="S166" s="18"/>
      <c r="T166" s="18"/>
      <c r="U166" s="18"/>
      <c r="V166" s="18"/>
      <c r="W166" s="18"/>
      <c r="X166" s="18"/>
      <c r="Y166" s="18"/>
    </row>
    <row r="167" spans="1:25">
      <c r="B167" s="73"/>
      <c r="C167" s="74"/>
      <c r="D167" s="74"/>
      <c r="E167" s="74"/>
      <c r="F167" s="74"/>
      <c r="G167" s="74"/>
      <c r="H167" s="74"/>
      <c r="I167" s="74"/>
      <c r="J167" s="75"/>
      <c r="K167" s="74"/>
      <c r="L167" s="74"/>
      <c r="M167" s="76"/>
      <c r="N167" s="31"/>
      <c r="O167" s="31"/>
      <c r="P167" s="18"/>
      <c r="Q167" s="18"/>
      <c r="R167" s="18"/>
      <c r="S167" s="18"/>
      <c r="T167" s="18"/>
      <c r="U167" s="18"/>
      <c r="V167" s="18"/>
      <c r="W167" s="18"/>
      <c r="X167" s="18"/>
      <c r="Y167" s="18"/>
    </row>
    <row r="168" spans="1:25">
      <c r="A168" s="96" t="s">
        <v>156</v>
      </c>
      <c r="B168" s="405" t="str">
        <f>VLOOKUP(A168,'imp-questions'!A:H,4,0)</f>
        <v>Misuse/Abuse Testing</v>
      </c>
      <c r="C168" s="159">
        <f>VLOOKUP(A168,'imp-questions'!A:H,5,0)</f>
        <v>1</v>
      </c>
      <c r="D168" s="49" t="str">
        <f>VLOOKUP(A168,'imp-questions'!A:H,6,0)</f>
        <v>Do you test applications using randomization or fuzzing techniques?</v>
      </c>
      <c r="E168" s="50" t="str">
        <f>CHAR(65+VLOOKUP(A168,'imp-questions'!A:H,8,0))</f>
        <v>F</v>
      </c>
      <c r="F168" s="108"/>
      <c r="G168" s="62">
        <f>IFERROR(VLOOKUP(F168,AnsFTBL,2,0),0)</f>
        <v>0</v>
      </c>
      <c r="H168" s="63"/>
      <c r="I168" s="391"/>
      <c r="J168" s="111"/>
      <c r="K168" s="400"/>
      <c r="L168" s="393"/>
      <c r="M168" s="394"/>
      <c r="N168" s="31"/>
      <c r="O168" s="31"/>
      <c r="P168" s="18"/>
      <c r="Q168" s="18"/>
      <c r="R168" s="18"/>
      <c r="S168" s="18"/>
      <c r="T168" s="18"/>
      <c r="U168" s="18"/>
      <c r="V168" s="18"/>
      <c r="W168" s="18"/>
      <c r="X168" s="18"/>
      <c r="Y168" s="18"/>
    </row>
    <row r="169" spans="1:25" ht="28">
      <c r="B169" s="405"/>
      <c r="C169" s="54"/>
      <c r="D169" s="68" t="str">
        <f>VLOOKUP(A168,'imp-questions'!A:H,7,0)</f>
        <v>Testing covers most or all of the application's main input parameters
You record and inspect all application crashes for security impact on a best-effort basis</v>
      </c>
      <c r="E169" s="56"/>
      <c r="F169" s="90"/>
      <c r="G169" s="91"/>
      <c r="H169" s="92"/>
      <c r="I169" s="391"/>
      <c r="J169" s="111"/>
      <c r="K169" s="400"/>
      <c r="L169" s="393"/>
      <c r="M169" s="394"/>
      <c r="N169" s="31"/>
      <c r="O169" s="31"/>
      <c r="P169" s="18"/>
      <c r="Q169" s="18"/>
      <c r="R169" s="18"/>
      <c r="S169" s="18"/>
      <c r="T169" s="18"/>
      <c r="U169" s="18"/>
      <c r="V169" s="18"/>
      <c r="W169" s="18"/>
      <c r="X169" s="18"/>
      <c r="Y169" s="18"/>
    </row>
    <row r="170" spans="1:25">
      <c r="A170" s="96" t="s">
        <v>157</v>
      </c>
      <c r="B170" s="405"/>
      <c r="C170" s="159">
        <f>VLOOKUP(A170,'imp-questions'!A:H,5,0)</f>
        <v>2</v>
      </c>
      <c r="D170" s="49" t="str">
        <f>VLOOKUP(A170,'imp-questions'!A:H,6,0)</f>
        <v>Do you create abuse cases from functional requirements and use them to drive security tests?</v>
      </c>
      <c r="E170" s="50" t="str">
        <f>CHAR(65+VLOOKUP(A170,'imp-questions'!A:H,8,0))</f>
        <v>H</v>
      </c>
      <c r="F170" s="121"/>
      <c r="G170" s="179">
        <f>IFERROR(VLOOKUP(F170,AnsHTBL,2,0),0)</f>
        <v>0</v>
      </c>
      <c r="H170" s="63"/>
      <c r="I170" s="391"/>
      <c r="J170" s="111"/>
      <c r="K170" s="400"/>
      <c r="L170" s="393"/>
      <c r="M170" s="394"/>
      <c r="N170" s="31"/>
      <c r="O170" s="31"/>
      <c r="P170" s="18"/>
      <c r="Q170" s="18"/>
      <c r="R170" s="18"/>
      <c r="S170" s="18"/>
      <c r="T170" s="18"/>
      <c r="U170" s="18"/>
      <c r="V170" s="18"/>
      <c r="W170" s="18"/>
      <c r="X170" s="18"/>
      <c r="Y170" s="18"/>
    </row>
    <row r="171" spans="1:25" ht="42">
      <c r="B171" s="405"/>
      <c r="C171" s="54"/>
      <c r="D171" s="68" t="str">
        <f>VLOOKUP(A170,'imp-questions'!A:H,7,0)</f>
        <v>Important business functionality has corresponding abuse cases
You build abuse stories around relevant personas with well-defined motivations and characteristics
You capture identified weaknesses as security requirements</v>
      </c>
      <c r="E171" s="56"/>
      <c r="F171" s="90"/>
      <c r="G171" s="91"/>
      <c r="H171" s="92"/>
      <c r="I171" s="391"/>
      <c r="J171" s="111"/>
      <c r="K171" s="400"/>
      <c r="L171" s="393"/>
      <c r="M171" s="394"/>
      <c r="N171" s="31"/>
      <c r="O171" s="31"/>
      <c r="P171" s="18"/>
      <c r="Q171" s="18"/>
      <c r="R171" s="18"/>
      <c r="S171" s="18"/>
      <c r="T171" s="18"/>
      <c r="U171" s="18"/>
      <c r="V171" s="18"/>
      <c r="W171" s="18"/>
      <c r="X171" s="18"/>
      <c r="Y171" s="18"/>
    </row>
    <row r="172" spans="1:25">
      <c r="A172" s="96" t="s">
        <v>158</v>
      </c>
      <c r="B172" s="405"/>
      <c r="C172" s="159">
        <f>VLOOKUP(A172,'imp-questions'!A:H,5,0)</f>
        <v>3</v>
      </c>
      <c r="D172" s="49" t="str">
        <f>VLOOKUP(A172,'imp-questions'!A:H,6,0)</f>
        <v>Do you perform denial of service and security stress testing?</v>
      </c>
      <c r="E172" s="50" t="str">
        <f>CHAR(65+VLOOKUP(A172,'imp-questions'!A:H,8,0))</f>
        <v>H</v>
      </c>
      <c r="F172" s="121"/>
      <c r="G172" s="179">
        <f>IFERROR(VLOOKUP(F172,AnsHTBL,2,0),0)</f>
        <v>0</v>
      </c>
      <c r="H172" s="63"/>
      <c r="I172" s="391"/>
      <c r="J172" s="111"/>
      <c r="K172" s="406"/>
      <c r="L172" s="393"/>
      <c r="M172" s="394"/>
      <c r="N172" s="31"/>
      <c r="O172" s="31"/>
      <c r="P172" s="18"/>
      <c r="Q172" s="18"/>
      <c r="R172" s="18"/>
      <c r="S172" s="18"/>
      <c r="T172" s="18"/>
      <c r="U172" s="18"/>
      <c r="V172" s="18"/>
      <c r="W172" s="18"/>
      <c r="X172" s="18"/>
      <c r="Y172" s="18"/>
    </row>
    <row r="173" spans="1:25" ht="42">
      <c r="B173" s="405"/>
      <c r="C173" s="54"/>
      <c r="D173" s="68" t="str">
        <f>VLOOKUP(A172,'imp-questions'!A:H,7,0)</f>
        <v>Stress tests target specific application resources (e.g. memory exhaustion by saving large amounts of data to a user session)
You design tests around relevant personas with well-defined capabilities (knowledge, resources)
You feed the results back to the Design practices</v>
      </c>
      <c r="E173" s="69"/>
      <c r="F173" s="93"/>
      <c r="G173" s="94"/>
      <c r="H173" s="95"/>
      <c r="I173" s="391"/>
      <c r="J173" s="111"/>
      <c r="K173" s="406"/>
      <c r="L173" s="393"/>
      <c r="M173" s="394"/>
      <c r="N173" s="31"/>
      <c r="O173" s="31"/>
      <c r="P173" s="18"/>
      <c r="Q173" s="18"/>
      <c r="R173" s="18"/>
      <c r="S173" s="18"/>
      <c r="T173" s="18"/>
      <c r="U173" s="18"/>
      <c r="V173" s="18"/>
      <c r="W173" s="18"/>
      <c r="X173" s="18"/>
      <c r="Y173" s="18"/>
    </row>
    <row r="174" spans="1:25" ht="12.75" customHeight="1">
      <c r="B174" s="407" t="s">
        <v>159</v>
      </c>
      <c r="C174" s="407"/>
      <c r="D174" s="407"/>
      <c r="E174" s="170"/>
      <c r="F174" s="171" t="s">
        <v>52</v>
      </c>
      <c r="G174" s="171"/>
      <c r="H174" s="172"/>
      <c r="I174" s="173" t="s">
        <v>53</v>
      </c>
      <c r="J174" s="174" t="s">
        <v>54</v>
      </c>
      <c r="K174" s="175"/>
      <c r="L174" s="176"/>
      <c r="M174" s="177"/>
      <c r="N174" s="31"/>
      <c r="O174" s="31"/>
      <c r="P174" s="18"/>
      <c r="Q174" s="18"/>
      <c r="R174" s="18"/>
      <c r="S174" s="18"/>
      <c r="T174" s="18"/>
      <c r="U174" s="18"/>
      <c r="V174" s="18"/>
      <c r="W174" s="18"/>
      <c r="X174" s="18"/>
      <c r="Y174" s="18"/>
    </row>
    <row r="175" spans="1:25" ht="14" customHeight="1">
      <c r="A175" s="96" t="s">
        <v>160</v>
      </c>
      <c r="B175" s="408" t="str">
        <f>VLOOKUP(A175,'imp-questions'!A:H,4,0)</f>
        <v>Scalable Baseline</v>
      </c>
      <c r="C175" s="178">
        <f>VLOOKUP(A175,'imp-questions'!A:H,5,0)</f>
        <v>1</v>
      </c>
      <c r="D175" s="78" t="str">
        <f>VLOOKUP(A175,'imp-questions'!A:H,6,0)</f>
        <v>Do you scan applications with automated security testing tools?</v>
      </c>
      <c r="E175" s="60" t="str">
        <f>CHAR(65+VLOOKUP(A175,'imp-questions'!A:H,8,0))</f>
        <v>C</v>
      </c>
      <c r="F175" s="121" t="s">
        <v>161</v>
      </c>
      <c r="G175" s="62">
        <f>IFERROR(VLOOKUP(F175,AnsCTBL,2,0),0)</f>
        <v>0.5</v>
      </c>
      <c r="H175" s="79">
        <f>IFERROR(AVERAGE(G175,G182),0)</f>
        <v>0.25</v>
      </c>
      <c r="I175" s="391"/>
      <c r="J175" s="409">
        <f>SUM(H175,H177,H179)</f>
        <v>0.875</v>
      </c>
      <c r="K175" s="399"/>
      <c r="L175" s="393"/>
      <c r="M175" s="394"/>
      <c r="N175" s="31"/>
      <c r="O175" s="31"/>
      <c r="P175" s="18"/>
      <c r="Q175" s="18"/>
      <c r="R175" s="18"/>
      <c r="S175" s="18"/>
      <c r="T175" s="18"/>
      <c r="U175" s="18"/>
      <c r="V175" s="18"/>
      <c r="W175" s="18"/>
      <c r="X175" s="18"/>
      <c r="Y175" s="18"/>
    </row>
    <row r="176" spans="1:25" ht="42">
      <c r="B176" s="408"/>
      <c r="C176" s="54"/>
      <c r="D176" s="68" t="str">
        <f>VLOOKUP(A175,'imp-questions'!A:H,7,0)</f>
        <v>You dynamically generate inputs for security tests using automated tools
You choose the security testing tools to fit the organization's architecture and technology stack, and balance depth and accuracy of inspection with usability of findings to the organization</v>
      </c>
      <c r="E176" s="56"/>
      <c r="F176" s="90"/>
      <c r="G176" s="91"/>
      <c r="H176" s="59"/>
      <c r="I176" s="391"/>
      <c r="J176" s="409"/>
      <c r="K176" s="399"/>
      <c r="L176" s="393"/>
      <c r="M176" s="394"/>
      <c r="N176" s="31"/>
      <c r="O176" s="31"/>
      <c r="P176" s="18"/>
      <c r="Q176" s="18"/>
      <c r="R176" s="18"/>
      <c r="S176" s="18"/>
      <c r="T176" s="18"/>
      <c r="U176" s="18"/>
      <c r="V176" s="18"/>
      <c r="W176" s="18"/>
      <c r="X176" s="18"/>
      <c r="Y176" s="18"/>
    </row>
    <row r="177" spans="1:25">
      <c r="A177" s="96" t="s">
        <v>162</v>
      </c>
      <c r="B177" s="408"/>
      <c r="C177" s="159">
        <f>VLOOKUP(A177,'imp-questions'!A:H,5,0)</f>
        <v>2</v>
      </c>
      <c r="D177" s="49" t="str">
        <f>VLOOKUP(A177,'imp-questions'!A:H,6,0)</f>
        <v>Do you customize the automated security tools to your applications and technology stacks?</v>
      </c>
      <c r="E177" s="50" t="str">
        <f>CHAR(65+VLOOKUP(A177,'imp-questions'!A:H,8,0))</f>
        <v>C</v>
      </c>
      <c r="F177" s="121" t="s">
        <v>161</v>
      </c>
      <c r="G177" s="62">
        <f>IFERROR(VLOOKUP(F177,AnsCTBL,2,0),0)</f>
        <v>0.5</v>
      </c>
      <c r="H177" s="53">
        <f>IFERROR(AVERAGE(G177,G184),0)</f>
        <v>0.5</v>
      </c>
      <c r="I177" s="391"/>
      <c r="J177" s="109"/>
      <c r="K177" s="410"/>
      <c r="L177" s="393"/>
      <c r="M177" s="394"/>
      <c r="N177" s="31"/>
      <c r="O177" s="31"/>
      <c r="P177" s="18"/>
      <c r="Q177" s="18"/>
      <c r="R177" s="18"/>
      <c r="S177" s="18"/>
      <c r="T177" s="18"/>
      <c r="U177" s="18"/>
      <c r="V177" s="18"/>
      <c r="W177" s="18"/>
      <c r="X177" s="18"/>
      <c r="Y177" s="18"/>
    </row>
    <row r="178" spans="1:25" ht="42">
      <c r="B178" s="408"/>
      <c r="C178" s="54"/>
      <c r="D178" s="68" t="str">
        <f>VLOOKUP(A177,'imp-questions'!A:H,7,0)</f>
        <v>You tune and select tool features which match your application or technology stack
You minimize false positives by silencing or automatically filter irrelevant warnings or low probability findings
You minimize false negatives by leverage tool extensions or DSLs to customize tools for your application or organizational standards</v>
      </c>
      <c r="E178" s="56"/>
      <c r="F178" s="90"/>
      <c r="G178" s="91"/>
      <c r="H178" s="67"/>
      <c r="I178" s="391"/>
      <c r="J178" s="109"/>
      <c r="K178" s="410"/>
      <c r="L178" s="393"/>
      <c r="M178" s="394"/>
      <c r="N178" s="31"/>
      <c r="O178" s="31"/>
      <c r="P178" s="18"/>
      <c r="Q178" s="18"/>
      <c r="R178" s="18"/>
      <c r="S178" s="18"/>
      <c r="T178" s="18"/>
      <c r="U178" s="18"/>
      <c r="V178" s="18"/>
      <c r="W178" s="18"/>
      <c r="X178" s="18"/>
      <c r="Y178" s="18"/>
    </row>
    <row r="179" spans="1:25">
      <c r="A179" s="96" t="s">
        <v>163</v>
      </c>
      <c r="B179" s="408"/>
      <c r="C179" s="159">
        <f>VLOOKUP(A179,'imp-questions'!A:H,5,0)</f>
        <v>3</v>
      </c>
      <c r="D179" s="49" t="str">
        <f>VLOOKUP(A179,'imp-questions'!A:H,6,0)</f>
        <v>Do you integrate automated security testing into the build and deploy process?</v>
      </c>
      <c r="E179" s="50" t="str">
        <f>CHAR(65+VLOOKUP(A179,'imp-questions'!A:H,8,0))</f>
        <v>X</v>
      </c>
      <c r="F179" s="121" t="s">
        <v>164</v>
      </c>
      <c r="G179" s="62">
        <f>IFERROR(VLOOKUP(F179,AnsXTBL,2,0),0)</f>
        <v>0.25</v>
      </c>
      <c r="H179" s="53">
        <f>IFERROR(AVERAGE(G179,G186),0)</f>
        <v>0.125</v>
      </c>
      <c r="I179" s="391"/>
      <c r="J179" s="109"/>
      <c r="K179" s="411"/>
      <c r="L179" s="393"/>
      <c r="M179" s="394"/>
      <c r="N179" s="31"/>
      <c r="O179" s="31"/>
      <c r="P179" s="18"/>
      <c r="Q179" s="18"/>
      <c r="R179" s="18"/>
      <c r="S179" s="18"/>
      <c r="T179" s="18"/>
      <c r="U179" s="18"/>
      <c r="V179" s="18"/>
      <c r="W179" s="18"/>
      <c r="X179" s="18"/>
      <c r="Y179" s="18"/>
    </row>
    <row r="180" spans="1:25" ht="28">
      <c r="B180" s="408"/>
      <c r="C180" s="65"/>
      <c r="D180" s="55" t="str">
        <f>VLOOKUP(A179,'imp-questions'!A:H,7,0)</f>
        <v>Management and business stakeholders track and review test results throughout the development cycle
You merge test results into a central dashboard and feed them into defect management</v>
      </c>
      <c r="E180" s="56"/>
      <c r="F180" s="90"/>
      <c r="G180" s="91"/>
      <c r="H180" s="67"/>
      <c r="I180" s="391"/>
      <c r="J180" s="109"/>
      <c r="K180" s="411"/>
      <c r="L180" s="393"/>
      <c r="M180" s="394"/>
      <c r="N180" s="31"/>
      <c r="O180" s="31"/>
      <c r="P180" s="18"/>
      <c r="Q180" s="18"/>
      <c r="R180" s="18"/>
      <c r="S180" s="18"/>
      <c r="T180" s="18"/>
      <c r="U180" s="18"/>
      <c r="V180" s="18"/>
      <c r="W180" s="18"/>
      <c r="X180" s="18"/>
      <c r="Y180" s="18"/>
    </row>
    <row r="181" spans="1:25">
      <c r="B181" s="73"/>
      <c r="C181" s="74"/>
      <c r="D181" s="74"/>
      <c r="E181" s="74"/>
      <c r="F181" s="74"/>
      <c r="G181" s="74"/>
      <c r="H181" s="74"/>
      <c r="I181" s="74"/>
      <c r="J181" s="75"/>
      <c r="K181" s="74"/>
      <c r="L181" s="74"/>
      <c r="M181" s="76"/>
      <c r="N181" s="31"/>
      <c r="O181" s="31"/>
      <c r="P181" s="18"/>
      <c r="Q181" s="18"/>
      <c r="R181" s="18"/>
      <c r="S181" s="18"/>
      <c r="T181" s="18"/>
      <c r="U181" s="18"/>
      <c r="V181" s="18"/>
      <c r="W181" s="18"/>
      <c r="X181" s="18"/>
      <c r="Y181" s="18"/>
    </row>
    <row r="182" spans="1:25">
      <c r="A182" s="96" t="s">
        <v>165</v>
      </c>
      <c r="B182" s="405" t="str">
        <f>VLOOKUP(A182,'imp-questions'!A:H,4,0)</f>
        <v>Deep Understanding</v>
      </c>
      <c r="C182" s="159">
        <f>VLOOKUP(A182,'imp-questions'!A:H,5,0)</f>
        <v>1</v>
      </c>
      <c r="D182" s="49" t="str">
        <f>VLOOKUP(A182,'imp-questions'!A:H,6,0)</f>
        <v>Do you manually review the security quality of selected high-risk components?</v>
      </c>
      <c r="E182" s="50" t="str">
        <f>CHAR(65+VLOOKUP(A182,'imp-questions'!A:H,8,0))</f>
        <v>M</v>
      </c>
      <c r="F182" s="108"/>
      <c r="G182" s="62">
        <f>IFERROR(VLOOKUP(F182,AnsMTBL,2,0),0)</f>
        <v>0</v>
      </c>
      <c r="H182" s="63"/>
      <c r="I182" s="391"/>
      <c r="J182" s="111"/>
      <c r="K182" s="400"/>
      <c r="L182" s="393"/>
      <c r="M182" s="394"/>
      <c r="N182" s="31"/>
      <c r="O182" s="31"/>
      <c r="P182" s="18"/>
      <c r="Q182" s="18"/>
      <c r="R182" s="18"/>
      <c r="S182" s="18"/>
      <c r="T182" s="18"/>
      <c r="U182" s="18"/>
      <c r="V182" s="18"/>
      <c r="W182" s="18"/>
      <c r="X182" s="18"/>
      <c r="Y182" s="18"/>
    </row>
    <row r="183" spans="1:25" ht="42">
      <c r="B183" s="405"/>
      <c r="C183" s="54"/>
      <c r="D183" s="68" t="str">
        <f>VLOOKUP(A182,'imp-questions'!A:H,7,0)</f>
        <v>Criteria exist to help the reviewer focus on high-risk components
Qualified personnel conduct reviews following documented guidelines
You address findings in accordance with the organization's defect management policy</v>
      </c>
      <c r="E183" s="56"/>
      <c r="F183" s="90"/>
      <c r="G183" s="91"/>
      <c r="H183" s="92"/>
      <c r="I183" s="391"/>
      <c r="J183" s="111"/>
      <c r="K183" s="400"/>
      <c r="L183" s="393"/>
      <c r="M183" s="394"/>
      <c r="N183" s="31"/>
      <c r="O183" s="31"/>
      <c r="P183" s="18"/>
      <c r="Q183" s="18"/>
      <c r="R183" s="18"/>
      <c r="S183" s="18"/>
      <c r="T183" s="18"/>
      <c r="U183" s="18"/>
      <c r="V183" s="18"/>
      <c r="W183" s="18"/>
      <c r="X183" s="18"/>
      <c r="Y183" s="18"/>
    </row>
    <row r="184" spans="1:25" ht="28">
      <c r="A184" s="96" t="s">
        <v>166</v>
      </c>
      <c r="B184" s="405"/>
      <c r="C184" s="159">
        <f>VLOOKUP(A184,'imp-questions'!A:H,5,0)</f>
        <v>2</v>
      </c>
      <c r="D184" s="49" t="str">
        <f>VLOOKUP(A184,'imp-questions'!A:H,6,0)</f>
        <v>Do you perform penetration testing for your applications at regular intervals?</v>
      </c>
      <c r="E184" s="50" t="str">
        <f>CHAR(65+VLOOKUP(A184,'imp-questions'!A:H,8,0))</f>
        <v>F</v>
      </c>
      <c r="F184" s="108" t="s">
        <v>124</v>
      </c>
      <c r="G184" s="62">
        <f>IFERROR(VLOOKUP(F184,AnsFTBL,2,0),0)</f>
        <v>0.5</v>
      </c>
      <c r="H184" s="63"/>
      <c r="I184" s="391"/>
      <c r="J184" s="111"/>
      <c r="K184" s="400"/>
      <c r="L184" s="393"/>
      <c r="M184" s="394"/>
      <c r="N184" s="31"/>
      <c r="O184" s="31"/>
      <c r="P184" s="18"/>
      <c r="Q184" s="18"/>
      <c r="R184" s="18"/>
      <c r="S184" s="18"/>
      <c r="T184" s="18"/>
      <c r="U184" s="18"/>
      <c r="V184" s="18"/>
      <c r="W184" s="18"/>
      <c r="X184" s="18"/>
      <c r="Y184" s="18"/>
    </row>
    <row r="185" spans="1:25" ht="56">
      <c r="B185" s="405"/>
      <c r="C185" s="54"/>
      <c r="D185" s="68" t="str">
        <f>VLOOKUP(A184,'imp-questions'!A:H,7,0)</f>
        <v>Penetration testing uses application-specific security test cases to evaluate security
Penetration testing looks for both technical and logical issues in the application
Stakeholders review the test results and handle them in accordance with the organization's risk management
Qualified personnnel performs penetration testing</v>
      </c>
      <c r="E185" s="56"/>
      <c r="F185" s="90"/>
      <c r="G185" s="91"/>
      <c r="H185" s="92"/>
      <c r="I185" s="391"/>
      <c r="J185" s="111"/>
      <c r="K185" s="400"/>
      <c r="L185" s="393"/>
      <c r="M185" s="394"/>
      <c r="N185" s="31"/>
      <c r="O185" s="31"/>
      <c r="P185" s="18"/>
      <c r="Q185" s="18"/>
      <c r="R185" s="18"/>
      <c r="S185" s="18"/>
      <c r="T185" s="18"/>
      <c r="U185" s="18"/>
      <c r="V185" s="18"/>
      <c r="W185" s="18"/>
      <c r="X185" s="18"/>
      <c r="Y185" s="18"/>
    </row>
    <row r="186" spans="1:25">
      <c r="A186" s="96" t="s">
        <v>167</v>
      </c>
      <c r="B186" s="405"/>
      <c r="C186" s="159">
        <f>VLOOKUP(A186,'imp-questions'!A:H,5,0)</f>
        <v>3</v>
      </c>
      <c r="D186" s="49" t="str">
        <f>VLOOKUP(A186,'imp-questions'!A:H,6,0)</f>
        <v>Do you use the results of security testing to improve the development lifecycle?</v>
      </c>
      <c r="E186" s="50" t="str">
        <f>CHAR(65+VLOOKUP(A186,'imp-questions'!A:H,8,0))</f>
        <v>T</v>
      </c>
      <c r="F186" s="121"/>
      <c r="G186" s="179">
        <f>IFERROR(VLOOKUP(F186,AnsTTBL,2,0),0)</f>
        <v>0</v>
      </c>
      <c r="H186" s="63"/>
      <c r="I186" s="391"/>
      <c r="J186" s="111"/>
      <c r="K186" s="406"/>
      <c r="L186" s="393"/>
      <c r="M186" s="394"/>
      <c r="N186" s="31"/>
      <c r="O186" s="31"/>
      <c r="P186" s="18"/>
      <c r="Q186" s="18"/>
      <c r="R186" s="18"/>
      <c r="S186" s="18"/>
      <c r="T186" s="18"/>
      <c r="U186" s="18"/>
      <c r="V186" s="18"/>
      <c r="W186" s="18"/>
      <c r="X186" s="18"/>
      <c r="Y186" s="18"/>
    </row>
    <row r="187" spans="1:25" ht="42">
      <c r="B187" s="405"/>
      <c r="C187" s="54"/>
      <c r="D187" s="68" t="str">
        <f>VLOOKUP(A186,'imp-questions'!A:H,7,0)</f>
        <v>You use results from other security activities to improve integrated security testing during development
You review test results and incorporate them into security awareness training and security testing playbooks
Stakeholders review the test results and handle them in accordance with the organization's risk management</v>
      </c>
      <c r="E187" s="69"/>
      <c r="F187" s="93"/>
      <c r="G187" s="94"/>
      <c r="H187" s="95"/>
      <c r="I187" s="391"/>
      <c r="J187" s="111"/>
      <c r="K187" s="406"/>
      <c r="L187" s="393"/>
      <c r="M187" s="394"/>
      <c r="N187" s="31"/>
      <c r="O187" s="31"/>
      <c r="P187" s="18"/>
      <c r="Q187" s="18"/>
      <c r="R187" s="18"/>
      <c r="S187" s="18"/>
      <c r="T187" s="18"/>
      <c r="U187" s="18"/>
      <c r="V187" s="18"/>
      <c r="W187" s="18"/>
      <c r="X187" s="18"/>
      <c r="Y187" s="18"/>
    </row>
    <row r="188" spans="1:25" ht="12.75" customHeight="1">
      <c r="B188" s="404" t="s">
        <v>168</v>
      </c>
      <c r="C188" s="404"/>
      <c r="D188" s="404"/>
      <c r="E188" s="404"/>
      <c r="F188" s="404"/>
      <c r="G188" s="404"/>
      <c r="H188" s="404"/>
      <c r="I188" s="404"/>
      <c r="J188" s="404"/>
      <c r="K188" s="180"/>
      <c r="L188" s="180"/>
      <c r="M188" s="181"/>
      <c r="N188" s="31"/>
      <c r="O188" s="31"/>
      <c r="P188" s="18"/>
      <c r="Q188" s="18"/>
      <c r="R188" s="18"/>
      <c r="S188" s="18"/>
      <c r="T188" s="18"/>
      <c r="U188" s="18"/>
      <c r="V188" s="18"/>
      <c r="W188" s="18"/>
      <c r="X188" s="18"/>
      <c r="Y188" s="18"/>
    </row>
    <row r="189" spans="1:25" ht="12.75" customHeight="1">
      <c r="B189" s="402" t="s">
        <v>169</v>
      </c>
      <c r="C189" s="402"/>
      <c r="D189" s="402"/>
      <c r="E189" s="183"/>
      <c r="F189" s="182" t="s">
        <v>52</v>
      </c>
      <c r="G189" s="182"/>
      <c r="H189" s="184"/>
      <c r="I189" s="185" t="s">
        <v>53</v>
      </c>
      <c r="J189" s="186" t="s">
        <v>54</v>
      </c>
      <c r="K189" s="187"/>
      <c r="L189" s="188"/>
      <c r="M189" s="189"/>
      <c r="N189" s="31"/>
      <c r="O189" s="31"/>
      <c r="P189" s="18"/>
      <c r="Q189" s="18"/>
      <c r="R189" s="18"/>
      <c r="S189" s="18"/>
      <c r="T189" s="18"/>
      <c r="U189" s="18"/>
      <c r="V189" s="18"/>
      <c r="W189" s="18"/>
      <c r="X189" s="18"/>
      <c r="Y189" s="18"/>
    </row>
    <row r="190" spans="1:25">
      <c r="A190" s="96" t="s">
        <v>170</v>
      </c>
      <c r="B190" s="390" t="str">
        <f>VLOOKUP(A190,'imp-questions'!A:H,4,0)</f>
        <v>Incident Detection</v>
      </c>
      <c r="C190" s="191">
        <f>VLOOKUP(A190,'imp-questions'!A:H,5,0)</f>
        <v>1</v>
      </c>
      <c r="D190" s="49" t="str">
        <f>VLOOKUP(A190,'imp-questions'!A:H,6,0)</f>
        <v>Do you analyze log data for security incidents periodically?</v>
      </c>
      <c r="E190" s="50" t="str">
        <f>CHAR(65+VLOOKUP(A190,'imp-questions'!A:H,8,0))</f>
        <v>F</v>
      </c>
      <c r="F190" s="108"/>
      <c r="G190" s="62">
        <f>IFERROR(VLOOKUP(F190,AnsFTBL,2,0),0)</f>
        <v>0</v>
      </c>
      <c r="H190" s="53">
        <f>IFERROR(AVERAGE(G190,G197),0)</f>
        <v>0</v>
      </c>
      <c r="I190" s="391"/>
      <c r="J190" s="403">
        <f>SUM(H190,H192,H194)</f>
        <v>0</v>
      </c>
      <c r="K190" s="400"/>
      <c r="L190" s="393"/>
      <c r="M190" s="394"/>
      <c r="N190" s="31"/>
      <c r="O190" s="31"/>
      <c r="P190" s="18"/>
      <c r="Q190" s="18"/>
      <c r="R190" s="18"/>
      <c r="S190" s="18"/>
      <c r="T190" s="18"/>
      <c r="U190" s="18"/>
      <c r="V190" s="18"/>
      <c r="W190" s="18"/>
      <c r="X190" s="18"/>
      <c r="Y190" s="18"/>
    </row>
    <row r="191" spans="1:25" ht="42">
      <c r="B191" s="390"/>
      <c r="C191" s="65"/>
      <c r="D191" s="55" t="str">
        <f>VLOOKUP(A190,'imp-questions'!A:H,7,0)</f>
        <v>You have a contact point for the creation of security incidents
You analyze data in accordance with the log data retention periods
The frequency of this analysis is aligned with the criticality of your applications</v>
      </c>
      <c r="E191" s="56"/>
      <c r="F191" s="66"/>
      <c r="G191" s="71"/>
      <c r="H191" s="59"/>
      <c r="I191" s="391"/>
      <c r="J191" s="403"/>
      <c r="K191" s="400"/>
      <c r="L191" s="393"/>
      <c r="M191" s="394"/>
      <c r="N191" s="31"/>
      <c r="O191" s="31"/>
      <c r="P191" s="18"/>
      <c r="Q191" s="18"/>
      <c r="R191" s="18"/>
      <c r="S191" s="18"/>
      <c r="T191" s="18"/>
      <c r="U191" s="18"/>
      <c r="V191" s="18"/>
      <c r="W191" s="18"/>
      <c r="X191" s="18"/>
      <c r="Y191" s="18"/>
    </row>
    <row r="192" spans="1:25">
      <c r="A192" s="96" t="s">
        <v>171</v>
      </c>
      <c r="B192" s="390"/>
      <c r="C192" s="191">
        <f>VLOOKUP(A192,'imp-questions'!A:H,5,0)</f>
        <v>2</v>
      </c>
      <c r="D192" s="49" t="str">
        <f>VLOOKUP(A192,'imp-questions'!A:H,6,0)</f>
        <v>Do you follow a documented process for incident detection?</v>
      </c>
      <c r="E192" s="50" t="str">
        <f>CHAR(65+VLOOKUP(A192,'imp-questions'!A:H,8,0))</f>
        <v>F</v>
      </c>
      <c r="F192" s="108"/>
      <c r="G192" s="62">
        <f>IFERROR(VLOOKUP(F192,AnsFTBL,2,0),0)</f>
        <v>0</v>
      </c>
      <c r="H192" s="53">
        <f>IFERROR(AVERAGE(G192,G199),0)</f>
        <v>0</v>
      </c>
      <c r="I192" s="391"/>
      <c r="J192" s="17"/>
      <c r="K192" s="400"/>
      <c r="L192" s="393"/>
      <c r="M192" s="394"/>
      <c r="N192" s="31"/>
      <c r="O192" s="31"/>
      <c r="P192" s="18"/>
      <c r="Q192" s="18"/>
      <c r="R192" s="18"/>
      <c r="S192" s="18"/>
      <c r="T192" s="18"/>
      <c r="U192" s="18"/>
      <c r="V192" s="18"/>
      <c r="W192" s="18"/>
      <c r="X192" s="18"/>
      <c r="Y192" s="18"/>
    </row>
    <row r="193" spans="1:25" ht="70">
      <c r="B193" s="390"/>
      <c r="C193" s="65"/>
      <c r="D193" s="55" t="str">
        <f>VLOOKUP(A192,'imp-questions'!A:H,7,0)</f>
        <v>The process has a dedicated owner
You store process documentation in an accessible location
The process considers an escalation path for further analysis
You train employees responsible for incident detection in this process
You have a checklist of potential attacks to simplify incident detection</v>
      </c>
      <c r="E193" s="56"/>
      <c r="F193" s="70"/>
      <c r="G193" s="71"/>
      <c r="H193" s="67"/>
      <c r="I193" s="391"/>
      <c r="J193" s="17"/>
      <c r="K193" s="400"/>
      <c r="L193" s="393"/>
      <c r="M193" s="394"/>
      <c r="N193" s="31"/>
      <c r="O193" s="31"/>
      <c r="P193" s="18"/>
      <c r="Q193" s="18"/>
      <c r="R193" s="18"/>
      <c r="S193" s="18"/>
      <c r="T193" s="18"/>
      <c r="U193" s="18"/>
      <c r="V193" s="18"/>
      <c r="W193" s="18"/>
      <c r="X193" s="18"/>
      <c r="Y193" s="18"/>
    </row>
    <row r="194" spans="1:25">
      <c r="A194" s="96" t="s">
        <v>172</v>
      </c>
      <c r="B194" s="390"/>
      <c r="C194" s="191">
        <f>VLOOKUP(A194,'imp-questions'!A:H,5,0)</f>
        <v>3</v>
      </c>
      <c r="D194" s="49" t="str">
        <f>VLOOKUP(A194,'imp-questions'!A:H,6,0)</f>
        <v>Do you review and update the incident detection process regularly?</v>
      </c>
      <c r="E194" s="50" t="str">
        <f>CHAR(65+VLOOKUP(A194,'imp-questions'!A:H,8,0))</f>
        <v>F</v>
      </c>
      <c r="F194" s="108"/>
      <c r="G194" s="62">
        <f>IFERROR(VLOOKUP(F194,AnsFTBL,2,0),0)</f>
        <v>0</v>
      </c>
      <c r="H194" s="53">
        <f>IFERROR(AVERAGE(G194,G201),0)</f>
        <v>0</v>
      </c>
      <c r="I194" s="391"/>
      <c r="J194" s="17"/>
      <c r="K194" s="400"/>
      <c r="L194" s="393"/>
      <c r="M194" s="394"/>
      <c r="N194" s="31"/>
      <c r="O194" s="31"/>
      <c r="P194" s="18"/>
      <c r="Q194" s="18"/>
      <c r="R194" s="18"/>
      <c r="S194" s="18"/>
      <c r="T194" s="18"/>
      <c r="U194" s="18"/>
      <c r="V194" s="18"/>
      <c r="W194" s="18"/>
      <c r="X194" s="18"/>
      <c r="Y194" s="18"/>
    </row>
    <row r="195" spans="1:25" ht="28">
      <c r="B195" s="390"/>
      <c r="C195" s="65"/>
      <c r="D195" s="55" t="str">
        <f>VLOOKUP(A194,'imp-questions'!A:H,7,0)</f>
        <v>You perform reviews at least annually
You update the checklist of potential attacks with external and internal data</v>
      </c>
      <c r="E195" s="56"/>
      <c r="F195" s="66"/>
      <c r="G195" s="71"/>
      <c r="H195" s="67"/>
      <c r="I195" s="391"/>
      <c r="J195" s="17"/>
      <c r="K195" s="400"/>
      <c r="L195" s="393"/>
      <c r="M195" s="394"/>
      <c r="N195" s="31"/>
      <c r="O195" s="31"/>
      <c r="P195" s="18"/>
      <c r="Q195" s="18"/>
      <c r="R195" s="18"/>
      <c r="S195" s="18"/>
      <c r="T195" s="18"/>
      <c r="U195" s="18"/>
      <c r="V195" s="18"/>
      <c r="W195" s="18"/>
      <c r="X195" s="18"/>
      <c r="Y195" s="18"/>
    </row>
    <row r="196" spans="1:25">
      <c r="B196" s="73"/>
      <c r="C196" s="74"/>
      <c r="D196" s="74"/>
      <c r="E196" s="74"/>
      <c r="F196" s="74"/>
      <c r="G196" s="74"/>
      <c r="H196" s="74"/>
      <c r="I196" s="74"/>
      <c r="J196" s="75"/>
      <c r="K196" s="74"/>
      <c r="L196" s="74"/>
      <c r="M196" s="76"/>
      <c r="N196" s="31"/>
      <c r="O196" s="31"/>
      <c r="P196" s="18"/>
      <c r="Q196" s="18"/>
      <c r="R196" s="18"/>
      <c r="S196" s="18"/>
      <c r="T196" s="18"/>
      <c r="U196" s="18"/>
      <c r="V196" s="18"/>
      <c r="W196" s="18"/>
      <c r="X196" s="18"/>
      <c r="Y196" s="18"/>
    </row>
    <row r="197" spans="1:25">
      <c r="A197" s="96" t="s">
        <v>173</v>
      </c>
      <c r="B197" s="390" t="str">
        <f>VLOOKUP(A197,'imp-questions'!A:H,4,0)</f>
        <v>Incident Response</v>
      </c>
      <c r="C197" s="191">
        <f>VLOOKUP(A197,'imp-questions'!A:H,5,0)</f>
        <v>1</v>
      </c>
      <c r="D197" s="49" t="str">
        <f>VLOOKUP(A197,'imp-questions'!A:H,6,0)</f>
        <v>Do you respond to detected incidents?</v>
      </c>
      <c r="E197" s="50" t="str">
        <f>CHAR(65+VLOOKUP(A197,'imp-questions'!A:H,8,0))</f>
        <v>R</v>
      </c>
      <c r="F197" s="51"/>
      <c r="G197" s="62">
        <f>IFERROR(VLOOKUP(F197,AnsRTBL,2,0),0)</f>
        <v>0</v>
      </c>
      <c r="H197" s="63"/>
      <c r="I197" s="391"/>
      <c r="J197" s="64"/>
      <c r="K197" s="392"/>
      <c r="L197" s="393"/>
      <c r="M197" s="394"/>
      <c r="N197" s="31"/>
      <c r="O197" s="31"/>
      <c r="P197" s="18"/>
      <c r="Q197" s="18"/>
      <c r="R197" s="18"/>
      <c r="S197" s="18"/>
      <c r="T197" s="18"/>
      <c r="U197" s="18"/>
      <c r="V197" s="18"/>
      <c r="W197" s="18"/>
      <c r="X197" s="18"/>
      <c r="Y197" s="18"/>
    </row>
    <row r="198" spans="1:25" ht="28">
      <c r="B198" s="390"/>
      <c r="C198" s="65"/>
      <c r="D198" s="55" t="str">
        <f>VLOOKUP(A197,'imp-questions'!A:H,7,0)</f>
        <v>You have a defined person or role for incident handling
You document security incidents</v>
      </c>
      <c r="E198" s="56"/>
      <c r="F198" s="66"/>
      <c r="G198" s="71"/>
      <c r="H198" s="72"/>
      <c r="I198" s="391"/>
      <c r="J198" s="64"/>
      <c r="K198" s="392"/>
      <c r="L198" s="393"/>
      <c r="M198" s="394"/>
      <c r="N198" s="31"/>
      <c r="O198" s="31"/>
      <c r="P198" s="18"/>
      <c r="Q198" s="18"/>
      <c r="R198" s="18"/>
      <c r="S198" s="18"/>
      <c r="T198" s="18"/>
      <c r="U198" s="18"/>
      <c r="V198" s="18"/>
      <c r="W198" s="18"/>
      <c r="X198" s="18"/>
      <c r="Y198" s="18"/>
    </row>
    <row r="199" spans="1:25">
      <c r="A199" s="96" t="s">
        <v>174</v>
      </c>
      <c r="B199" s="390"/>
      <c r="C199" s="191">
        <f>VLOOKUP(A199,'imp-questions'!A:H,5,0)</f>
        <v>2</v>
      </c>
      <c r="D199" s="49" t="str">
        <f>VLOOKUP(A199,'imp-questions'!A:H,6,0)</f>
        <v>Do you use a repeatable process for incident handling?</v>
      </c>
      <c r="E199" s="50" t="str">
        <f>CHAR(65+VLOOKUP(A199,'imp-questions'!A:H,8,0))</f>
        <v>Q</v>
      </c>
      <c r="F199" s="61"/>
      <c r="G199" s="62">
        <f>IFERROR(VLOOKUP(F199,AnsQTBL,2,0),0)</f>
        <v>0</v>
      </c>
      <c r="H199" s="63"/>
      <c r="I199" s="391"/>
      <c r="J199" s="64"/>
      <c r="K199" s="392"/>
      <c r="L199" s="393"/>
      <c r="M199" s="394"/>
      <c r="N199" s="31"/>
      <c r="O199" s="31"/>
      <c r="P199" s="18"/>
      <c r="Q199" s="18"/>
      <c r="R199" s="18"/>
      <c r="S199" s="18"/>
      <c r="T199" s="18"/>
      <c r="U199" s="18"/>
      <c r="V199" s="18"/>
      <c r="W199" s="18"/>
      <c r="X199" s="18"/>
      <c r="Y199" s="18"/>
    </row>
    <row r="200" spans="1:25" ht="56">
      <c r="B200" s="390"/>
      <c r="C200" s="65"/>
      <c r="D200" s="55" t="str">
        <f>VLOOKUP(A199,'imp-questions'!A:H,7,0)</f>
        <v>You have an agreed upon incident classification
The process considers Root Case Analysis for high severity incidents
Employees responsible for incident response are trained in this process
Forensic analysis tooling is available</v>
      </c>
      <c r="E200" s="56"/>
      <c r="F200" s="66"/>
      <c r="G200" s="71"/>
      <c r="H200" s="72"/>
      <c r="I200" s="391"/>
      <c r="J200" s="64"/>
      <c r="K200" s="392"/>
      <c r="L200" s="393"/>
      <c r="M200" s="394"/>
      <c r="N200" s="31"/>
      <c r="O200" s="31"/>
      <c r="P200" s="18"/>
      <c r="Q200" s="18"/>
      <c r="R200" s="18"/>
      <c r="S200" s="18"/>
      <c r="T200" s="18"/>
      <c r="U200" s="18"/>
      <c r="V200" s="18"/>
      <c r="W200" s="18"/>
      <c r="X200" s="18"/>
      <c r="Y200" s="18"/>
    </row>
    <row r="201" spans="1:25">
      <c r="A201" s="96" t="s">
        <v>175</v>
      </c>
      <c r="B201" s="390"/>
      <c r="C201" s="191">
        <f>VLOOKUP(A201,'imp-questions'!A:H,5,0)</f>
        <v>3</v>
      </c>
      <c r="D201" s="49" t="str">
        <f>VLOOKUP(A201,'imp-questions'!A:H,6,0)</f>
        <v>Do you have a dedicated incident response team available?</v>
      </c>
      <c r="E201" s="50" t="str">
        <f>CHAR(65+VLOOKUP(A201,'imp-questions'!A:H,8,0))</f>
        <v>H</v>
      </c>
      <c r="F201" s="61"/>
      <c r="G201" s="62">
        <f>IFERROR(VLOOKUP(F201,AnsHTBL,2,0),0)</f>
        <v>0</v>
      </c>
      <c r="H201" s="63"/>
      <c r="I201" s="391"/>
      <c r="J201" s="64"/>
      <c r="K201" s="392"/>
      <c r="L201" s="393"/>
      <c r="M201" s="394"/>
      <c r="N201" s="31"/>
      <c r="O201" s="31"/>
      <c r="P201" s="18"/>
      <c r="Q201" s="18"/>
      <c r="R201" s="18"/>
      <c r="S201" s="18"/>
      <c r="T201" s="18"/>
      <c r="U201" s="18"/>
      <c r="V201" s="18"/>
      <c r="W201" s="18"/>
      <c r="X201" s="18"/>
      <c r="Y201" s="18"/>
    </row>
    <row r="202" spans="1:25" ht="28">
      <c r="B202" s="390"/>
      <c r="C202" s="65"/>
      <c r="D202" s="55" t="str">
        <f>VLOOKUP(A201,'imp-questions'!A:H,7,0)</f>
        <v>The team performs Root Cause Analysis for all security incidents unless there is a specific reason not to do so
You review and update the response process at least annually</v>
      </c>
      <c r="E202" s="56"/>
      <c r="F202" s="66"/>
      <c r="G202" s="71"/>
      <c r="H202" s="72"/>
      <c r="I202" s="391"/>
      <c r="J202" s="64"/>
      <c r="K202" s="392"/>
      <c r="L202" s="393"/>
      <c r="M202" s="394"/>
      <c r="N202" s="31"/>
      <c r="O202" s="31"/>
      <c r="P202" s="18"/>
      <c r="Q202" s="18"/>
      <c r="R202" s="18"/>
      <c r="S202" s="18"/>
      <c r="T202" s="18"/>
      <c r="U202" s="18"/>
      <c r="V202" s="18"/>
      <c r="W202" s="18"/>
      <c r="X202" s="18"/>
      <c r="Y202" s="18"/>
    </row>
    <row r="203" spans="1:25" ht="12.75" customHeight="1">
      <c r="B203" s="402" t="s">
        <v>176</v>
      </c>
      <c r="C203" s="402"/>
      <c r="D203" s="402"/>
      <c r="E203" s="183"/>
      <c r="F203" s="182" t="s">
        <v>52</v>
      </c>
      <c r="G203" s="182"/>
      <c r="H203" s="184"/>
      <c r="I203" s="192" t="s">
        <v>53</v>
      </c>
      <c r="J203" s="193" t="s">
        <v>54</v>
      </c>
      <c r="K203" s="187"/>
      <c r="L203" s="188"/>
      <c r="M203" s="189"/>
      <c r="N203" s="31"/>
      <c r="O203" s="31"/>
      <c r="P203" s="18"/>
      <c r="Q203" s="18"/>
      <c r="R203" s="18"/>
      <c r="S203" s="18"/>
      <c r="T203" s="18"/>
      <c r="U203" s="18"/>
      <c r="V203" s="18"/>
      <c r="W203" s="18"/>
      <c r="X203" s="18"/>
      <c r="Y203" s="18"/>
    </row>
    <row r="204" spans="1:25" ht="30" customHeight="1">
      <c r="A204" s="96" t="s">
        <v>177</v>
      </c>
      <c r="B204" s="390" t="str">
        <f>VLOOKUP(A204,'imp-questions'!A:H,4,0)</f>
        <v>Configuration Hardening</v>
      </c>
      <c r="C204" s="191">
        <f>VLOOKUP(A204,'imp-questions'!A:H,5,0)</f>
        <v>1</v>
      </c>
      <c r="D204" s="49" t="str">
        <f>VLOOKUP(A204,'imp-questions'!A:H,6,0)</f>
        <v>Do you harden configurations for key components of your technology stacks?</v>
      </c>
      <c r="E204" s="50" t="str">
        <f>CHAR(65+VLOOKUP(A204,'imp-questions'!A:H,8,0))</f>
        <v>M</v>
      </c>
      <c r="F204" s="108" t="s">
        <v>178</v>
      </c>
      <c r="G204" s="62">
        <f>IFERROR(VLOOKUP(F204,AnsMTBL,2,0),0)</f>
        <v>0.5</v>
      </c>
      <c r="H204" s="53">
        <f>IFERROR(AVERAGE(G204,G211),0)</f>
        <v>0.25</v>
      </c>
      <c r="I204" s="391"/>
      <c r="J204" s="403">
        <f>SUM(H204,H206,H208)</f>
        <v>0.375</v>
      </c>
      <c r="K204" s="400"/>
      <c r="L204" s="393"/>
      <c r="M204" s="394"/>
      <c r="N204" s="31"/>
      <c r="O204" s="31"/>
      <c r="P204" s="18"/>
      <c r="Q204" s="18"/>
      <c r="R204" s="18"/>
      <c r="S204" s="18"/>
      <c r="T204" s="18"/>
      <c r="U204" s="18"/>
      <c r="V204" s="18"/>
      <c r="W204" s="18"/>
      <c r="X204" s="18"/>
      <c r="Y204" s="18"/>
    </row>
    <row r="205" spans="1:25" ht="28">
      <c r="B205" s="390"/>
      <c r="C205" s="65"/>
      <c r="D205" s="55" t="str">
        <f>VLOOKUP(A204,'imp-questions'!A:H,7,0)</f>
        <v>You have identified the key components in each technology stack used
You have an established configuration standard for each key component</v>
      </c>
      <c r="E205" s="56"/>
      <c r="F205" s="66"/>
      <c r="G205" s="71"/>
      <c r="H205" s="59"/>
      <c r="I205" s="391"/>
      <c r="J205" s="403"/>
      <c r="K205" s="400"/>
      <c r="L205" s="393"/>
      <c r="M205" s="394"/>
      <c r="N205" s="31"/>
      <c r="O205" s="31"/>
      <c r="P205" s="18"/>
      <c r="Q205" s="18"/>
      <c r="R205" s="18"/>
      <c r="S205" s="18"/>
      <c r="T205" s="18"/>
      <c r="U205" s="18"/>
      <c r="V205" s="18"/>
      <c r="W205" s="18"/>
      <c r="X205" s="18"/>
      <c r="Y205" s="18"/>
    </row>
    <row r="206" spans="1:25">
      <c r="A206" s="96" t="s">
        <v>179</v>
      </c>
      <c r="B206" s="390"/>
      <c r="C206" s="191">
        <f>VLOOKUP(A206,'imp-questions'!A:H,5,0)</f>
        <v>2</v>
      </c>
      <c r="D206" s="49" t="str">
        <f>VLOOKUP(A206,'imp-questions'!A:H,6,0)</f>
        <v>Do you have hardening baselines for your components?</v>
      </c>
      <c r="E206" s="50" t="str">
        <f>CHAR(65+VLOOKUP(A206,'imp-questions'!A:H,8,0))</f>
        <v>M</v>
      </c>
      <c r="F206" s="61" t="s">
        <v>180</v>
      </c>
      <c r="G206" s="62">
        <f>IFERROR(VLOOKUP(F206,AnsMTBL,2,0),0)</f>
        <v>0.25</v>
      </c>
      <c r="H206" s="53">
        <f>IFERROR(AVERAGE(G206,G213),0)</f>
        <v>0.125</v>
      </c>
      <c r="I206" s="391"/>
      <c r="J206" s="17"/>
      <c r="K206" s="400"/>
      <c r="L206" s="393"/>
      <c r="M206" s="394"/>
      <c r="N206" s="31"/>
      <c r="O206" s="31"/>
      <c r="P206" s="18"/>
      <c r="Q206" s="18"/>
      <c r="R206" s="18"/>
      <c r="S206" s="18"/>
      <c r="T206" s="18"/>
      <c r="U206" s="18"/>
      <c r="V206" s="18"/>
      <c r="W206" s="18"/>
      <c r="X206" s="18"/>
      <c r="Y206" s="18"/>
    </row>
    <row r="207" spans="1:25" ht="56">
      <c r="B207" s="390"/>
      <c r="C207" s="65"/>
      <c r="D207" s="55" t="str">
        <f>VLOOKUP(A206,'imp-questions'!A:H,7,0)</f>
        <v>You have assigned an owner for each baseline
The owner keeps their assigned baselines up to date
You store baselines in an accessible location
You train employees responsible for configurations in these baselines</v>
      </c>
      <c r="E207" s="56"/>
      <c r="F207" s="66"/>
      <c r="G207" s="71"/>
      <c r="H207" s="67"/>
      <c r="I207" s="391"/>
      <c r="J207" s="17"/>
      <c r="K207" s="400"/>
      <c r="L207" s="393"/>
      <c r="M207" s="394"/>
      <c r="N207" s="31"/>
      <c r="O207" s="31"/>
      <c r="P207" s="18"/>
      <c r="Q207" s="18"/>
      <c r="R207" s="18"/>
      <c r="S207" s="18"/>
      <c r="T207" s="18"/>
      <c r="U207" s="18"/>
      <c r="V207" s="18"/>
      <c r="W207" s="18"/>
      <c r="X207" s="18"/>
      <c r="Y207" s="18"/>
    </row>
    <row r="208" spans="1:25">
      <c r="A208" s="96" t="s">
        <v>181</v>
      </c>
      <c r="B208" s="390"/>
      <c r="C208" s="191">
        <f>VLOOKUP(A208,'imp-questions'!A:H,5,0)</f>
        <v>3</v>
      </c>
      <c r="D208" s="49" t="str">
        <f>VLOOKUP(A208,'imp-questions'!A:H,6,0)</f>
        <v>Do you monitor and enforce conformity with hardening baselines?</v>
      </c>
      <c r="E208" s="50" t="str">
        <f>CHAR(65+VLOOKUP(A208,'imp-questions'!A:H,8,0))</f>
        <v>M</v>
      </c>
      <c r="F208" s="61"/>
      <c r="G208" s="62">
        <f>IFERROR(VLOOKUP(F208,AnsMTBL,2,0),0)</f>
        <v>0</v>
      </c>
      <c r="H208" s="53">
        <f>IFERROR(AVERAGE(G208,G215),0)</f>
        <v>0</v>
      </c>
      <c r="I208" s="391"/>
      <c r="J208" s="17"/>
      <c r="K208" s="400"/>
      <c r="L208" s="393"/>
      <c r="M208" s="394"/>
      <c r="N208" s="31"/>
      <c r="O208" s="31"/>
      <c r="P208" s="18"/>
      <c r="Q208" s="18"/>
      <c r="R208" s="18"/>
      <c r="S208" s="18"/>
      <c r="T208" s="18"/>
      <c r="U208" s="18"/>
      <c r="V208" s="18"/>
      <c r="W208" s="18"/>
      <c r="X208" s="18"/>
      <c r="Y208" s="18"/>
    </row>
    <row r="209" spans="1:25" ht="56">
      <c r="B209" s="390"/>
      <c r="C209" s="65"/>
      <c r="D209" s="55" t="str">
        <f>VLOOKUP(A208,'imp-questions'!A:H,7,0)</f>
        <v>You perform conformity checks regularly, preferably using automation
You store conformity check results in an accessible location
You follow an established process to address reported non-conformities
You review each baseline at least annually, and update it when required</v>
      </c>
      <c r="E209" s="56"/>
      <c r="F209" s="66"/>
      <c r="G209" s="71"/>
      <c r="H209" s="67"/>
      <c r="I209" s="391"/>
      <c r="J209" s="17"/>
      <c r="K209" s="400"/>
      <c r="L209" s="393"/>
      <c r="M209" s="394"/>
      <c r="N209" s="31"/>
      <c r="O209" s="31"/>
      <c r="P209" s="18"/>
      <c r="Q209" s="18"/>
      <c r="R209" s="18"/>
      <c r="S209" s="18"/>
      <c r="T209" s="18"/>
      <c r="U209" s="18"/>
      <c r="V209" s="18"/>
      <c r="W209" s="18"/>
      <c r="X209" s="18"/>
      <c r="Y209" s="18"/>
    </row>
    <row r="210" spans="1:25">
      <c r="B210" s="73"/>
      <c r="C210" s="74"/>
      <c r="D210" s="74"/>
      <c r="E210" s="74"/>
      <c r="F210" s="74"/>
      <c r="G210" s="74"/>
      <c r="H210" s="74"/>
      <c r="I210" s="74"/>
      <c r="J210" s="75"/>
      <c r="K210" s="74"/>
      <c r="L210" s="74"/>
      <c r="M210" s="76"/>
      <c r="N210" s="31"/>
      <c r="O210" s="31"/>
      <c r="P210" s="18"/>
      <c r="Q210" s="18"/>
      <c r="R210" s="18"/>
      <c r="S210" s="18"/>
      <c r="T210" s="18"/>
      <c r="U210" s="18"/>
      <c r="V210" s="18"/>
      <c r="W210" s="18"/>
      <c r="X210" s="18"/>
      <c r="Y210" s="18"/>
    </row>
    <row r="211" spans="1:25">
      <c r="A211" s="96" t="s">
        <v>182</v>
      </c>
      <c r="B211" s="401" t="str">
        <f>VLOOKUP(A211,'imp-questions'!A:H,4,0)</f>
        <v>Patching and Updating</v>
      </c>
      <c r="C211" s="191">
        <f>VLOOKUP(A211,'imp-questions'!A:H,5,0)</f>
        <v>1</v>
      </c>
      <c r="D211" s="49" t="str">
        <f>VLOOKUP(A211,'imp-questions'!A:H,6,0)</f>
        <v>Do you identify and patch vulnerable components?</v>
      </c>
      <c r="E211" s="50" t="str">
        <f>CHAR(65+VLOOKUP(A211,'imp-questions'!A:H,8,0))</f>
        <v>M</v>
      </c>
      <c r="F211" s="51"/>
      <c r="G211" s="62">
        <f>IFERROR(VLOOKUP(F211,AnsMTBL,2,0),0)</f>
        <v>0</v>
      </c>
      <c r="H211" s="63"/>
      <c r="I211" s="391"/>
      <c r="J211" s="64"/>
      <c r="K211" s="392"/>
      <c r="L211" s="393"/>
      <c r="M211" s="394"/>
      <c r="N211" s="31"/>
      <c r="O211" s="31"/>
      <c r="P211" s="18"/>
      <c r="Q211" s="18"/>
      <c r="R211" s="18"/>
      <c r="S211" s="18"/>
      <c r="T211" s="18"/>
      <c r="U211" s="18"/>
      <c r="V211" s="18"/>
      <c r="W211" s="18"/>
      <c r="X211" s="18"/>
      <c r="Y211" s="18"/>
    </row>
    <row r="212" spans="1:25" ht="28">
      <c r="B212" s="401"/>
      <c r="C212" s="65"/>
      <c r="D212" s="55" t="str">
        <f>VLOOKUP(A211,'imp-questions'!A:H,7,0)</f>
        <v>You have an up-to-date list of components, including version information
You regularly review public sources for vulnerabilities related to your components</v>
      </c>
      <c r="E212" s="56"/>
      <c r="F212" s="66"/>
      <c r="G212" s="71"/>
      <c r="H212" s="72"/>
      <c r="I212" s="391"/>
      <c r="J212" s="64"/>
      <c r="K212" s="392"/>
      <c r="L212" s="393"/>
      <c r="M212" s="394"/>
      <c r="N212" s="31"/>
      <c r="O212" s="31"/>
      <c r="P212" s="18"/>
      <c r="Q212" s="18"/>
      <c r="R212" s="18"/>
      <c r="S212" s="18"/>
      <c r="T212" s="18"/>
      <c r="U212" s="18"/>
      <c r="V212" s="18"/>
      <c r="W212" s="18"/>
      <c r="X212" s="18"/>
      <c r="Y212" s="18"/>
    </row>
    <row r="213" spans="1:25">
      <c r="A213" s="96" t="s">
        <v>183</v>
      </c>
      <c r="B213" s="401"/>
      <c r="C213" s="191">
        <f>VLOOKUP(A213,'imp-questions'!A:H,5,0)</f>
        <v>2</v>
      </c>
      <c r="D213" s="49" t="str">
        <f>VLOOKUP(A213,'imp-questions'!A:H,6,0)</f>
        <v>Do you follow an established process for updating components of your technology stacks?</v>
      </c>
      <c r="E213" s="50" t="str">
        <f>CHAR(65+VLOOKUP(A213,'imp-questions'!A:H,8,0))</f>
        <v>M</v>
      </c>
      <c r="F213" s="61"/>
      <c r="G213" s="62">
        <f>IFERROR(VLOOKUP(F213,AnsMTBL,2,0),0)</f>
        <v>0</v>
      </c>
      <c r="H213" s="63"/>
      <c r="I213" s="391"/>
      <c r="J213" s="64"/>
      <c r="K213" s="392"/>
      <c r="L213" s="393"/>
      <c r="M213" s="394"/>
      <c r="N213" s="31"/>
      <c r="O213" s="31"/>
      <c r="P213" s="18"/>
      <c r="Q213" s="18"/>
      <c r="R213" s="18"/>
      <c r="S213" s="18"/>
      <c r="T213" s="18"/>
      <c r="U213" s="18"/>
      <c r="V213" s="18"/>
      <c r="W213" s="18"/>
      <c r="X213" s="18"/>
      <c r="Y213" s="18"/>
    </row>
    <row r="214" spans="1:25" ht="42">
      <c r="B214" s="401"/>
      <c r="C214" s="65"/>
      <c r="D214" s="55" t="str">
        <f>VLOOKUP(A213,'imp-questions'!A:H,7,0)</f>
        <v>The process includes vendor information for third-party patches
The process considers external sources to gather information about zero day attacks, and includes appropriate risk mitigation steps
The process includes guidance for prioritizing component updates</v>
      </c>
      <c r="E214" s="56"/>
      <c r="F214" s="66"/>
      <c r="G214" s="58"/>
      <c r="H214" s="67"/>
      <c r="I214" s="391"/>
      <c r="J214" s="64"/>
      <c r="K214" s="392"/>
      <c r="L214" s="393"/>
      <c r="M214" s="394"/>
      <c r="N214" s="31"/>
      <c r="O214" s="31"/>
      <c r="P214" s="18"/>
      <c r="Q214" s="18"/>
      <c r="R214" s="18"/>
      <c r="S214" s="18"/>
      <c r="T214" s="18"/>
      <c r="U214" s="18"/>
      <c r="V214" s="18"/>
      <c r="W214" s="18"/>
      <c r="X214" s="18"/>
      <c r="Y214" s="18"/>
    </row>
    <row r="215" spans="1:25">
      <c r="A215" s="96" t="s">
        <v>184</v>
      </c>
      <c r="B215" s="401"/>
      <c r="C215" s="191">
        <f>VLOOKUP(A215,'imp-questions'!A:H,5,0)</f>
        <v>3</v>
      </c>
      <c r="D215" s="49" t="str">
        <f>VLOOKUP(A215,'imp-questions'!A:H,6,0)</f>
        <v>Do you regularly evaluate components and review patch level status?</v>
      </c>
      <c r="E215" s="50" t="str">
        <f>CHAR(65+VLOOKUP(A215,'imp-questions'!A:H,8,0))</f>
        <v>M</v>
      </c>
      <c r="F215" s="61"/>
      <c r="G215" s="62">
        <f>IFERROR(VLOOKUP(F215,AnsMTBL,2,0),0)</f>
        <v>0</v>
      </c>
      <c r="H215" s="63"/>
      <c r="I215" s="391"/>
      <c r="J215" s="64"/>
      <c r="K215" s="392"/>
      <c r="L215" s="393"/>
      <c r="M215" s="394"/>
      <c r="N215" s="31"/>
      <c r="O215" s="31"/>
      <c r="P215" s="18"/>
      <c r="Q215" s="18"/>
      <c r="R215" s="18"/>
      <c r="S215" s="18"/>
      <c r="T215" s="18"/>
      <c r="U215" s="18"/>
      <c r="V215" s="18"/>
      <c r="W215" s="18"/>
      <c r="X215" s="18"/>
      <c r="Y215" s="18"/>
    </row>
    <row r="216" spans="1:25" ht="42">
      <c r="B216" s="401"/>
      <c r="C216" s="54"/>
      <c r="D216" s="68" t="str">
        <f>VLOOKUP(A215,'imp-questions'!A:H,7,0)</f>
        <v>You update the list with components and versions
You identify and update missing updates according to existing SLA
You review and update the process based on feedback from the people who perform patching</v>
      </c>
      <c r="E216" s="69"/>
      <c r="F216" s="70"/>
      <c r="G216" s="71"/>
      <c r="H216" s="72"/>
      <c r="I216" s="391"/>
      <c r="J216" s="64"/>
      <c r="K216" s="392"/>
      <c r="L216" s="393"/>
      <c r="M216" s="394"/>
      <c r="N216" s="31"/>
      <c r="O216" s="31"/>
      <c r="P216" s="18"/>
      <c r="Q216" s="18"/>
      <c r="R216" s="18"/>
      <c r="S216" s="18"/>
      <c r="T216" s="18"/>
      <c r="U216" s="18"/>
      <c r="V216" s="18"/>
      <c r="W216" s="18"/>
      <c r="X216" s="18"/>
      <c r="Y216" s="18"/>
    </row>
    <row r="217" spans="1:25" ht="12.75" customHeight="1">
      <c r="B217" s="396" t="s">
        <v>185</v>
      </c>
      <c r="C217" s="396"/>
      <c r="D217" s="396"/>
      <c r="E217" s="194"/>
      <c r="F217" s="195" t="s">
        <v>52</v>
      </c>
      <c r="G217" s="195"/>
      <c r="H217" s="196"/>
      <c r="I217" s="197" t="s">
        <v>53</v>
      </c>
      <c r="J217" s="198" t="s">
        <v>54</v>
      </c>
      <c r="K217" s="199"/>
      <c r="L217" s="200"/>
      <c r="M217" s="201"/>
      <c r="N217" s="31"/>
      <c r="O217" s="31"/>
      <c r="P217" s="18"/>
      <c r="Q217" s="18"/>
      <c r="R217" s="18"/>
      <c r="S217" s="18"/>
      <c r="T217" s="18"/>
      <c r="U217" s="18"/>
      <c r="V217" s="18"/>
      <c r="W217" s="18"/>
      <c r="X217" s="18"/>
      <c r="Y217" s="18"/>
    </row>
    <row r="218" spans="1:25" ht="28">
      <c r="A218" s="96" t="s">
        <v>186</v>
      </c>
      <c r="B218" s="397" t="str">
        <f>VLOOKUP(A218,'imp-questions'!A:H,4,0)</f>
        <v>Data Protection</v>
      </c>
      <c r="C218" s="202">
        <f>VLOOKUP(A218,'imp-questions'!A:H,5,0)</f>
        <v>1</v>
      </c>
      <c r="D218" s="78" t="str">
        <f>VLOOKUP(A218,'imp-questions'!A:H,6,0)</f>
        <v>Do you protect and handle information according to protection requirements for data stored and processed on each application?</v>
      </c>
      <c r="E218" s="60" t="str">
        <f>CHAR(65+VLOOKUP(A218,'imp-questions'!A:H,8,0))</f>
        <v>F</v>
      </c>
      <c r="F218" s="121"/>
      <c r="G218" s="62">
        <f>IFERROR(VLOOKUP(F218,AnsFTBL,2,0),0)</f>
        <v>0</v>
      </c>
      <c r="H218" s="79">
        <f>IFERROR(AVERAGE(G218,G225),0)</f>
        <v>0</v>
      </c>
      <c r="I218" s="391"/>
      <c r="J218" s="398">
        <f>SUM(H218,H220,H222)</f>
        <v>0</v>
      </c>
      <c r="K218" s="399"/>
      <c r="L218" s="393"/>
      <c r="M218" s="394"/>
      <c r="N218" s="31"/>
      <c r="O218" s="31"/>
      <c r="P218" s="18"/>
      <c r="Q218" s="18"/>
      <c r="R218" s="18"/>
      <c r="S218" s="18"/>
      <c r="T218" s="18"/>
      <c r="U218" s="18"/>
      <c r="V218" s="18"/>
      <c r="W218" s="18"/>
      <c r="X218" s="18"/>
      <c r="Y218" s="18"/>
    </row>
    <row r="219" spans="1:25" ht="42">
      <c r="B219" s="397"/>
      <c r="C219" s="65"/>
      <c r="D219" s="55" t="str">
        <f>VLOOKUP(A218,'imp-questions'!A:H,7,0)</f>
        <v>You know the data elements processed and stored by each application
You know the type and sensitivity level of each identified data element
You have controls to prevent propagation of unsanitized sensitive data from production to lower environments</v>
      </c>
      <c r="E219" s="56"/>
      <c r="F219" s="66"/>
      <c r="G219" s="58"/>
      <c r="H219" s="59"/>
      <c r="I219" s="391"/>
      <c r="J219" s="398"/>
      <c r="K219" s="399"/>
      <c r="L219" s="393"/>
      <c r="M219" s="394"/>
      <c r="N219" s="31"/>
      <c r="O219" s="31"/>
      <c r="P219" s="18"/>
      <c r="Q219" s="18"/>
      <c r="R219" s="18"/>
      <c r="S219" s="18"/>
      <c r="T219" s="18"/>
      <c r="U219" s="18"/>
      <c r="V219" s="18"/>
      <c r="W219" s="18"/>
      <c r="X219" s="18"/>
      <c r="Y219" s="18"/>
    </row>
    <row r="220" spans="1:25">
      <c r="A220" s="96" t="s">
        <v>187</v>
      </c>
      <c r="B220" s="397"/>
      <c r="C220" s="191">
        <f>VLOOKUP(A220,'imp-questions'!A:H,5,0)</f>
        <v>2</v>
      </c>
      <c r="D220" s="49" t="str">
        <f>VLOOKUP(A220,'imp-questions'!A:H,6,0)</f>
        <v>Do you maintain a data catalog, including types, sensitivity levels, and processing and storage locations?</v>
      </c>
      <c r="E220" s="50" t="str">
        <f>CHAR(65+VLOOKUP(A220,'imp-questions'!A:H,8,0))</f>
        <v>O</v>
      </c>
      <c r="F220" s="61"/>
      <c r="G220" s="62">
        <f>IFERROR(VLOOKUP(F220,AnsOTBL,2,0),0)</f>
        <v>0</v>
      </c>
      <c r="H220" s="53">
        <f>IFERROR(AVERAGE(G220,G227),0)</f>
        <v>0</v>
      </c>
      <c r="I220" s="391"/>
      <c r="J220" s="17"/>
      <c r="K220" s="400"/>
      <c r="L220" s="393"/>
      <c r="M220" s="394"/>
      <c r="N220" s="31"/>
      <c r="O220" s="31"/>
      <c r="P220" s="18"/>
      <c r="Q220" s="18"/>
      <c r="R220" s="18"/>
      <c r="S220" s="18"/>
      <c r="T220" s="18"/>
      <c r="U220" s="18"/>
      <c r="V220" s="18"/>
      <c r="W220" s="18"/>
      <c r="X220" s="18"/>
      <c r="Y220" s="18"/>
    </row>
    <row r="221" spans="1:25" ht="56">
      <c r="B221" s="397"/>
      <c r="C221" s="65"/>
      <c r="D221" s="55" t="str">
        <f>VLOOKUP(A220,'imp-questions'!A:H,7,0)</f>
        <v>The data catalog is stored in an accessible location
You know which data elements are subject to specific regulation
You have controls for protecting and preserving data throughout its lifetime
You have retention requirements for data, and you destroy backups in a timely manner after the relevant retention period ends</v>
      </c>
      <c r="E221" s="56"/>
      <c r="F221" s="66"/>
      <c r="G221" s="58"/>
      <c r="H221" s="67"/>
      <c r="I221" s="391"/>
      <c r="J221" s="17"/>
      <c r="K221" s="400"/>
      <c r="L221" s="393"/>
      <c r="M221" s="394"/>
      <c r="N221" s="31"/>
      <c r="O221" s="31"/>
      <c r="P221" s="18"/>
      <c r="Q221" s="18"/>
      <c r="R221" s="18"/>
      <c r="S221" s="18"/>
      <c r="T221" s="18"/>
      <c r="U221" s="18"/>
      <c r="V221" s="18"/>
      <c r="W221" s="18"/>
      <c r="X221" s="18"/>
      <c r="Y221" s="18"/>
    </row>
    <row r="222" spans="1:25">
      <c r="A222" s="96" t="s">
        <v>188</v>
      </c>
      <c r="B222" s="397"/>
      <c r="C222" s="191">
        <f>VLOOKUP(A222,'imp-questions'!A:H,5,0)</f>
        <v>3</v>
      </c>
      <c r="D222" s="49" t="str">
        <f>VLOOKUP(A222,'imp-questions'!A:H,6,0)</f>
        <v>Do you regularly review and update the data catalog and your data protection policies and procedures?</v>
      </c>
      <c r="E222" s="50" t="str">
        <f>CHAR(65+VLOOKUP(A222,'imp-questions'!A:H,8,0))</f>
        <v>P</v>
      </c>
      <c r="F222" s="61"/>
      <c r="G222" s="62">
        <f>IFERROR(VLOOKUP(F222,AnsPTBL,2,0),0)</f>
        <v>0</v>
      </c>
      <c r="H222" s="53">
        <f>IFERROR(AVERAGE(G222,G229),0)</f>
        <v>0</v>
      </c>
      <c r="I222" s="391"/>
      <c r="J222" s="17"/>
      <c r="K222" s="400"/>
      <c r="L222" s="393"/>
      <c r="M222" s="394"/>
      <c r="N222" s="31"/>
      <c r="O222" s="31"/>
      <c r="P222" s="18"/>
      <c r="Q222" s="18"/>
      <c r="R222" s="18"/>
      <c r="S222" s="18"/>
      <c r="T222" s="18"/>
      <c r="U222" s="18"/>
      <c r="V222" s="18"/>
      <c r="W222" s="18"/>
      <c r="X222" s="18"/>
      <c r="Y222" s="18"/>
    </row>
    <row r="223" spans="1:25" ht="42">
      <c r="B223" s="397"/>
      <c r="C223" s="65"/>
      <c r="D223" s="55" t="str">
        <f>VLOOKUP(A222,'imp-questions'!A:H,7,0)</f>
        <v>You have automated monitoring to detect attempted or actual violations of the Data Protection Policy
You have tools for data loss prevention, access control and tracking, or anomalous behavior detection
You periodically audit the operation of automated mechanisms, including backups and record deletions</v>
      </c>
      <c r="E223" s="56"/>
      <c r="F223" s="66"/>
      <c r="G223" s="58"/>
      <c r="H223" s="67"/>
      <c r="I223" s="391"/>
      <c r="J223" s="17"/>
      <c r="K223" s="400"/>
      <c r="L223" s="393"/>
      <c r="M223" s="394"/>
      <c r="N223" s="31"/>
      <c r="O223" s="31"/>
      <c r="P223" s="18"/>
      <c r="Q223" s="18"/>
      <c r="R223" s="18"/>
      <c r="S223" s="18"/>
      <c r="T223" s="18"/>
      <c r="U223" s="18"/>
      <c r="V223" s="18"/>
      <c r="W223" s="18"/>
      <c r="X223" s="18"/>
      <c r="Y223" s="18"/>
    </row>
    <row r="224" spans="1:25">
      <c r="B224" s="73"/>
      <c r="C224" s="74"/>
      <c r="D224" s="74"/>
      <c r="E224" s="74"/>
      <c r="F224" s="74"/>
      <c r="G224" s="74"/>
      <c r="H224" s="74"/>
      <c r="I224" s="74"/>
      <c r="J224" s="75"/>
      <c r="K224" s="74"/>
      <c r="L224" s="74"/>
      <c r="M224" s="76"/>
      <c r="N224" s="31"/>
      <c r="O224" s="31"/>
      <c r="P224" s="18"/>
      <c r="Q224" s="18"/>
      <c r="R224" s="18"/>
      <c r="S224" s="18"/>
      <c r="T224" s="18"/>
      <c r="U224" s="18"/>
      <c r="V224" s="18"/>
      <c r="W224" s="18"/>
      <c r="X224" s="18"/>
      <c r="Y224" s="18"/>
    </row>
    <row r="225" spans="1:25" ht="28">
      <c r="A225" s="96" t="s">
        <v>189</v>
      </c>
      <c r="B225" s="390" t="str">
        <f>VLOOKUP(A225,'imp-questions'!A:H,4,0)</f>
        <v>System Decomissioning / Legacy Management</v>
      </c>
      <c r="C225" s="191">
        <f>VLOOKUP(A225,'imp-questions'!A:H,5,0)</f>
        <v>1</v>
      </c>
      <c r="D225" s="49" t="str">
        <f>VLOOKUP(A225,'imp-questions'!A:H,6,0)</f>
        <v>Do you identify and remove systems, applications, application dependencies, or services that are no longer used, have reached end of life, or are no longer actively developed or supported?</v>
      </c>
      <c r="E225" s="50" t="str">
        <f>CHAR(65+VLOOKUP(A225,'imp-questions'!A:H,8,0))</f>
        <v>F</v>
      </c>
      <c r="F225" s="108"/>
      <c r="G225" s="62">
        <f>IFERROR(VLOOKUP(F225,AnsFTBL,2,0),0)</f>
        <v>0</v>
      </c>
      <c r="H225" s="63"/>
      <c r="I225" s="391"/>
      <c r="J225" s="64"/>
      <c r="K225" s="392"/>
      <c r="L225" s="393"/>
      <c r="M225" s="394"/>
      <c r="N225" s="31"/>
      <c r="O225" s="31"/>
      <c r="P225" s="18"/>
      <c r="Q225" s="18"/>
      <c r="R225" s="18"/>
      <c r="S225" s="18"/>
      <c r="T225" s="18"/>
      <c r="U225" s="18"/>
      <c r="V225" s="18"/>
      <c r="W225" s="18"/>
      <c r="X225" s="18"/>
      <c r="Y225" s="18"/>
    </row>
    <row r="226" spans="1:25" ht="28">
      <c r="B226" s="390"/>
      <c r="C226" s="65"/>
      <c r="D226" s="55" t="str">
        <f>VLOOKUP(A225,'imp-questions'!A:H,7,0)</f>
        <v>You do not use unsupported applications or dependencies
You manage customer/user migration from older versions for each product and customer/user group</v>
      </c>
      <c r="E226" s="56"/>
      <c r="F226" s="66"/>
      <c r="G226" s="58"/>
      <c r="H226" s="67"/>
      <c r="I226" s="391"/>
      <c r="J226" s="64"/>
      <c r="K226" s="392"/>
      <c r="L226" s="393"/>
      <c r="M226" s="394"/>
      <c r="N226" s="31"/>
      <c r="O226" s="31"/>
      <c r="P226" s="18"/>
      <c r="Q226" s="18"/>
      <c r="R226" s="18"/>
      <c r="S226" s="18"/>
      <c r="T226" s="18"/>
      <c r="U226" s="18"/>
      <c r="V226" s="18"/>
      <c r="W226" s="18"/>
      <c r="X226" s="18"/>
      <c r="Y226" s="18"/>
    </row>
    <row r="227" spans="1:25" ht="28">
      <c r="A227" s="96" t="s">
        <v>190</v>
      </c>
      <c r="B227" s="390"/>
      <c r="C227" s="191">
        <f>VLOOKUP(A227,'imp-questions'!A:H,5,0)</f>
        <v>2</v>
      </c>
      <c r="D227" s="49" t="str">
        <f>VLOOKUP(A227,'imp-questions'!A:H,6,0)</f>
        <v>Do you follow an established process for removing all associated resources, as part of decommissioning of unused systems, applications, application dependencies, or services?</v>
      </c>
      <c r="E227" s="50" t="str">
        <f>CHAR(65+VLOOKUP(A227,'imp-questions'!A:H,8,0))</f>
        <v>H</v>
      </c>
      <c r="F227" s="61"/>
      <c r="G227" s="62">
        <f>IFERROR(VLOOKUP(F227,AnsHTBL,2,0),0)</f>
        <v>0</v>
      </c>
      <c r="H227" s="63"/>
      <c r="I227" s="391"/>
      <c r="J227" s="64"/>
      <c r="K227" s="392"/>
      <c r="L227" s="393"/>
      <c r="M227" s="394"/>
      <c r="N227" s="31"/>
      <c r="O227" s="31"/>
      <c r="P227" s="18"/>
      <c r="Q227" s="18"/>
      <c r="R227" s="18"/>
      <c r="S227" s="18"/>
      <c r="T227" s="18"/>
      <c r="U227" s="18"/>
      <c r="V227" s="18"/>
      <c r="W227" s="18"/>
      <c r="X227" s="18"/>
      <c r="Y227" s="18"/>
    </row>
    <row r="228" spans="1:25" ht="42">
      <c r="B228" s="390"/>
      <c r="C228" s="65"/>
      <c r="D228" s="55" t="str">
        <f>VLOOKUP(A227,'imp-questions'!A:H,7,0)</f>
        <v>You document the status of support for all released versions of your products, in an accessible location
The process includes replacement or upgrade of third-party applications, or application dependencies, that have reached end of life
Operating environments do not contain orphaned accounts, firewall rules, or other configuration artifacts</v>
      </c>
      <c r="E228" s="56"/>
      <c r="F228" s="66"/>
      <c r="G228" s="58"/>
      <c r="H228" s="67"/>
      <c r="I228" s="391"/>
      <c r="J228" s="64"/>
      <c r="K228" s="392"/>
      <c r="L228" s="393"/>
      <c r="M228" s="394"/>
      <c r="N228" s="31"/>
      <c r="O228" s="31"/>
      <c r="P228" s="18"/>
      <c r="Q228" s="18"/>
      <c r="R228" s="18"/>
      <c r="S228" s="18"/>
      <c r="T228" s="18"/>
      <c r="U228" s="18"/>
      <c r="V228" s="18"/>
      <c r="W228" s="18"/>
      <c r="X228" s="18"/>
      <c r="Y228" s="18"/>
    </row>
    <row r="229" spans="1:25" ht="28">
      <c r="A229" s="96" t="s">
        <v>191</v>
      </c>
      <c r="B229" s="390"/>
      <c r="C229" s="191">
        <f>VLOOKUP(A229,'imp-questions'!A:H,5,0)</f>
        <v>3</v>
      </c>
      <c r="D229" s="49" t="str">
        <f>VLOOKUP(A229,'imp-questions'!A:H,6,0)</f>
        <v>Do you regularly evaluate the lifecycle state and support status of every software asset and underlying infrastructure component, and estimate their end of life?</v>
      </c>
      <c r="E229" s="50" t="str">
        <f>CHAR(65+VLOOKUP(A229,'imp-questions'!A:H,8,0))</f>
        <v>S</v>
      </c>
      <c r="F229" s="61"/>
      <c r="G229" s="62">
        <f>IFERROR(VLOOKUP(F229,AnsSTBL,2,0),0)</f>
        <v>0</v>
      </c>
      <c r="H229" s="203"/>
      <c r="I229" s="391"/>
      <c r="J229" s="204"/>
      <c r="K229" s="395"/>
      <c r="L229" s="393"/>
      <c r="M229" s="394"/>
      <c r="N229" s="31"/>
      <c r="O229" s="31"/>
      <c r="P229" s="18"/>
      <c r="Q229" s="18"/>
      <c r="R229" s="18"/>
      <c r="S229" s="18"/>
      <c r="T229" s="18"/>
      <c r="U229" s="18"/>
      <c r="V229" s="18"/>
      <c r="W229" s="18"/>
      <c r="X229" s="18"/>
      <c r="Y229" s="18"/>
    </row>
    <row r="230" spans="1:25" ht="42">
      <c r="B230" s="390"/>
      <c r="C230" s="65"/>
      <c r="D230" s="55" t="str">
        <f>VLOOKUP(A229,'imp-questions'!A:H,7,0)</f>
        <v>Your end of life management process is agreed upon
You inform customers and user groups of product timelines to prevent disruption of service or support
You review the process at least annually</v>
      </c>
      <c r="E230" s="56"/>
      <c r="F230" s="66"/>
      <c r="G230" s="58"/>
      <c r="H230" s="205"/>
      <c r="I230" s="391"/>
      <c r="J230" s="204"/>
      <c r="K230" s="395"/>
      <c r="L230" s="393"/>
      <c r="M230" s="394"/>
      <c r="N230" s="31"/>
      <c r="O230" s="31"/>
      <c r="P230" s="18"/>
      <c r="Q230" s="18"/>
      <c r="R230" s="18"/>
      <c r="S230" s="18"/>
      <c r="T230" s="18"/>
      <c r="U230" s="18"/>
      <c r="V230" s="18"/>
      <c r="W230" s="18"/>
      <c r="X230" s="18"/>
      <c r="Y230" s="18"/>
    </row>
    <row r="232" spans="1:25" ht="44.25" customHeight="1">
      <c r="F232" s="32" t="s">
        <v>192</v>
      </c>
      <c r="G232" s="206"/>
      <c r="H232" s="207"/>
      <c r="I232" s="208" t="s">
        <v>193</v>
      </c>
    </row>
    <row r="233" spans="1:25">
      <c r="F233" s="14" t="s">
        <v>554</v>
      </c>
      <c r="I233" t="s">
        <v>555</v>
      </c>
    </row>
  </sheetData>
  <sheetProtection selectLockedCells="1"/>
  <mergeCells count="317">
    <mergeCell ref="B1:I1"/>
    <mergeCell ref="B3:I3"/>
    <mergeCell ref="B4:I4"/>
    <mergeCell ref="B5:I5"/>
    <mergeCell ref="B6:I6"/>
    <mergeCell ref="B7:I7"/>
    <mergeCell ref="B8:I8"/>
    <mergeCell ref="B10:C10"/>
    <mergeCell ref="B11:C11"/>
    <mergeCell ref="B12:C12"/>
    <mergeCell ref="B13:C13"/>
    <mergeCell ref="B14:C14"/>
    <mergeCell ref="B16:J16"/>
    <mergeCell ref="K16:M16"/>
    <mergeCell ref="B18:B23"/>
    <mergeCell ref="I18:I19"/>
    <mergeCell ref="J18:J19"/>
    <mergeCell ref="K18:K19"/>
    <mergeCell ref="L18:L23"/>
    <mergeCell ref="M18:M23"/>
    <mergeCell ref="I20:I21"/>
    <mergeCell ref="K20:K21"/>
    <mergeCell ref="I22:I23"/>
    <mergeCell ref="K22:K23"/>
    <mergeCell ref="B25:B30"/>
    <mergeCell ref="I25:I26"/>
    <mergeCell ref="K25:K26"/>
    <mergeCell ref="L25:L30"/>
    <mergeCell ref="M25:M30"/>
    <mergeCell ref="I27:I28"/>
    <mergeCell ref="K27:K28"/>
    <mergeCell ref="I29:I30"/>
    <mergeCell ref="K29:K30"/>
    <mergeCell ref="B31:D31"/>
    <mergeCell ref="B32:B37"/>
    <mergeCell ref="I32:I33"/>
    <mergeCell ref="J32:J33"/>
    <mergeCell ref="K32:K33"/>
    <mergeCell ref="L32:L37"/>
    <mergeCell ref="M32:M37"/>
    <mergeCell ref="I34:I35"/>
    <mergeCell ref="K34:K35"/>
    <mergeCell ref="I36:I37"/>
    <mergeCell ref="K36:K37"/>
    <mergeCell ref="B39:B44"/>
    <mergeCell ref="I39:I40"/>
    <mergeCell ref="K39:K40"/>
    <mergeCell ref="L39:L44"/>
    <mergeCell ref="M39:M44"/>
    <mergeCell ref="I41:I42"/>
    <mergeCell ref="K41:K42"/>
    <mergeCell ref="I43:I44"/>
    <mergeCell ref="K43:K44"/>
    <mergeCell ref="B45:D45"/>
    <mergeCell ref="B46:B51"/>
    <mergeCell ref="I46:I47"/>
    <mergeCell ref="J46:J47"/>
    <mergeCell ref="K46:K47"/>
    <mergeCell ref="L46:L51"/>
    <mergeCell ref="M46:M51"/>
    <mergeCell ref="I48:I49"/>
    <mergeCell ref="K48:K49"/>
    <mergeCell ref="I50:I51"/>
    <mergeCell ref="K50:K51"/>
    <mergeCell ref="B53:B58"/>
    <mergeCell ref="I53:I54"/>
    <mergeCell ref="K53:K54"/>
    <mergeCell ref="L53:L58"/>
    <mergeCell ref="M53:M58"/>
    <mergeCell ref="I55:I56"/>
    <mergeCell ref="K55:K56"/>
    <mergeCell ref="I57:I58"/>
    <mergeCell ref="K57:K58"/>
    <mergeCell ref="B59:J59"/>
    <mergeCell ref="B60:D60"/>
    <mergeCell ref="B61:B66"/>
    <mergeCell ref="I61:I62"/>
    <mergeCell ref="J61:J62"/>
    <mergeCell ref="K61:K62"/>
    <mergeCell ref="L61:L66"/>
    <mergeCell ref="M61:M66"/>
    <mergeCell ref="I63:I64"/>
    <mergeCell ref="K63:K64"/>
    <mergeCell ref="I65:I66"/>
    <mergeCell ref="K65:K66"/>
    <mergeCell ref="B68:B73"/>
    <mergeCell ref="I68:I69"/>
    <mergeCell ref="K68:K69"/>
    <mergeCell ref="L68:L73"/>
    <mergeCell ref="M68:M73"/>
    <mergeCell ref="I70:I71"/>
    <mergeCell ref="K70:K71"/>
    <mergeCell ref="I72:I73"/>
    <mergeCell ref="K72:K73"/>
    <mergeCell ref="B74:D74"/>
    <mergeCell ref="B75:B80"/>
    <mergeCell ref="I75:I76"/>
    <mergeCell ref="J75:J76"/>
    <mergeCell ref="K75:K76"/>
    <mergeCell ref="L75:L80"/>
    <mergeCell ref="M75:M80"/>
    <mergeCell ref="I77:I78"/>
    <mergeCell ref="K77:K78"/>
    <mergeCell ref="I79:I80"/>
    <mergeCell ref="K79:K80"/>
    <mergeCell ref="B82:B87"/>
    <mergeCell ref="I82:I83"/>
    <mergeCell ref="K82:K83"/>
    <mergeCell ref="L82:L87"/>
    <mergeCell ref="M82:M87"/>
    <mergeCell ref="I84:I85"/>
    <mergeCell ref="K84:K85"/>
    <mergeCell ref="I86:I87"/>
    <mergeCell ref="K86:K87"/>
    <mergeCell ref="B88:D88"/>
    <mergeCell ref="B89:B94"/>
    <mergeCell ref="I89:I90"/>
    <mergeCell ref="J89:J90"/>
    <mergeCell ref="K89:K90"/>
    <mergeCell ref="L89:L94"/>
    <mergeCell ref="M89:M94"/>
    <mergeCell ref="I91:I92"/>
    <mergeCell ref="K91:K92"/>
    <mergeCell ref="I93:I94"/>
    <mergeCell ref="K93:K94"/>
    <mergeCell ref="B96:B101"/>
    <mergeCell ref="I96:I97"/>
    <mergeCell ref="K96:K97"/>
    <mergeCell ref="L96:L101"/>
    <mergeCell ref="M96:M101"/>
    <mergeCell ref="I98:I99"/>
    <mergeCell ref="K98:K99"/>
    <mergeCell ref="I100:I101"/>
    <mergeCell ref="K100:K101"/>
    <mergeCell ref="B102:J102"/>
    <mergeCell ref="B103:D103"/>
    <mergeCell ref="B104:B109"/>
    <mergeCell ref="I104:I105"/>
    <mergeCell ref="J104:J105"/>
    <mergeCell ref="K104:K105"/>
    <mergeCell ref="L104:L109"/>
    <mergeCell ref="M104:M109"/>
    <mergeCell ref="I106:I107"/>
    <mergeCell ref="K106:K107"/>
    <mergeCell ref="I108:I109"/>
    <mergeCell ref="K108:K109"/>
    <mergeCell ref="B111:B116"/>
    <mergeCell ref="I111:I112"/>
    <mergeCell ref="K111:K112"/>
    <mergeCell ref="L111:L116"/>
    <mergeCell ref="M111:M116"/>
    <mergeCell ref="I113:I114"/>
    <mergeCell ref="K113:K114"/>
    <mergeCell ref="I115:I116"/>
    <mergeCell ref="K115:K116"/>
    <mergeCell ref="B117:D117"/>
    <mergeCell ref="B118:B123"/>
    <mergeCell ref="I118:I119"/>
    <mergeCell ref="J118:J119"/>
    <mergeCell ref="K118:K119"/>
    <mergeCell ref="L118:L123"/>
    <mergeCell ref="M118:M123"/>
    <mergeCell ref="I120:I121"/>
    <mergeCell ref="K120:K121"/>
    <mergeCell ref="I122:I123"/>
    <mergeCell ref="K122:K123"/>
    <mergeCell ref="B125:B130"/>
    <mergeCell ref="I125:I126"/>
    <mergeCell ref="K125:K126"/>
    <mergeCell ref="L125:L130"/>
    <mergeCell ref="M125:M130"/>
    <mergeCell ref="I127:I128"/>
    <mergeCell ref="K127:K128"/>
    <mergeCell ref="I129:I130"/>
    <mergeCell ref="K129:K130"/>
    <mergeCell ref="B131:D131"/>
    <mergeCell ref="B132:B137"/>
    <mergeCell ref="I132:I133"/>
    <mergeCell ref="J132:J133"/>
    <mergeCell ref="K132:K133"/>
    <mergeCell ref="L132:L137"/>
    <mergeCell ref="M132:M137"/>
    <mergeCell ref="I134:I135"/>
    <mergeCell ref="K134:K135"/>
    <mergeCell ref="I136:I137"/>
    <mergeCell ref="K136:K137"/>
    <mergeCell ref="B139:B144"/>
    <mergeCell ref="I139:I140"/>
    <mergeCell ref="K139:K140"/>
    <mergeCell ref="L139:L144"/>
    <mergeCell ref="M139:M144"/>
    <mergeCell ref="I141:I142"/>
    <mergeCell ref="K141:K142"/>
    <mergeCell ref="I143:I144"/>
    <mergeCell ref="K143:K144"/>
    <mergeCell ref="B145:J145"/>
    <mergeCell ref="B146:D146"/>
    <mergeCell ref="B147:B152"/>
    <mergeCell ref="I147:I148"/>
    <mergeCell ref="J147:J148"/>
    <mergeCell ref="K147:K148"/>
    <mergeCell ref="L147:L152"/>
    <mergeCell ref="M147:M152"/>
    <mergeCell ref="I149:I150"/>
    <mergeCell ref="K149:K150"/>
    <mergeCell ref="I151:I152"/>
    <mergeCell ref="K151:K152"/>
    <mergeCell ref="B154:B159"/>
    <mergeCell ref="I154:I155"/>
    <mergeCell ref="K154:K155"/>
    <mergeCell ref="L154:L159"/>
    <mergeCell ref="M154:M159"/>
    <mergeCell ref="I156:I157"/>
    <mergeCell ref="K156:K157"/>
    <mergeCell ref="I158:I159"/>
    <mergeCell ref="K158:K159"/>
    <mergeCell ref="B160:D160"/>
    <mergeCell ref="B161:B166"/>
    <mergeCell ref="I161:I162"/>
    <mergeCell ref="J161:J162"/>
    <mergeCell ref="K161:K162"/>
    <mergeCell ref="L161:L166"/>
    <mergeCell ref="M161:M166"/>
    <mergeCell ref="I163:I164"/>
    <mergeCell ref="K163:K164"/>
    <mergeCell ref="I165:I166"/>
    <mergeCell ref="K165:K166"/>
    <mergeCell ref="B168:B173"/>
    <mergeCell ref="I168:I169"/>
    <mergeCell ref="K168:K169"/>
    <mergeCell ref="L168:L173"/>
    <mergeCell ref="M168:M173"/>
    <mergeCell ref="I170:I171"/>
    <mergeCell ref="K170:K171"/>
    <mergeCell ref="I172:I173"/>
    <mergeCell ref="K172:K173"/>
    <mergeCell ref="B174:D174"/>
    <mergeCell ref="B175:B180"/>
    <mergeCell ref="I175:I176"/>
    <mergeCell ref="J175:J176"/>
    <mergeCell ref="K175:K176"/>
    <mergeCell ref="L175:L180"/>
    <mergeCell ref="M175:M180"/>
    <mergeCell ref="I177:I178"/>
    <mergeCell ref="K177:K178"/>
    <mergeCell ref="I179:I180"/>
    <mergeCell ref="K179:K180"/>
    <mergeCell ref="B182:B187"/>
    <mergeCell ref="I182:I183"/>
    <mergeCell ref="K182:K183"/>
    <mergeCell ref="L182:L187"/>
    <mergeCell ref="M182:M187"/>
    <mergeCell ref="I184:I185"/>
    <mergeCell ref="K184:K185"/>
    <mergeCell ref="I186:I187"/>
    <mergeCell ref="K186:K187"/>
    <mergeCell ref="B188:J188"/>
    <mergeCell ref="B189:D189"/>
    <mergeCell ref="B190:B195"/>
    <mergeCell ref="I190:I191"/>
    <mergeCell ref="J190:J191"/>
    <mergeCell ref="K190:K191"/>
    <mergeCell ref="L190:L195"/>
    <mergeCell ref="M190:M195"/>
    <mergeCell ref="I192:I193"/>
    <mergeCell ref="K192:K193"/>
    <mergeCell ref="I194:I195"/>
    <mergeCell ref="K194:K195"/>
    <mergeCell ref="B197:B202"/>
    <mergeCell ref="I197:I198"/>
    <mergeCell ref="K197:K198"/>
    <mergeCell ref="L197:L202"/>
    <mergeCell ref="M197:M202"/>
    <mergeCell ref="I199:I200"/>
    <mergeCell ref="K199:K200"/>
    <mergeCell ref="I201:I202"/>
    <mergeCell ref="K201:K202"/>
    <mergeCell ref="B203:D203"/>
    <mergeCell ref="B204:B209"/>
    <mergeCell ref="I204:I205"/>
    <mergeCell ref="J204:J205"/>
    <mergeCell ref="K204:K205"/>
    <mergeCell ref="L204:L209"/>
    <mergeCell ref="M204:M209"/>
    <mergeCell ref="I206:I207"/>
    <mergeCell ref="K206:K207"/>
    <mergeCell ref="I208:I209"/>
    <mergeCell ref="K208:K209"/>
    <mergeCell ref="B211:B216"/>
    <mergeCell ref="I211:I212"/>
    <mergeCell ref="K211:K212"/>
    <mergeCell ref="L211:L216"/>
    <mergeCell ref="M211:M216"/>
    <mergeCell ref="I213:I214"/>
    <mergeCell ref="K213:K214"/>
    <mergeCell ref="I215:I216"/>
    <mergeCell ref="K215:K216"/>
    <mergeCell ref="B217:D217"/>
    <mergeCell ref="B218:B223"/>
    <mergeCell ref="I218:I219"/>
    <mergeCell ref="J218:J219"/>
    <mergeCell ref="K218:K219"/>
    <mergeCell ref="L218:L223"/>
    <mergeCell ref="M218:M223"/>
    <mergeCell ref="I220:I221"/>
    <mergeCell ref="K220:K221"/>
    <mergeCell ref="I222:I223"/>
    <mergeCell ref="K222:K223"/>
    <mergeCell ref="B225:B230"/>
    <mergeCell ref="I225:I226"/>
    <mergeCell ref="K225:K226"/>
    <mergeCell ref="L225:L230"/>
    <mergeCell ref="M225:M230"/>
    <mergeCell ref="I227:I228"/>
    <mergeCell ref="K227:K228"/>
    <mergeCell ref="I229:I230"/>
    <mergeCell ref="K229:K230"/>
  </mergeCells>
  <conditionalFormatting sqref="F15">
    <cfRule type="expression" dxfId="633" priority="2">
      <formula>$H$25=1</formula>
    </cfRule>
  </conditionalFormatting>
  <dataValidations count="28">
    <dataValidation type="list" operator="equal" allowBlank="1" showInputMessage="1" showErrorMessage="1" sqref="F18" xr:uid="{00000000-0002-0000-0100-000000000000}">
      <formula1>AnsY</formula1>
      <formula2>0</formula2>
    </dataValidation>
    <dataValidation type="list" operator="equal" allowBlank="1" showInputMessage="1" showErrorMessage="1" sqref="L18:L23 L25:L30 L32:L37 L39:L44 L46:L51 L53:L58 L61:L66 L68:L73 L75:L80 L82:L87 L89:L94 L96:L101 L104:L109 L111:L116 L118:L123 L125:L130 L132:L137 L139:L144 L147:L152 L154:L159 L161:L166 L168:L173 L175:L180 L182:L187 L190:L195 L197:L202 L204:L209 L211:L216 L218:L223 L225:L230" xr:uid="{00000000-0002-0000-0100-000001000000}">
      <formula1>$L$4:$L$7</formula1>
      <formula2>0</formula2>
    </dataValidation>
    <dataValidation type="list" operator="equal" allowBlank="1" showInputMessage="1" showErrorMessage="1" sqref="M18:M23 M25:M30 M32:M37 M39:M44 M46:M51 M53:M58 M61:M66 M68:M73 M75:M80 M82:M87 M89:M94 M96:M101 M104:M109 M111:M116 M118:M123 M125:M130 M132:M137 M139:M144 M147:M152 M154:M159 M161:M166 M168:M173 M175:M180 M182:M187 M190:M195 M197:M202 M204:M209 M211:M216 M218:M223 M225:M230" xr:uid="{00000000-0002-0000-0100-000002000000}">
      <formula1>$M$4:$M$7</formula1>
      <formula2>0</formula2>
    </dataValidation>
    <dataValidation type="list" operator="equal" allowBlank="1" showInputMessage="1" showErrorMessage="1" sqref="N18:O18" xr:uid="{00000000-0002-0000-0100-000003000000}">
      <formula1>answera</formula1>
      <formula2>0</formula2>
    </dataValidation>
    <dataValidation type="list" operator="equal" allowBlank="1" showInputMessage="1" showErrorMessage="1" sqref="F20" xr:uid="{00000000-0002-0000-0100-000004000000}">
      <formula1>AnsV</formula1>
      <formula2>0</formula2>
    </dataValidation>
    <dataValidation type="list" operator="equal" allowBlank="1" showInputMessage="1" showErrorMessage="1" sqref="N20:O20 N22:O22" xr:uid="{00000000-0002-0000-0100-000005000000}">
      <formula1>answerb</formula1>
      <formula2>0</formula2>
    </dataValidation>
    <dataValidation type="list" operator="equal" allowBlank="1" showInputMessage="1" showErrorMessage="1" sqref="F22 F29 F72" xr:uid="{00000000-0002-0000-0100-000006000000}">
      <formula1>AnsN</formula1>
      <formula2>0</formula2>
    </dataValidation>
    <dataValidation type="list" operator="equal" allowBlank="1" showInputMessage="1" showErrorMessage="1" sqref="F25" xr:uid="{00000000-0002-0000-0100-000007000000}">
      <formula1>AnsK</formula1>
      <formula2>0</formula2>
    </dataValidation>
    <dataValidation type="list" operator="equal" allowBlank="1" showInputMessage="1" showErrorMessage="1" sqref="F27" xr:uid="{00000000-0002-0000-0100-000008000000}">
      <formula1>AnsB</formula1>
      <formula2>0</formula2>
    </dataValidation>
    <dataValidation type="list" operator="equal" allowBlank="1" showInputMessage="1" showErrorMessage="1" sqref="F32 F39 F63 F70 F75 F79 F89 F91 F93 F96 F100 F104 F106 F108 F111 F113 F115 F118 F120 F122 F125 F127 F129 F132 F134 F136 F139 F141 F143 F147 F149 F151 F154 F156 F158 F165 F168 F184 F190 F192 F194 F218 F225" xr:uid="{00000000-0002-0000-0100-000009000000}">
      <formula1>AnsF</formula1>
      <formula2>0</formula2>
    </dataValidation>
    <dataValidation type="list" operator="equal" allowBlank="1" showInputMessage="1" showErrorMessage="1" sqref="F34" xr:uid="{00000000-0002-0000-0100-00000A000000}">
      <formula1>AnsA</formula1>
      <formula2>0</formula2>
    </dataValidation>
    <dataValidation type="list" operator="equal" allowBlank="1" showInputMessage="1" showErrorMessage="1" sqref="F36 F43" xr:uid="{00000000-0002-0000-0100-00000B000000}">
      <formula1>AnsE</formula1>
      <formula2>0</formula2>
    </dataValidation>
    <dataValidation type="list" operator="equal" allowBlank="1" showInputMessage="1" showErrorMessage="1" sqref="F41" xr:uid="{00000000-0002-0000-0100-00000C000000}">
      <formula1>AnsD</formula1>
      <formula2>0</formula2>
    </dataValidation>
    <dataValidation type="list" operator="equal" allowBlank="1" showInputMessage="1" showErrorMessage="1" sqref="F46 F61 F68 F161 F163 F175 F177" xr:uid="{00000000-0002-0000-0100-00000D000000}">
      <formula1>AnsC</formula1>
      <formula2>0</formula2>
    </dataValidation>
    <dataValidation type="list" operator="equal" allowBlank="1" showInputMessage="1" showErrorMessage="1" sqref="F48 F50" xr:uid="{00000000-0002-0000-0100-00000E000000}">
      <formula1>AnsI</formula1>
      <formula2>0</formula2>
    </dataValidation>
    <dataValidation type="list" operator="equal" allowBlank="1" showInputMessage="1" showErrorMessage="1" sqref="F53" xr:uid="{00000000-0002-0000-0100-00000F000000}">
      <formula1>AnsW</formula1>
      <formula2>0</formula2>
    </dataValidation>
    <dataValidation type="list" operator="equal" allowBlank="1" showInputMessage="1" showErrorMessage="1" sqref="F55 F57" xr:uid="{00000000-0002-0000-0100-000010000000}">
      <formula1>AnsL</formula1>
      <formula2>0</formula2>
    </dataValidation>
    <dataValidation type="list" operator="equal" allowBlank="1" showInputMessage="1" showErrorMessage="1" sqref="F65" xr:uid="{00000000-0002-0000-0100-000011000000}">
      <formula1>AnsG</formula1>
      <formula2>0</formula2>
    </dataValidation>
    <dataValidation type="list" operator="equal" allowBlank="1" showInputMessage="1" showErrorMessage="1" sqref="F77 F82 F84 F86 F170 F172 F201 F227" xr:uid="{00000000-0002-0000-0100-000012000000}">
      <formula1>AnsH</formula1>
      <formula2>0</formula2>
    </dataValidation>
    <dataValidation type="list" operator="equal" allowBlank="1" showInputMessage="1" showErrorMessage="1" sqref="F98" xr:uid="{00000000-0002-0000-0100-000013000000}">
      <formula1>AnsU</formula1>
      <formula2>0</formula2>
    </dataValidation>
    <dataValidation type="list" operator="equal" allowBlank="1" showInputMessage="1" showErrorMessage="1" sqref="F179" xr:uid="{00000000-0002-0000-0100-000014000000}">
      <formula1>AnsX</formula1>
      <formula2>0</formula2>
    </dataValidation>
    <dataValidation type="list" operator="equal" allowBlank="1" showInputMessage="1" showErrorMessage="1" sqref="F182 F204 F206 F208 F211 F213 F215" xr:uid="{00000000-0002-0000-0100-000015000000}">
      <formula1>AnsM</formula1>
      <formula2>0</formula2>
    </dataValidation>
    <dataValidation type="list" operator="equal" allowBlank="1" showInputMessage="1" showErrorMessage="1" sqref="F186" xr:uid="{00000000-0002-0000-0100-000016000000}">
      <formula1>AnsT</formula1>
      <formula2>0</formula2>
    </dataValidation>
    <dataValidation type="list" operator="equal" allowBlank="1" showInputMessage="1" showErrorMessage="1" sqref="F197" xr:uid="{00000000-0002-0000-0100-000017000000}">
      <formula1>AnsR</formula1>
      <formula2>0</formula2>
    </dataValidation>
    <dataValidation type="list" operator="equal" allowBlank="1" showInputMessage="1" showErrorMessage="1" sqref="F199" xr:uid="{00000000-0002-0000-0100-000018000000}">
      <formula1>AnsQ</formula1>
      <formula2>0</formula2>
    </dataValidation>
    <dataValidation type="list" operator="equal" allowBlank="1" showInputMessage="1" showErrorMessage="1" sqref="F220" xr:uid="{00000000-0002-0000-0100-000019000000}">
      <formula1>AnsO</formula1>
      <formula2>0</formula2>
    </dataValidation>
    <dataValidation type="list" operator="equal" allowBlank="1" showInputMessage="1" showErrorMessage="1" sqref="F222" xr:uid="{00000000-0002-0000-0100-00001A000000}">
      <formula1>AnsP</formula1>
      <formula2>0</formula2>
    </dataValidation>
    <dataValidation type="list" operator="equal" allowBlank="1" showInputMessage="1" showErrorMessage="1" sqref="F229" xr:uid="{00000000-0002-0000-0100-00001B000000}">
      <formula1>AnsS</formula1>
      <formula2>0</formula2>
    </dataValidation>
  </dataValidations>
  <pageMargins left="0.75" right="0.75" top="1" bottom="1" header="0.51180555555555496" footer="0.51180555555555496"/>
  <pageSetup paperSize="9" scale="10"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8"/>
  <sheetViews>
    <sheetView showGridLines="0" topLeftCell="C1" zoomScale="110" zoomScaleNormal="110" workbookViewId="0">
      <selection activeCell="I17" sqref="I17"/>
    </sheetView>
  </sheetViews>
  <sheetFormatPr baseColWidth="10" defaultColWidth="8.83203125" defaultRowHeight="13"/>
  <cols>
    <col min="1" max="1" width="14.33203125" customWidth="1"/>
    <col min="2" max="2" width="23.83203125" customWidth="1"/>
    <col min="3" max="3" width="9.1640625" customWidth="1"/>
    <col min="4" max="6" width="6.6640625" customWidth="1"/>
    <col min="7" max="7" width="15" hidden="1" customWidth="1"/>
    <col min="8" max="8" width="9.1640625" customWidth="1"/>
    <col min="9" max="10" width="15" customWidth="1"/>
    <col min="11" max="11" width="7.33203125" customWidth="1"/>
    <col min="12" max="14" width="15" customWidth="1"/>
    <col min="15" max="19" width="8.83203125" customWidth="1"/>
    <col min="20" max="20" width="13.6640625" customWidth="1"/>
    <col min="21" max="21" width="22.1640625" customWidth="1"/>
    <col min="22" max="22" width="10.1640625" customWidth="1"/>
    <col min="23" max="24" width="10.5" customWidth="1"/>
    <col min="25" max="25" width="9.33203125" customWidth="1"/>
    <col min="26" max="1025" width="8.83203125" customWidth="1"/>
  </cols>
  <sheetData>
    <row r="1" spans="1:26" ht="25.5" customHeight="1">
      <c r="A1" s="474" t="str">
        <f>CONCATENATE("SAMM Assessment Scorecard: ",C6," For ",C5)</f>
        <v>SAMM Assessment Scorecard:  For COMPANY</v>
      </c>
      <c r="B1" s="474"/>
      <c r="C1" s="474"/>
      <c r="D1" s="474"/>
      <c r="E1" s="474"/>
      <c r="F1" s="474"/>
      <c r="G1" s="474"/>
      <c r="H1" s="474"/>
      <c r="I1" s="474"/>
      <c r="J1" s="474"/>
      <c r="K1" s="18"/>
      <c r="L1" s="18"/>
      <c r="M1" s="18"/>
      <c r="N1" s="18"/>
    </row>
    <row r="2" spans="1:26" ht="12.75" customHeight="1">
      <c r="A2" s="210"/>
      <c r="B2" s="210"/>
      <c r="C2" s="210"/>
      <c r="D2" s="210"/>
      <c r="E2" s="210"/>
      <c r="F2" s="210"/>
      <c r="G2" s="210"/>
      <c r="H2" s="210"/>
      <c r="I2" s="210"/>
      <c r="J2" s="210"/>
      <c r="K2" s="18"/>
      <c r="L2" s="18"/>
      <c r="M2" s="18"/>
      <c r="N2" s="18"/>
    </row>
    <row r="3" spans="1:26" ht="54" customHeight="1">
      <c r="A3" s="475" t="s">
        <v>194</v>
      </c>
      <c r="B3" s="475"/>
      <c r="C3" s="475"/>
      <c r="D3" s="475"/>
      <c r="E3" s="475"/>
      <c r="F3" s="475"/>
      <c r="G3" s="475"/>
      <c r="H3" s="475"/>
      <c r="I3" s="475"/>
      <c r="J3" s="475"/>
      <c r="K3" s="475"/>
      <c r="L3" s="18"/>
      <c r="M3" s="18"/>
      <c r="N3" s="18"/>
    </row>
    <row r="4" spans="1:26" ht="12.75" customHeight="1">
      <c r="A4" s="211"/>
      <c r="B4" s="211"/>
      <c r="C4" s="211"/>
      <c r="D4" s="211"/>
      <c r="E4" s="211"/>
      <c r="F4" s="211"/>
      <c r="G4" s="211"/>
      <c r="H4" s="211"/>
      <c r="I4" s="211"/>
      <c r="J4" s="211"/>
      <c r="K4" s="18"/>
      <c r="L4" s="18"/>
      <c r="M4" s="18"/>
      <c r="N4" s="18"/>
    </row>
    <row r="5" spans="1:26" ht="12.75" customHeight="1">
      <c r="A5" s="470" t="str">
        <f>Interview!B10</f>
        <v>Organization:</v>
      </c>
      <c r="B5" s="470"/>
      <c r="C5" s="472" t="str">
        <f>IF(ISBLANK(Interview!D10),"",Interview!D10)</f>
        <v>COMPANY</v>
      </c>
      <c r="D5" s="472"/>
      <c r="E5" s="472"/>
      <c r="F5" s="472"/>
      <c r="G5" s="18"/>
      <c r="H5" s="18"/>
      <c r="I5" s="18"/>
      <c r="J5" s="18"/>
      <c r="K5" s="18"/>
      <c r="L5" s="18"/>
      <c r="M5" s="18"/>
      <c r="N5" s="18"/>
    </row>
    <row r="6" spans="1:26" ht="12.75" customHeight="1">
      <c r="A6" s="470" t="str">
        <f>Interview!B11</f>
        <v>Team/Application:</v>
      </c>
      <c r="B6" s="470"/>
      <c r="C6" s="472" t="str">
        <f>IF(ISBLANK(Interview!D11),"",Interview!D11)</f>
        <v/>
      </c>
      <c r="D6" s="472"/>
      <c r="E6" s="472"/>
      <c r="F6" s="472"/>
      <c r="G6" s="18"/>
      <c r="H6" s="18"/>
      <c r="I6" s="18"/>
      <c r="J6" s="18"/>
      <c r="K6" s="18"/>
      <c r="L6" s="18"/>
      <c r="M6" s="18"/>
      <c r="N6" s="18"/>
    </row>
    <row r="7" spans="1:26" ht="12.75" customHeight="1">
      <c r="A7" s="470" t="str">
        <f>Interview!B12</f>
        <v>Interview Date:</v>
      </c>
      <c r="B7" s="470"/>
      <c r="C7" s="471" t="str">
        <f>IF(ISBLANK(Interview!D12),"",Interview!D12)</f>
        <v/>
      </c>
      <c r="D7" s="471"/>
      <c r="E7" s="471"/>
      <c r="F7" s="471"/>
      <c r="G7" s="18"/>
      <c r="H7" s="18"/>
      <c r="I7" s="18"/>
      <c r="J7" s="18"/>
      <c r="K7" s="18"/>
      <c r="L7" s="18"/>
      <c r="M7" s="18"/>
      <c r="N7" s="18"/>
    </row>
    <row r="8" spans="1:26" ht="12.75" customHeight="1">
      <c r="A8" s="470" t="str">
        <f>Interview!B13</f>
        <v xml:space="preserve">Team Lead: </v>
      </c>
      <c r="B8" s="470"/>
      <c r="C8" s="472" t="str">
        <f>IF(ISBLANK(Interview!D13),"",Interview!D13)</f>
        <v/>
      </c>
      <c r="D8" s="472"/>
      <c r="E8" s="472"/>
      <c r="F8" s="472"/>
      <c r="G8" s="18"/>
      <c r="H8" s="18"/>
      <c r="I8" s="18"/>
      <c r="J8" s="18"/>
      <c r="K8" s="18"/>
      <c r="L8" s="18"/>
      <c r="M8" s="18"/>
      <c r="N8" s="18"/>
    </row>
    <row r="9" spans="1:26" ht="12.75" customHeight="1">
      <c r="A9" s="470" t="str">
        <f>Interview!B14</f>
        <v>Name:</v>
      </c>
      <c r="B9" s="470"/>
      <c r="C9" s="473" t="str">
        <f>IF(ISBLANK(Interview!D14),"",Interview!D14)</f>
        <v>bfea410146cd967b392a87771e690515</v>
      </c>
      <c r="D9" s="473"/>
      <c r="E9" s="473"/>
      <c r="F9" s="473"/>
      <c r="G9" s="473"/>
      <c r="H9" s="473"/>
      <c r="I9" s="473"/>
      <c r="J9" s="18"/>
      <c r="K9" s="18"/>
      <c r="L9" s="18"/>
      <c r="M9" s="18"/>
      <c r="N9" s="18"/>
    </row>
    <row r="10" spans="1:26" ht="12.75" customHeight="1">
      <c r="A10" s="212"/>
      <c r="B10" s="18"/>
      <c r="C10" s="18"/>
      <c r="D10" s="18"/>
      <c r="E10" s="18"/>
      <c r="F10" s="18"/>
      <c r="G10" s="18"/>
      <c r="H10" s="18"/>
      <c r="I10" s="18"/>
      <c r="J10" s="18"/>
      <c r="K10" s="18"/>
      <c r="L10" s="18"/>
      <c r="M10" s="18"/>
      <c r="N10" s="18"/>
    </row>
    <row r="11" spans="1:26" ht="25" customHeight="1">
      <c r="A11" s="468" t="s">
        <v>195</v>
      </c>
      <c r="B11" s="468"/>
      <c r="C11" s="468"/>
      <c r="D11" s="468"/>
      <c r="E11" s="468"/>
      <c r="F11" s="468"/>
      <c r="G11" s="468"/>
      <c r="H11" s="468"/>
      <c r="I11" s="468"/>
      <c r="J11" s="468"/>
      <c r="K11" s="18"/>
      <c r="L11" s="468" t="s">
        <v>195</v>
      </c>
      <c r="M11" s="468"/>
      <c r="N11" s="468"/>
      <c r="O11" s="468"/>
      <c r="P11" s="468"/>
      <c r="Q11" s="468"/>
      <c r="R11" s="468"/>
      <c r="T11" s="469" t="s">
        <v>195</v>
      </c>
      <c r="U11" s="469"/>
      <c r="V11" s="469"/>
      <c r="W11" s="469"/>
      <c r="X11" s="469"/>
      <c r="Y11" s="469"/>
      <c r="Z11" s="469"/>
    </row>
    <row r="12" spans="1:26" ht="12.75" customHeight="1">
      <c r="A12" s="210"/>
      <c r="B12" s="210"/>
      <c r="C12" s="210"/>
      <c r="D12" s="467" t="s">
        <v>196</v>
      </c>
      <c r="E12" s="467"/>
      <c r="F12" s="467"/>
      <c r="G12" s="18"/>
      <c r="H12" s="18"/>
      <c r="I12" s="18"/>
      <c r="J12" s="18"/>
      <c r="K12" s="18"/>
      <c r="L12" s="18"/>
      <c r="M12" s="18"/>
      <c r="N12" s="18"/>
    </row>
    <row r="13" spans="1:26" ht="15" customHeight="1">
      <c r="A13" s="213" t="s">
        <v>197</v>
      </c>
      <c r="B13" s="213" t="s">
        <v>198</v>
      </c>
      <c r="C13" s="213" t="s">
        <v>199</v>
      </c>
      <c r="D13" s="214">
        <v>1</v>
      </c>
      <c r="E13" s="214">
        <v>2</v>
      </c>
      <c r="F13" s="214">
        <v>3</v>
      </c>
      <c r="G13" s="215" t="s">
        <v>200</v>
      </c>
      <c r="H13" s="18"/>
      <c r="I13" s="213" t="s">
        <v>197</v>
      </c>
      <c r="J13" s="213" t="s">
        <v>199</v>
      </c>
      <c r="L13" s="18"/>
      <c r="M13" s="18"/>
      <c r="N13" s="18"/>
      <c r="V13" t="str">
        <f>T14</f>
        <v>Governance</v>
      </c>
      <c r="W13" t="str">
        <f>T17</f>
        <v>Design</v>
      </c>
      <c r="X13" t="str">
        <f>T20</f>
        <v>Implementation</v>
      </c>
      <c r="Y13" t="str">
        <f>T23</f>
        <v>Verification</v>
      </c>
      <c r="Z13" t="str">
        <f>T26</f>
        <v>Operations</v>
      </c>
    </row>
    <row r="14" spans="1:26" ht="25" customHeight="1">
      <c r="A14" s="216" t="str">
        <f>Interview!$B$16</f>
        <v>Governance</v>
      </c>
      <c r="B14" s="217" t="str">
        <f>Interview!$D$17</f>
        <v>Strategy &amp; Metrics</v>
      </c>
      <c r="C14" s="218">
        <f>Interview!$J$18</f>
        <v>1.25</v>
      </c>
      <c r="D14" s="218">
        <f>Interview!H18</f>
        <v>0.75</v>
      </c>
      <c r="E14" s="218">
        <f>Interview!H20</f>
        <v>0.25</v>
      </c>
      <c r="F14" s="218">
        <f>Interview!H22</f>
        <v>0.25</v>
      </c>
      <c r="G14" s="219">
        <f t="shared" ref="G14:G19" si="0">(((((IF((C14="0+"),0.5,0)+IF((C14=1),1,0))+IF((C14="1+"),1.5,0))+IF((C14=2),2,0))+IF((C14="2+"),2.5,0))+IF((C14=3),3,0))+IF((C14="3+"),3.5,0)</f>
        <v>0</v>
      </c>
      <c r="H14" s="220"/>
      <c r="I14" s="216" t="str">
        <f>A14</f>
        <v>Governance</v>
      </c>
      <c r="J14" s="218">
        <f>AVERAGE(C14:C16)</f>
        <v>1.5833333333333333</v>
      </c>
      <c r="L14" s="18"/>
      <c r="M14" s="18"/>
      <c r="N14" s="18"/>
      <c r="T14" s="216" t="str">
        <f t="shared" ref="T14:V16" si="1">A14</f>
        <v>Governance</v>
      </c>
      <c r="U14" s="217" t="str">
        <f t="shared" si="1"/>
        <v>Strategy &amp; Metrics</v>
      </c>
      <c r="V14" s="218">
        <f t="shared" si="1"/>
        <v>1.25</v>
      </c>
      <c r="W14" s="218">
        <v>0</v>
      </c>
      <c r="X14" s="218">
        <v>0</v>
      </c>
      <c r="Y14" s="218">
        <v>0</v>
      </c>
      <c r="Z14" s="218">
        <v>0</v>
      </c>
    </row>
    <row r="15" spans="1:26" ht="25" customHeight="1">
      <c r="A15" s="216" t="str">
        <f>Interview!$B$16</f>
        <v>Governance</v>
      </c>
      <c r="B15" s="217" t="str">
        <f>Interview!$B$31</f>
        <v>Policy &amp; Compliance</v>
      </c>
      <c r="C15" s="218">
        <f>Interview!$J$32</f>
        <v>1.375</v>
      </c>
      <c r="D15" s="218">
        <f>Interview!H32</f>
        <v>0.5</v>
      </c>
      <c r="E15" s="218">
        <f>Interview!H34</f>
        <v>0.375</v>
      </c>
      <c r="F15" s="218">
        <f>Interview!H36</f>
        <v>0.5</v>
      </c>
      <c r="G15" s="219">
        <f t="shared" si="0"/>
        <v>0</v>
      </c>
      <c r="H15" s="220"/>
      <c r="I15" s="221" t="str">
        <f>A17</f>
        <v>Design</v>
      </c>
      <c r="J15" s="218">
        <f>AVERAGE(C17:C19)</f>
        <v>2.125</v>
      </c>
      <c r="L15" s="18"/>
      <c r="M15" s="18"/>
      <c r="N15" s="18"/>
      <c r="T15" s="216" t="str">
        <f t="shared" si="1"/>
        <v>Governance</v>
      </c>
      <c r="U15" s="217" t="str">
        <f t="shared" si="1"/>
        <v>Policy &amp; Compliance</v>
      </c>
      <c r="V15" s="218">
        <f t="shared" si="1"/>
        <v>1.375</v>
      </c>
      <c r="W15" s="218">
        <v>0</v>
      </c>
      <c r="X15" s="218">
        <v>0</v>
      </c>
      <c r="Y15" s="218">
        <v>0</v>
      </c>
      <c r="Z15" s="218">
        <v>0</v>
      </c>
    </row>
    <row r="16" spans="1:26" ht="25" customHeight="1">
      <c r="A16" s="216" t="str">
        <f>Interview!$B$16</f>
        <v>Governance</v>
      </c>
      <c r="B16" s="217" t="str">
        <f>Interview!$B$45</f>
        <v>Education &amp; Guidance</v>
      </c>
      <c r="C16" s="218">
        <f>Interview!$J$46</f>
        <v>2.125</v>
      </c>
      <c r="D16" s="218">
        <f>Interview!H46</f>
        <v>0.625</v>
      </c>
      <c r="E16" s="218">
        <f>Interview!H48</f>
        <v>0.75</v>
      </c>
      <c r="F16" s="218">
        <f>Interview!H50</f>
        <v>0.75</v>
      </c>
      <c r="G16" s="219">
        <f t="shared" si="0"/>
        <v>0</v>
      </c>
      <c r="H16" s="220"/>
      <c r="I16" s="222" t="str">
        <f>A20</f>
        <v>Implementation</v>
      </c>
      <c r="J16" s="218">
        <f>AVERAGE(C20:C22)</f>
        <v>1.9583333333333333</v>
      </c>
      <c r="L16" s="18"/>
      <c r="M16" s="18"/>
      <c r="N16" s="18"/>
      <c r="T16" s="216" t="str">
        <f t="shared" si="1"/>
        <v>Governance</v>
      </c>
      <c r="U16" s="217" t="str">
        <f t="shared" si="1"/>
        <v>Education &amp; Guidance</v>
      </c>
      <c r="V16" s="218">
        <f t="shared" si="1"/>
        <v>2.125</v>
      </c>
      <c r="W16" s="218">
        <v>0</v>
      </c>
      <c r="X16" s="218">
        <v>0</v>
      </c>
      <c r="Y16" s="218">
        <v>0</v>
      </c>
      <c r="Z16" s="218">
        <v>0</v>
      </c>
    </row>
    <row r="17" spans="1:26" ht="25" customHeight="1">
      <c r="A17" s="221" t="str">
        <f>Interview!$B$59</f>
        <v>Design</v>
      </c>
      <c r="B17" s="223" t="str">
        <f>Interview!$B$60</f>
        <v>Threat Assessment</v>
      </c>
      <c r="C17" s="218">
        <f>Interview!$J$61</f>
        <v>2.25</v>
      </c>
      <c r="D17" s="218">
        <f>Interview!H61</f>
        <v>1</v>
      </c>
      <c r="E17" s="218">
        <f>Interview!H63</f>
        <v>1</v>
      </c>
      <c r="F17" s="218">
        <f>Interview!H65</f>
        <v>0.25</v>
      </c>
      <c r="G17" s="219">
        <f t="shared" si="0"/>
        <v>0</v>
      </c>
      <c r="H17" s="220"/>
      <c r="I17" s="224" t="str">
        <f>A23</f>
        <v>Verification</v>
      </c>
      <c r="J17" s="218">
        <f>AVERAGE(C23:C25)</f>
        <v>0.54166666666666663</v>
      </c>
      <c r="L17" s="18"/>
      <c r="M17" s="18"/>
      <c r="N17" s="18"/>
      <c r="T17" s="221" t="str">
        <f t="shared" ref="T17:T28" si="2">A17</f>
        <v>Design</v>
      </c>
      <c r="U17" s="223" t="str">
        <f t="shared" ref="U17:U28" si="3">B17</f>
        <v>Threat Assessment</v>
      </c>
      <c r="V17" s="218">
        <v>0</v>
      </c>
      <c r="W17" s="218">
        <f>C17</f>
        <v>2.25</v>
      </c>
      <c r="X17" s="218">
        <v>0</v>
      </c>
      <c r="Y17" s="218">
        <v>0</v>
      </c>
      <c r="Z17" s="218">
        <v>0</v>
      </c>
    </row>
    <row r="18" spans="1:26" ht="25" customHeight="1">
      <c r="A18" s="221" t="str">
        <f>Interview!$B$59</f>
        <v>Design</v>
      </c>
      <c r="B18" s="223" t="str">
        <f>Interview!$B$74</f>
        <v>Security Requirements</v>
      </c>
      <c r="C18" s="218">
        <f>Interview!$J$75</f>
        <v>2.25</v>
      </c>
      <c r="D18" s="218">
        <f>Interview!H75</f>
        <v>1</v>
      </c>
      <c r="E18" s="218">
        <f>Interview!H77</f>
        <v>0.625</v>
      </c>
      <c r="F18" s="218">
        <f>Interview!H79</f>
        <v>0.625</v>
      </c>
      <c r="G18" s="219">
        <f t="shared" si="0"/>
        <v>0</v>
      </c>
      <c r="H18" s="220"/>
      <c r="I18" s="225" t="str">
        <f>A26</f>
        <v>Operations</v>
      </c>
      <c r="J18" s="218">
        <f>AVERAGE(C26:C28)</f>
        <v>0.125</v>
      </c>
      <c r="K18" s="18"/>
      <c r="L18" s="18"/>
      <c r="M18" s="18"/>
      <c r="N18" s="18"/>
      <c r="T18" s="221" t="str">
        <f t="shared" si="2"/>
        <v>Design</v>
      </c>
      <c r="U18" s="223" t="str">
        <f t="shared" si="3"/>
        <v>Security Requirements</v>
      </c>
      <c r="V18" s="218">
        <v>0</v>
      </c>
      <c r="W18" s="218">
        <f>C18</f>
        <v>2.25</v>
      </c>
      <c r="X18" s="218">
        <v>0</v>
      </c>
      <c r="Y18" s="218">
        <v>0</v>
      </c>
      <c r="Z18" s="218">
        <v>0</v>
      </c>
    </row>
    <row r="19" spans="1:26" ht="25" customHeight="1">
      <c r="A19" s="221" t="str">
        <f>Interview!$B$59</f>
        <v>Design</v>
      </c>
      <c r="B19" s="223" t="str">
        <f>Interview!$B$88</f>
        <v>Secure Architecture</v>
      </c>
      <c r="C19" s="218">
        <f>Interview!$J$89</f>
        <v>1.875</v>
      </c>
      <c r="D19" s="218">
        <f>Interview!H89</f>
        <v>1</v>
      </c>
      <c r="E19" s="218">
        <f>Interview!H91</f>
        <v>0.375</v>
      </c>
      <c r="F19" s="218">
        <f>Interview!H93</f>
        <v>0.5</v>
      </c>
      <c r="G19" s="219">
        <f t="shared" si="0"/>
        <v>0</v>
      </c>
      <c r="H19" s="220"/>
      <c r="I19" s="18"/>
      <c r="J19" s="18"/>
      <c r="K19" s="18"/>
      <c r="L19" s="18"/>
      <c r="M19" s="18"/>
      <c r="N19" s="18"/>
      <c r="T19" s="221" t="str">
        <f t="shared" si="2"/>
        <v>Design</v>
      </c>
      <c r="U19" s="223" t="str">
        <f t="shared" si="3"/>
        <v>Secure Architecture</v>
      </c>
      <c r="V19" s="218">
        <v>0</v>
      </c>
      <c r="W19" s="218">
        <f>C19</f>
        <v>1.875</v>
      </c>
      <c r="X19" s="218">
        <v>0</v>
      </c>
      <c r="Y19" s="218">
        <v>0</v>
      </c>
      <c r="Z19" s="218">
        <v>0</v>
      </c>
    </row>
    <row r="20" spans="1:26" ht="25" customHeight="1">
      <c r="A20" s="222" t="str">
        <f>Interview!$B$102</f>
        <v>Implementation</v>
      </c>
      <c r="B20" s="226" t="str">
        <f>Interview!$B$103</f>
        <v>Secure Build</v>
      </c>
      <c r="C20" s="218">
        <f>Interview!$J$104</f>
        <v>1.5</v>
      </c>
      <c r="D20" s="218">
        <f>Interview!H104</f>
        <v>0.625</v>
      </c>
      <c r="E20" s="218">
        <f>Interview!H106</f>
        <v>0.75</v>
      </c>
      <c r="F20" s="218">
        <f>Interview!H108</f>
        <v>0.125</v>
      </c>
      <c r="G20" s="219"/>
      <c r="H20" s="220"/>
      <c r="I20" s="18"/>
      <c r="J20" s="18"/>
      <c r="K20" s="18"/>
      <c r="L20" s="18"/>
      <c r="M20" s="18"/>
      <c r="N20" s="18"/>
      <c r="T20" s="222" t="str">
        <f t="shared" si="2"/>
        <v>Implementation</v>
      </c>
      <c r="U20" s="227" t="str">
        <f t="shared" si="3"/>
        <v>Secure Build</v>
      </c>
      <c r="V20" s="218">
        <v>0</v>
      </c>
      <c r="W20" s="218">
        <v>0</v>
      </c>
      <c r="X20" s="218">
        <f>C20</f>
        <v>1.5</v>
      </c>
      <c r="Y20" s="218">
        <v>0</v>
      </c>
      <c r="Z20" s="218">
        <v>0</v>
      </c>
    </row>
    <row r="21" spans="1:26" ht="25" customHeight="1">
      <c r="A21" s="222" t="str">
        <f>Interview!$B$102</f>
        <v>Implementation</v>
      </c>
      <c r="B21" s="226" t="str">
        <f>Interview!$B$117</f>
        <v>Secure Deployment</v>
      </c>
      <c r="C21" s="218">
        <f>Interview!$J$118</f>
        <v>1.875</v>
      </c>
      <c r="D21" s="218">
        <f>Interview!H118</f>
        <v>1</v>
      </c>
      <c r="E21" s="218">
        <f>Interview!H120</f>
        <v>0.125</v>
      </c>
      <c r="F21" s="218">
        <f>Interview!H122</f>
        <v>0.75</v>
      </c>
      <c r="G21" s="219"/>
      <c r="H21" s="220"/>
      <c r="I21" s="18"/>
      <c r="J21" s="18"/>
      <c r="K21" s="18"/>
      <c r="L21" s="18"/>
      <c r="M21" s="18"/>
      <c r="N21" s="18"/>
      <c r="T21" s="222" t="str">
        <f t="shared" si="2"/>
        <v>Implementation</v>
      </c>
      <c r="U21" s="227" t="str">
        <f t="shared" si="3"/>
        <v>Secure Deployment</v>
      </c>
      <c r="V21" s="218">
        <v>0</v>
      </c>
      <c r="W21" s="218">
        <v>0</v>
      </c>
      <c r="X21" s="218">
        <f>C21</f>
        <v>1.875</v>
      </c>
      <c r="Y21" s="218">
        <v>0</v>
      </c>
      <c r="Z21" s="218">
        <v>0</v>
      </c>
    </row>
    <row r="22" spans="1:26" ht="25" customHeight="1">
      <c r="A22" s="222" t="str">
        <f>Interview!$B$102</f>
        <v>Implementation</v>
      </c>
      <c r="B22" s="226" t="str">
        <f>Interview!$B$131</f>
        <v>Defect Management</v>
      </c>
      <c r="C22" s="218">
        <f>Interview!$J$132</f>
        <v>2.5</v>
      </c>
      <c r="D22" s="218">
        <f>Interview!H132</f>
        <v>1</v>
      </c>
      <c r="E22" s="218">
        <f>Interview!H134</f>
        <v>0.5</v>
      </c>
      <c r="F22" s="218">
        <f>Interview!H136</f>
        <v>1</v>
      </c>
      <c r="G22" s="219"/>
      <c r="H22" s="220"/>
      <c r="I22" s="18"/>
      <c r="J22" s="18"/>
      <c r="K22" s="18"/>
      <c r="L22" s="18"/>
      <c r="M22" s="18"/>
      <c r="N22" s="18"/>
      <c r="T22" s="222" t="str">
        <f t="shared" si="2"/>
        <v>Implementation</v>
      </c>
      <c r="U22" s="227" t="str">
        <f t="shared" si="3"/>
        <v>Defect Management</v>
      </c>
      <c r="V22" s="218">
        <v>0</v>
      </c>
      <c r="W22" s="218">
        <v>0</v>
      </c>
      <c r="X22" s="218">
        <f>C22</f>
        <v>2.5</v>
      </c>
      <c r="Y22" s="218">
        <v>0</v>
      </c>
      <c r="Z22" s="218">
        <v>0</v>
      </c>
    </row>
    <row r="23" spans="1:26" ht="25" customHeight="1">
      <c r="A23" s="224" t="str">
        <f>Interview!$B$145</f>
        <v>Verification</v>
      </c>
      <c r="B23" s="228" t="str">
        <f>Interview!$B$146</f>
        <v>Architecture Assessment</v>
      </c>
      <c r="C23" s="218">
        <f>Interview!$J$147</f>
        <v>0.75</v>
      </c>
      <c r="D23" s="218">
        <f>Interview!H147</f>
        <v>0.25</v>
      </c>
      <c r="E23" s="218">
        <f>Interview!H149</f>
        <v>0.5</v>
      </c>
      <c r="F23" s="218">
        <f>Interview!H151</f>
        <v>0</v>
      </c>
      <c r="G23" s="219">
        <f t="shared" ref="G23:G28" si="4">(((((IF((C23="0+"),0.5,0)+IF((C23=1),1,0))+IF((C23="1+"),1.5,0))+IF((C23=2),2,0))+IF((C23="2+"),2.5,0))+IF((C23=3),3,0))+IF((C23="3+"),3.5,0)</f>
        <v>0</v>
      </c>
      <c r="H23" s="220"/>
      <c r="I23" s="18"/>
      <c r="J23" s="18"/>
      <c r="K23" s="18"/>
      <c r="L23" s="18"/>
      <c r="M23" s="18"/>
      <c r="N23" s="18"/>
      <c r="T23" s="224" t="str">
        <f t="shared" si="2"/>
        <v>Verification</v>
      </c>
      <c r="U23" s="228" t="str">
        <f t="shared" si="3"/>
        <v>Architecture Assessment</v>
      </c>
      <c r="V23" s="218">
        <v>0</v>
      </c>
      <c r="W23" s="218">
        <v>0</v>
      </c>
      <c r="X23" s="218">
        <v>0</v>
      </c>
      <c r="Y23" s="218">
        <f>C23</f>
        <v>0.75</v>
      </c>
      <c r="Z23" s="218">
        <v>0</v>
      </c>
    </row>
    <row r="24" spans="1:26" ht="25" customHeight="1">
      <c r="A24" s="224" t="str">
        <f>Interview!$B$145</f>
        <v>Verification</v>
      </c>
      <c r="B24" s="228" t="str">
        <f>Interview!$B$160</f>
        <v>Requirements Testing</v>
      </c>
      <c r="C24" s="218">
        <f>Interview!$J$161</f>
        <v>0</v>
      </c>
      <c r="D24" s="218">
        <f>Interview!H161</f>
        <v>0</v>
      </c>
      <c r="E24" s="218">
        <f>Interview!H163</f>
        <v>0</v>
      </c>
      <c r="F24" s="218">
        <f>Interview!H165</f>
        <v>0</v>
      </c>
      <c r="G24" s="219">
        <f t="shared" si="4"/>
        <v>0</v>
      </c>
      <c r="H24" s="220"/>
      <c r="I24" s="18"/>
      <c r="J24" s="18"/>
      <c r="K24" s="18"/>
      <c r="L24" s="18"/>
      <c r="M24" s="18"/>
      <c r="N24" s="18"/>
      <c r="T24" s="224" t="str">
        <f t="shared" si="2"/>
        <v>Verification</v>
      </c>
      <c r="U24" s="228" t="str">
        <f t="shared" si="3"/>
        <v>Requirements Testing</v>
      </c>
      <c r="V24" s="218">
        <v>0</v>
      </c>
      <c r="W24" s="218">
        <v>0</v>
      </c>
      <c r="X24" s="218">
        <v>0</v>
      </c>
      <c r="Y24" s="218">
        <f>C24</f>
        <v>0</v>
      </c>
      <c r="Z24" s="218">
        <v>0</v>
      </c>
    </row>
    <row r="25" spans="1:26" ht="25" customHeight="1">
      <c r="A25" s="224" t="str">
        <f>Interview!$B$145</f>
        <v>Verification</v>
      </c>
      <c r="B25" s="228" t="str">
        <f>Interview!$B$174</f>
        <v>Security Testing</v>
      </c>
      <c r="C25" s="218">
        <f>Interview!$J$175</f>
        <v>0.875</v>
      </c>
      <c r="D25" s="218">
        <f>Interview!H175</f>
        <v>0.25</v>
      </c>
      <c r="E25" s="218">
        <f>Interview!H177</f>
        <v>0.5</v>
      </c>
      <c r="F25" s="218">
        <f>Interview!H179</f>
        <v>0.125</v>
      </c>
      <c r="G25" s="219">
        <f t="shared" si="4"/>
        <v>0</v>
      </c>
      <c r="H25" s="220"/>
      <c r="I25" s="18"/>
      <c r="J25" s="18"/>
      <c r="K25" s="18"/>
      <c r="L25" s="18"/>
      <c r="M25" s="18"/>
      <c r="N25" s="18"/>
      <c r="T25" s="224" t="str">
        <f t="shared" si="2"/>
        <v>Verification</v>
      </c>
      <c r="U25" s="228" t="str">
        <f t="shared" si="3"/>
        <v>Security Testing</v>
      </c>
      <c r="V25" s="218">
        <v>0</v>
      </c>
      <c r="W25" s="218">
        <v>0</v>
      </c>
      <c r="X25" s="218">
        <v>0</v>
      </c>
      <c r="Y25" s="218">
        <f>C25</f>
        <v>0.875</v>
      </c>
      <c r="Z25" s="218">
        <v>0</v>
      </c>
    </row>
    <row r="26" spans="1:26" ht="25" customHeight="1">
      <c r="A26" s="225" t="str">
        <f>Interview!$B$188</f>
        <v>Operations</v>
      </c>
      <c r="B26" s="229" t="str">
        <f>Interview!$B$189</f>
        <v>Incident Management</v>
      </c>
      <c r="C26" s="218">
        <f>Interview!$J$190</f>
        <v>0</v>
      </c>
      <c r="D26" s="218">
        <f>Interview!H190</f>
        <v>0</v>
      </c>
      <c r="E26" s="218">
        <f>Interview!H192</f>
        <v>0</v>
      </c>
      <c r="F26" s="218">
        <f>Interview!H194</f>
        <v>0</v>
      </c>
      <c r="G26" s="219">
        <f t="shared" si="4"/>
        <v>0</v>
      </c>
      <c r="H26" s="220"/>
      <c r="I26" s="18"/>
      <c r="J26" s="18"/>
      <c r="K26" s="18"/>
      <c r="L26" s="18"/>
      <c r="M26" s="18"/>
      <c r="N26" s="18"/>
      <c r="T26" s="225" t="str">
        <f t="shared" si="2"/>
        <v>Operations</v>
      </c>
      <c r="U26" s="229" t="str">
        <f t="shared" si="3"/>
        <v>Incident Management</v>
      </c>
      <c r="V26" s="218">
        <v>0</v>
      </c>
      <c r="W26" s="218">
        <v>0</v>
      </c>
      <c r="X26" s="218">
        <v>0</v>
      </c>
      <c r="Y26" s="218">
        <v>0</v>
      </c>
      <c r="Z26" s="218">
        <f>C26</f>
        <v>0</v>
      </c>
    </row>
    <row r="27" spans="1:26" ht="25" customHeight="1">
      <c r="A27" s="225" t="str">
        <f>Interview!$B$188</f>
        <v>Operations</v>
      </c>
      <c r="B27" s="229" t="str">
        <f>Interview!$B$203</f>
        <v>Environment Management</v>
      </c>
      <c r="C27" s="218">
        <f>Interview!$J$204</f>
        <v>0.375</v>
      </c>
      <c r="D27" s="218">
        <f>Interview!H204</f>
        <v>0.25</v>
      </c>
      <c r="E27" s="218">
        <f>Interview!H206</f>
        <v>0.125</v>
      </c>
      <c r="F27" s="218">
        <f>Interview!H208</f>
        <v>0</v>
      </c>
      <c r="G27" s="219">
        <f t="shared" si="4"/>
        <v>0</v>
      </c>
      <c r="H27" s="220"/>
      <c r="I27" s="18"/>
      <c r="J27" s="18"/>
      <c r="K27" s="18"/>
      <c r="L27" s="18"/>
      <c r="M27" s="18"/>
      <c r="N27" s="18"/>
      <c r="T27" s="225" t="str">
        <f t="shared" si="2"/>
        <v>Operations</v>
      </c>
      <c r="U27" s="229" t="str">
        <f t="shared" si="3"/>
        <v>Environment Management</v>
      </c>
      <c r="V27" s="218">
        <v>0</v>
      </c>
      <c r="W27" s="218">
        <v>0</v>
      </c>
      <c r="X27" s="218">
        <v>0</v>
      </c>
      <c r="Y27" s="218">
        <v>0</v>
      </c>
      <c r="Z27" s="218">
        <f>C27</f>
        <v>0.375</v>
      </c>
    </row>
    <row r="28" spans="1:26" ht="25" customHeight="1">
      <c r="A28" s="225" t="str">
        <f>Interview!$B$188</f>
        <v>Operations</v>
      </c>
      <c r="B28" s="229" t="str">
        <f>Interview!$B$217</f>
        <v>Operational Management</v>
      </c>
      <c r="C28" s="218">
        <f>Interview!$J$218</f>
        <v>0</v>
      </c>
      <c r="D28" s="218">
        <f>Interview!H218</f>
        <v>0</v>
      </c>
      <c r="E28" s="218">
        <f>Interview!H220</f>
        <v>0</v>
      </c>
      <c r="F28" s="218">
        <f>Interview!H222</f>
        <v>0</v>
      </c>
      <c r="G28" s="219">
        <f t="shared" si="4"/>
        <v>0</v>
      </c>
      <c r="H28" s="220"/>
      <c r="I28" s="18"/>
      <c r="J28" s="18"/>
      <c r="K28" s="18"/>
      <c r="L28" s="18"/>
      <c r="M28" s="18"/>
      <c r="N28" s="18"/>
      <c r="T28" s="225" t="str">
        <f t="shared" si="2"/>
        <v>Operations</v>
      </c>
      <c r="U28" s="229" t="str">
        <f t="shared" si="3"/>
        <v>Operational Management</v>
      </c>
      <c r="V28" s="218">
        <v>0</v>
      </c>
      <c r="W28" s="218">
        <v>0</v>
      </c>
      <c r="X28" s="218">
        <v>0</v>
      </c>
      <c r="Y28" s="218">
        <v>0</v>
      </c>
      <c r="Z28" s="218">
        <f>C28</f>
        <v>0</v>
      </c>
    </row>
    <row r="29" spans="1:26" ht="12.75" customHeight="1">
      <c r="A29" s="211"/>
      <c r="B29" s="211"/>
      <c r="C29" s="211"/>
      <c r="D29" s="211"/>
      <c r="E29" s="211"/>
      <c r="F29" s="211"/>
      <c r="G29" s="18"/>
      <c r="H29" s="18"/>
      <c r="I29" s="18"/>
      <c r="J29" s="18"/>
      <c r="K29" s="18"/>
      <c r="L29" s="18"/>
      <c r="M29" s="18"/>
      <c r="N29" s="18"/>
    </row>
    <row r="30" spans="1:26" ht="12.75" customHeight="1">
      <c r="K30" s="18"/>
    </row>
    <row r="31" spans="1:26" ht="25" customHeight="1">
      <c r="A31" s="468" t="s">
        <v>201</v>
      </c>
      <c r="B31" s="468"/>
      <c r="C31" s="468"/>
      <c r="D31" s="468"/>
      <c r="E31" s="468"/>
      <c r="F31" s="468"/>
      <c r="G31" s="468"/>
      <c r="H31" s="468"/>
      <c r="I31" s="468"/>
      <c r="J31" s="468"/>
      <c r="K31" s="18"/>
      <c r="L31" s="468" t="s">
        <v>201</v>
      </c>
      <c r="M31" s="468"/>
      <c r="N31" s="468"/>
      <c r="O31" s="468"/>
      <c r="P31" s="468"/>
      <c r="Q31" s="468"/>
      <c r="R31" s="468"/>
      <c r="T31" s="469" t="s">
        <v>201</v>
      </c>
      <c r="U31" s="469"/>
      <c r="V31" s="469"/>
      <c r="W31" s="469"/>
      <c r="X31" s="469"/>
      <c r="Y31" s="469"/>
      <c r="Z31" s="469"/>
    </row>
    <row r="32" spans="1:26" ht="12" customHeight="1">
      <c r="A32" s="210"/>
      <c r="B32" s="210"/>
      <c r="C32" s="210"/>
      <c r="D32" s="467" t="s">
        <v>196</v>
      </c>
      <c r="E32" s="467"/>
      <c r="F32" s="467"/>
      <c r="G32" s="18"/>
      <c r="H32" s="18"/>
      <c r="I32" s="18"/>
      <c r="J32" s="18"/>
      <c r="K32" s="18"/>
      <c r="L32" s="18"/>
      <c r="M32" s="18"/>
      <c r="N32" s="18"/>
    </row>
    <row r="33" spans="1:26" ht="25" customHeight="1">
      <c r="A33" s="213" t="s">
        <v>197</v>
      </c>
      <c r="B33" s="213" t="s">
        <v>198</v>
      </c>
      <c r="C33" s="213" t="s">
        <v>199</v>
      </c>
      <c r="D33" s="214">
        <v>1</v>
      </c>
      <c r="E33" s="214">
        <v>2</v>
      </c>
      <c r="F33" s="214">
        <v>3</v>
      </c>
      <c r="G33" s="215" t="s">
        <v>200</v>
      </c>
      <c r="H33" s="18"/>
      <c r="I33" s="213" t="s">
        <v>197</v>
      </c>
      <c r="J33" s="213" t="s">
        <v>199</v>
      </c>
      <c r="K33" s="18"/>
      <c r="L33" s="18"/>
      <c r="M33" s="18"/>
      <c r="N33" s="18"/>
      <c r="V33" t="str">
        <f>T34</f>
        <v>Governance</v>
      </c>
      <c r="W33" t="str">
        <f>T37</f>
        <v>Design</v>
      </c>
      <c r="X33" t="str">
        <f>T40</f>
        <v>Implementation</v>
      </c>
      <c r="Y33" t="str">
        <f>T43</f>
        <v>Verification</v>
      </c>
      <c r="Z33" t="str">
        <f>T46</f>
        <v>Operations</v>
      </c>
    </row>
    <row r="34" spans="1:26" ht="25" customHeight="1">
      <c r="A34" s="216" t="str">
        <f>Interview!$B$16</f>
        <v>Governance</v>
      </c>
      <c r="B34" s="217" t="str">
        <f>Interview!$D$17</f>
        <v>Strategy &amp; Metrics</v>
      </c>
      <c r="C34" s="218">
        <f>Roadmap!M18</f>
        <v>1.25</v>
      </c>
      <c r="D34" s="218">
        <f>Roadmap!L18</f>
        <v>0.75</v>
      </c>
      <c r="E34" s="218">
        <f>Roadmap!L19</f>
        <v>0.25</v>
      </c>
      <c r="F34" s="218">
        <f>Roadmap!L20</f>
        <v>0.25</v>
      </c>
      <c r="G34" s="219">
        <f t="shared" ref="G34:G39" si="5">(((((IF((C34="0+"),0.5,0)+IF((C34=1),1,0))+IF((C34="1+"),1.5,0))+IF((C34=2),2,0))+IF((C34="2+"),2.5,0))+IF((C34=3),3,0))+IF((C34="3+"),3.5,0)</f>
        <v>0</v>
      </c>
      <c r="H34" s="220"/>
      <c r="I34" s="216" t="str">
        <f>A34</f>
        <v>Governance</v>
      </c>
      <c r="J34" s="218">
        <f>AVERAGE(C34:C36)</f>
        <v>1.5833333333333333</v>
      </c>
      <c r="K34" s="18"/>
      <c r="L34" s="18"/>
      <c r="M34" s="18"/>
      <c r="N34" s="18"/>
      <c r="T34" s="216" t="str">
        <f>Interview!$B$16</f>
        <v>Governance</v>
      </c>
      <c r="U34" s="217" t="str">
        <f>Interview!$D$17</f>
        <v>Strategy &amp; Metrics</v>
      </c>
      <c r="V34" s="218">
        <f>C34</f>
        <v>1.25</v>
      </c>
      <c r="W34" s="218">
        <v>0</v>
      </c>
      <c r="X34" s="218">
        <v>0</v>
      </c>
      <c r="Y34" s="218">
        <v>0</v>
      </c>
      <c r="Z34" s="218">
        <v>0</v>
      </c>
    </row>
    <row r="35" spans="1:26" ht="25" customHeight="1">
      <c r="A35" s="216" t="str">
        <f>Interview!$B$16</f>
        <v>Governance</v>
      </c>
      <c r="B35" s="217" t="str">
        <f>Interview!$B$31</f>
        <v>Policy &amp; Compliance</v>
      </c>
      <c r="C35" s="218">
        <f>Roadmap!M27</f>
        <v>1.375</v>
      </c>
      <c r="D35" s="218">
        <f>Roadmap!L27</f>
        <v>0.5</v>
      </c>
      <c r="E35" s="218">
        <f>Roadmap!L28</f>
        <v>0.375</v>
      </c>
      <c r="F35" s="218">
        <f>Roadmap!L29</f>
        <v>0.5</v>
      </c>
      <c r="G35" s="219">
        <f t="shared" si="5"/>
        <v>0</v>
      </c>
      <c r="H35" s="220"/>
      <c r="I35" s="221" t="str">
        <f>A37</f>
        <v>Design</v>
      </c>
      <c r="J35" s="218">
        <f>AVERAGE(C37:C39)</f>
        <v>2.125</v>
      </c>
      <c r="K35" s="18"/>
      <c r="L35" s="18"/>
      <c r="M35" s="18"/>
      <c r="N35" s="18"/>
      <c r="T35" s="216" t="str">
        <f>Interview!$B$16</f>
        <v>Governance</v>
      </c>
      <c r="U35" s="217" t="str">
        <f>Interview!$B$31</f>
        <v>Policy &amp; Compliance</v>
      </c>
      <c r="V35" s="218">
        <f>C35</f>
        <v>1.375</v>
      </c>
      <c r="W35" s="218">
        <v>0</v>
      </c>
      <c r="X35" s="218">
        <v>0</v>
      </c>
      <c r="Y35" s="218">
        <v>0</v>
      </c>
      <c r="Z35" s="218">
        <v>0</v>
      </c>
    </row>
    <row r="36" spans="1:26" ht="25" customHeight="1">
      <c r="A36" s="216" t="str">
        <f>Interview!$B$16</f>
        <v>Governance</v>
      </c>
      <c r="B36" s="217" t="str">
        <f>Interview!$B$45</f>
        <v>Education &amp; Guidance</v>
      </c>
      <c r="C36" s="218">
        <f>Roadmap!M36</f>
        <v>2.125</v>
      </c>
      <c r="D36" s="218">
        <f>Roadmap!L36</f>
        <v>0.625</v>
      </c>
      <c r="E36" s="218">
        <f>Roadmap!L37</f>
        <v>0.75</v>
      </c>
      <c r="F36" s="218">
        <f>Roadmap!L38</f>
        <v>0.75</v>
      </c>
      <c r="G36" s="219">
        <f t="shared" si="5"/>
        <v>0</v>
      </c>
      <c r="H36" s="220"/>
      <c r="I36" s="222" t="str">
        <f>A40</f>
        <v>Implementation</v>
      </c>
      <c r="J36" s="218">
        <f>AVERAGE(C40:C42)</f>
        <v>0</v>
      </c>
      <c r="K36" s="18"/>
      <c r="L36" s="18"/>
      <c r="M36" s="18"/>
      <c r="N36" s="18"/>
      <c r="T36" s="216" t="str">
        <f>Interview!$B$16</f>
        <v>Governance</v>
      </c>
      <c r="U36" s="217" t="str">
        <f>Interview!$B$45</f>
        <v>Education &amp; Guidance</v>
      </c>
      <c r="V36" s="218">
        <f>C36</f>
        <v>2.125</v>
      </c>
      <c r="W36" s="218">
        <v>0</v>
      </c>
      <c r="X36" s="218">
        <v>0</v>
      </c>
      <c r="Y36" s="218">
        <v>0</v>
      </c>
      <c r="Z36" s="218">
        <v>0</v>
      </c>
    </row>
    <row r="37" spans="1:26" ht="25" customHeight="1">
      <c r="A37" s="221" t="str">
        <f>Interview!$B$59</f>
        <v>Design</v>
      </c>
      <c r="B37" s="223" t="str">
        <f>Interview!$B$60</f>
        <v>Threat Assessment</v>
      </c>
      <c r="C37" s="218">
        <f>Roadmap!M46</f>
        <v>2.25</v>
      </c>
      <c r="D37" s="218">
        <f>Roadmap!L46</f>
        <v>1</v>
      </c>
      <c r="E37" s="218">
        <f>Roadmap!L47</f>
        <v>1</v>
      </c>
      <c r="F37" s="218">
        <f>Roadmap!L48</f>
        <v>0.25</v>
      </c>
      <c r="G37" s="219">
        <f t="shared" si="5"/>
        <v>0</v>
      </c>
      <c r="H37" s="220"/>
      <c r="I37" s="224" t="str">
        <f>A43</f>
        <v>Verification</v>
      </c>
      <c r="J37" s="218">
        <f>AVERAGE(C43:C45)</f>
        <v>0.54166666666666663</v>
      </c>
      <c r="K37" s="18"/>
      <c r="L37" s="18"/>
      <c r="M37" s="18"/>
      <c r="N37" s="18"/>
      <c r="T37" s="221" t="str">
        <f>Interview!$B$59</f>
        <v>Design</v>
      </c>
      <c r="U37" s="223" t="str">
        <f>Interview!$B$60</f>
        <v>Threat Assessment</v>
      </c>
      <c r="V37" s="218">
        <v>0</v>
      </c>
      <c r="W37" s="218">
        <f>C37</f>
        <v>2.25</v>
      </c>
      <c r="X37" s="218">
        <v>0</v>
      </c>
      <c r="Y37" s="218">
        <v>0</v>
      </c>
      <c r="Z37" s="218">
        <v>0</v>
      </c>
    </row>
    <row r="38" spans="1:26" ht="25" customHeight="1">
      <c r="A38" s="221" t="str">
        <f>Interview!$B$59</f>
        <v>Design</v>
      </c>
      <c r="B38" s="223" t="str">
        <f>Interview!$B$74</f>
        <v>Security Requirements</v>
      </c>
      <c r="C38" s="218">
        <f>Roadmap!M55</f>
        <v>2.25</v>
      </c>
      <c r="D38" s="218">
        <f>Roadmap!L55</f>
        <v>1</v>
      </c>
      <c r="E38" s="218">
        <f>Roadmap!L56</f>
        <v>0.625</v>
      </c>
      <c r="F38" s="218">
        <f>Roadmap!L57</f>
        <v>0.625</v>
      </c>
      <c r="G38" s="219">
        <f t="shared" si="5"/>
        <v>0</v>
      </c>
      <c r="H38" s="220"/>
      <c r="I38" s="225" t="str">
        <f>A46</f>
        <v>Operations</v>
      </c>
      <c r="J38" s="218">
        <f>AVERAGE(C46:C48)</f>
        <v>0.125</v>
      </c>
      <c r="K38" s="18"/>
      <c r="L38" s="18"/>
      <c r="M38" s="18"/>
      <c r="N38" s="18"/>
      <c r="T38" s="221" t="str">
        <f>Interview!$B$59</f>
        <v>Design</v>
      </c>
      <c r="U38" s="223" t="str">
        <f>Interview!$B$74</f>
        <v>Security Requirements</v>
      </c>
      <c r="V38" s="218">
        <v>0</v>
      </c>
      <c r="W38" s="218">
        <f>C38</f>
        <v>2.25</v>
      </c>
      <c r="X38" s="218">
        <v>0</v>
      </c>
      <c r="Y38" s="218">
        <v>0</v>
      </c>
      <c r="Z38" s="218">
        <v>0</v>
      </c>
    </row>
    <row r="39" spans="1:26" ht="25" customHeight="1">
      <c r="A39" s="221" t="str">
        <f>Interview!$B$59</f>
        <v>Design</v>
      </c>
      <c r="B39" s="223" t="str">
        <f>Interview!$B$88</f>
        <v>Secure Architecture</v>
      </c>
      <c r="C39" s="218">
        <f>Roadmap!M64</f>
        <v>1.875</v>
      </c>
      <c r="D39" s="218">
        <f>Roadmap!L64</f>
        <v>1</v>
      </c>
      <c r="E39" s="218">
        <f>Roadmap!L65</f>
        <v>0.375</v>
      </c>
      <c r="F39" s="218">
        <f>Roadmap!L66</f>
        <v>0.5</v>
      </c>
      <c r="G39" s="219">
        <f t="shared" si="5"/>
        <v>0</v>
      </c>
      <c r="H39" s="220"/>
      <c r="I39" s="18"/>
      <c r="J39" s="18"/>
      <c r="K39" s="18"/>
      <c r="L39" s="18"/>
      <c r="M39" s="18"/>
      <c r="N39" s="18"/>
      <c r="T39" s="221" t="str">
        <f>Interview!$B$59</f>
        <v>Design</v>
      </c>
      <c r="U39" s="223" t="str">
        <f>Interview!$B$88</f>
        <v>Secure Architecture</v>
      </c>
      <c r="V39" s="218">
        <v>0</v>
      </c>
      <c r="W39" s="218">
        <f>C39</f>
        <v>1.875</v>
      </c>
      <c r="X39" s="218">
        <v>0</v>
      </c>
      <c r="Y39" s="218">
        <v>0</v>
      </c>
      <c r="Z39" s="218">
        <v>0</v>
      </c>
    </row>
    <row r="40" spans="1:26" ht="25" customHeight="1">
      <c r="A40" s="222" t="str">
        <f>Interview!$B$102</f>
        <v>Implementation</v>
      </c>
      <c r="B40" s="226" t="str">
        <f>Interview!$B$103</f>
        <v>Secure Build</v>
      </c>
      <c r="C40" s="218">
        <f>Roadmap!M74</f>
        <v>0</v>
      </c>
      <c r="D40" s="218">
        <f>Roadmap!L74</f>
        <v>0</v>
      </c>
      <c r="E40" s="218">
        <f>Roadmap!L75</f>
        <v>0</v>
      </c>
      <c r="F40" s="218">
        <f>Roadmap!L76</f>
        <v>0</v>
      </c>
      <c r="G40" s="219"/>
      <c r="H40" s="220"/>
      <c r="I40" s="18"/>
      <c r="J40" s="18"/>
      <c r="K40" s="18"/>
      <c r="L40" s="18"/>
      <c r="M40" s="18"/>
      <c r="N40" s="18"/>
      <c r="T40" s="222" t="str">
        <f>Interview!$B$102</f>
        <v>Implementation</v>
      </c>
      <c r="U40" s="226" t="str">
        <f>Interview!$B$103</f>
        <v>Secure Build</v>
      </c>
      <c r="V40" s="218">
        <v>0</v>
      </c>
      <c r="W40" s="218">
        <v>0</v>
      </c>
      <c r="X40" s="218">
        <f>C40</f>
        <v>0</v>
      </c>
      <c r="Y40" s="218">
        <v>0</v>
      </c>
      <c r="Z40" s="218">
        <v>0</v>
      </c>
    </row>
    <row r="41" spans="1:26" ht="25" customHeight="1">
      <c r="A41" s="222" t="str">
        <f>Interview!$B$102</f>
        <v>Implementation</v>
      </c>
      <c r="B41" s="226" t="str">
        <f>Interview!$B$117</f>
        <v>Secure Deployment</v>
      </c>
      <c r="C41" s="218">
        <f>Roadmap!M83</f>
        <v>0</v>
      </c>
      <c r="D41" s="218">
        <f>Roadmap!L83</f>
        <v>0</v>
      </c>
      <c r="E41" s="218">
        <f>Roadmap!L84</f>
        <v>0</v>
      </c>
      <c r="F41" s="218">
        <f>Roadmap!L85</f>
        <v>0</v>
      </c>
      <c r="G41" s="219"/>
      <c r="H41" s="220"/>
      <c r="I41" s="18"/>
      <c r="J41" s="18"/>
      <c r="K41" s="18"/>
      <c r="L41" s="18"/>
      <c r="M41" s="18"/>
      <c r="N41" s="18"/>
      <c r="T41" s="222" t="str">
        <f>Interview!$B$102</f>
        <v>Implementation</v>
      </c>
      <c r="U41" s="226" t="str">
        <f>Interview!$B$117</f>
        <v>Secure Deployment</v>
      </c>
      <c r="V41" s="218">
        <v>0</v>
      </c>
      <c r="W41" s="218">
        <v>0</v>
      </c>
      <c r="X41" s="218">
        <f>C41</f>
        <v>0</v>
      </c>
      <c r="Y41" s="218">
        <v>0</v>
      </c>
      <c r="Z41" s="218">
        <v>0</v>
      </c>
    </row>
    <row r="42" spans="1:26" ht="25" customHeight="1">
      <c r="A42" s="222" t="str">
        <f>Interview!$B$102</f>
        <v>Implementation</v>
      </c>
      <c r="B42" s="226" t="str">
        <f>Interview!$B$131</f>
        <v>Defect Management</v>
      </c>
      <c r="C42" s="218">
        <f>Roadmap!M92</f>
        <v>0</v>
      </c>
      <c r="D42" s="218">
        <f>Roadmap!L92</f>
        <v>0</v>
      </c>
      <c r="E42" s="218">
        <f>Roadmap!L93</f>
        <v>0</v>
      </c>
      <c r="F42" s="218">
        <f>Roadmap!L94</f>
        <v>0</v>
      </c>
      <c r="G42" s="219"/>
      <c r="H42" s="220"/>
      <c r="I42" s="18"/>
      <c r="J42" s="18"/>
      <c r="K42" s="18"/>
      <c r="L42" s="18"/>
      <c r="M42" s="18"/>
      <c r="N42" s="18"/>
      <c r="T42" s="222" t="str">
        <f>Interview!$B$102</f>
        <v>Implementation</v>
      </c>
      <c r="U42" s="226" t="str">
        <f>Interview!$B$131</f>
        <v>Defect Management</v>
      </c>
      <c r="V42" s="218">
        <v>0</v>
      </c>
      <c r="W42" s="218">
        <v>0</v>
      </c>
      <c r="X42" s="218">
        <f>C42</f>
        <v>0</v>
      </c>
      <c r="Y42" s="218">
        <v>0</v>
      </c>
      <c r="Z42" s="218">
        <v>0</v>
      </c>
    </row>
    <row r="43" spans="1:26" ht="25" customHeight="1">
      <c r="A43" s="224" t="str">
        <f>Interview!$B$145</f>
        <v>Verification</v>
      </c>
      <c r="B43" s="228" t="str">
        <f>Interview!$B$146</f>
        <v>Architecture Assessment</v>
      </c>
      <c r="C43" s="218">
        <f>Roadmap!M102</f>
        <v>0.75</v>
      </c>
      <c r="D43" s="218">
        <f>Roadmap!L102</f>
        <v>0.25</v>
      </c>
      <c r="E43" s="218">
        <f>Roadmap!L103</f>
        <v>0.5</v>
      </c>
      <c r="F43" s="218">
        <f>Roadmap!L104</f>
        <v>0</v>
      </c>
      <c r="G43" s="219">
        <f t="shared" ref="G43:G48" si="6">(((((IF((C43="0+"),0.5,0)+IF((C43=1),1,0))+IF((C43="1+"),1.5,0))+IF((C43=2),2,0))+IF((C43="2+"),2.5,0))+IF((C43=3),3,0))+IF((C43="3+"),3.5,0)</f>
        <v>0</v>
      </c>
      <c r="H43" s="220"/>
      <c r="I43" s="18"/>
      <c r="J43" s="18"/>
      <c r="K43" s="18"/>
      <c r="L43" s="18"/>
      <c r="M43" s="18"/>
      <c r="N43" s="18"/>
      <c r="T43" s="224" t="str">
        <f>Interview!$B$145</f>
        <v>Verification</v>
      </c>
      <c r="U43" s="228" t="str">
        <f>Interview!$B$146</f>
        <v>Architecture Assessment</v>
      </c>
      <c r="V43" s="218">
        <v>0</v>
      </c>
      <c r="W43" s="218">
        <v>0</v>
      </c>
      <c r="X43" s="218">
        <v>0</v>
      </c>
      <c r="Y43" s="218">
        <f>C43</f>
        <v>0.75</v>
      </c>
      <c r="Z43" s="218">
        <v>0</v>
      </c>
    </row>
    <row r="44" spans="1:26" ht="25" customHeight="1">
      <c r="A44" s="224" t="str">
        <f>Interview!$B$145</f>
        <v>Verification</v>
      </c>
      <c r="B44" s="228" t="str">
        <f>Interview!$B$160</f>
        <v>Requirements Testing</v>
      </c>
      <c r="C44" s="218">
        <f>Roadmap!M111</f>
        <v>0</v>
      </c>
      <c r="D44" s="218">
        <f>Roadmap!L111</f>
        <v>0</v>
      </c>
      <c r="E44" s="218">
        <f>Roadmap!L112</f>
        <v>0</v>
      </c>
      <c r="F44" s="218">
        <f>Roadmap!L113</f>
        <v>0</v>
      </c>
      <c r="G44" s="219">
        <f t="shared" si="6"/>
        <v>0</v>
      </c>
      <c r="H44" s="220"/>
      <c r="I44" s="18"/>
      <c r="J44" s="18"/>
      <c r="K44" s="18"/>
      <c r="L44" s="18"/>
      <c r="M44" s="18"/>
      <c r="N44" s="18"/>
      <c r="T44" s="224" t="str">
        <f>Interview!$B$145</f>
        <v>Verification</v>
      </c>
      <c r="U44" s="228" t="str">
        <f>Interview!$B$160</f>
        <v>Requirements Testing</v>
      </c>
      <c r="V44" s="218">
        <v>0</v>
      </c>
      <c r="W44" s="218">
        <v>0</v>
      </c>
      <c r="X44" s="218">
        <v>0</v>
      </c>
      <c r="Y44" s="218">
        <f>C44</f>
        <v>0</v>
      </c>
      <c r="Z44" s="218">
        <v>0</v>
      </c>
    </row>
    <row r="45" spans="1:26" ht="25" customHeight="1">
      <c r="A45" s="224" t="str">
        <f>Interview!$B$145</f>
        <v>Verification</v>
      </c>
      <c r="B45" s="228" t="str">
        <f>Interview!$B$174</f>
        <v>Security Testing</v>
      </c>
      <c r="C45" s="218">
        <f>Roadmap!M120</f>
        <v>0.875</v>
      </c>
      <c r="D45" s="218">
        <f>Roadmap!L120</f>
        <v>0.25</v>
      </c>
      <c r="E45" s="218">
        <f>Roadmap!L121</f>
        <v>0.5</v>
      </c>
      <c r="F45" s="218">
        <f>Roadmap!L122</f>
        <v>0.125</v>
      </c>
      <c r="G45" s="219">
        <f t="shared" si="6"/>
        <v>0</v>
      </c>
      <c r="H45" s="220"/>
      <c r="I45" s="18"/>
      <c r="J45" s="18"/>
      <c r="K45" s="18"/>
      <c r="L45" s="18"/>
      <c r="M45" s="18"/>
      <c r="N45" s="18"/>
      <c r="T45" s="224" t="str">
        <f>Interview!$B$145</f>
        <v>Verification</v>
      </c>
      <c r="U45" s="228" t="str">
        <f>Interview!$B$174</f>
        <v>Security Testing</v>
      </c>
      <c r="V45" s="218">
        <v>0</v>
      </c>
      <c r="W45" s="218">
        <v>0</v>
      </c>
      <c r="X45" s="218">
        <v>0</v>
      </c>
      <c r="Y45" s="218">
        <f>C45</f>
        <v>0.875</v>
      </c>
      <c r="Z45" s="218">
        <v>0</v>
      </c>
    </row>
    <row r="46" spans="1:26" ht="25" customHeight="1">
      <c r="A46" s="225" t="str">
        <f>Interview!$B$188</f>
        <v>Operations</v>
      </c>
      <c r="B46" s="229" t="str">
        <f>Interview!$B$189</f>
        <v>Incident Management</v>
      </c>
      <c r="C46" s="218">
        <f>Roadmap!M130</f>
        <v>0</v>
      </c>
      <c r="D46" s="218">
        <f>Roadmap!L130</f>
        <v>0</v>
      </c>
      <c r="E46" s="218">
        <f>Roadmap!L131</f>
        <v>0</v>
      </c>
      <c r="F46" s="218">
        <f>Roadmap!L132</f>
        <v>0</v>
      </c>
      <c r="G46" s="219">
        <f t="shared" si="6"/>
        <v>0</v>
      </c>
      <c r="H46" s="220"/>
      <c r="I46" s="18"/>
      <c r="J46" s="18"/>
      <c r="K46" s="18"/>
      <c r="L46" s="18"/>
      <c r="M46" s="18"/>
      <c r="N46" s="18"/>
      <c r="T46" s="225" t="str">
        <f>Interview!$B$188</f>
        <v>Operations</v>
      </c>
      <c r="U46" s="229" t="str">
        <f>Interview!$B$189</f>
        <v>Incident Management</v>
      </c>
      <c r="V46" s="218">
        <v>0</v>
      </c>
      <c r="W46" s="218">
        <v>0</v>
      </c>
      <c r="X46" s="218">
        <v>0</v>
      </c>
      <c r="Y46" s="218">
        <v>0</v>
      </c>
      <c r="Z46" s="218">
        <f>C46</f>
        <v>0</v>
      </c>
    </row>
    <row r="47" spans="1:26" ht="25" customHeight="1">
      <c r="A47" s="225" t="str">
        <f>Interview!$B$188</f>
        <v>Operations</v>
      </c>
      <c r="B47" s="229" t="str">
        <f>Interview!$B$203</f>
        <v>Environment Management</v>
      </c>
      <c r="C47" s="218">
        <f>Roadmap!M139</f>
        <v>0.375</v>
      </c>
      <c r="D47" s="218">
        <f>Roadmap!L139</f>
        <v>0.25</v>
      </c>
      <c r="E47" s="218">
        <f>Roadmap!L140</f>
        <v>0.125</v>
      </c>
      <c r="F47" s="218">
        <f>Roadmap!L141</f>
        <v>0</v>
      </c>
      <c r="G47" s="219">
        <f t="shared" si="6"/>
        <v>0</v>
      </c>
      <c r="H47" s="220"/>
      <c r="I47" s="18"/>
      <c r="J47" s="18"/>
      <c r="K47" s="18"/>
      <c r="L47" s="18"/>
      <c r="M47" s="18"/>
      <c r="N47" s="18"/>
      <c r="T47" s="225" t="str">
        <f>Interview!$B$188</f>
        <v>Operations</v>
      </c>
      <c r="U47" s="229" t="str">
        <f>Interview!$B$203</f>
        <v>Environment Management</v>
      </c>
      <c r="V47" s="218">
        <v>0</v>
      </c>
      <c r="W47" s="218">
        <v>0</v>
      </c>
      <c r="X47" s="218">
        <v>0</v>
      </c>
      <c r="Y47" s="218">
        <v>0</v>
      </c>
      <c r="Z47" s="218">
        <f>C47</f>
        <v>0.375</v>
      </c>
    </row>
    <row r="48" spans="1:26" ht="25" customHeight="1">
      <c r="A48" s="225" t="str">
        <f>Interview!$B$188</f>
        <v>Operations</v>
      </c>
      <c r="B48" s="229" t="str">
        <f>Interview!$B$217</f>
        <v>Operational Management</v>
      </c>
      <c r="C48" s="218">
        <f>Roadmap!M148</f>
        <v>0</v>
      </c>
      <c r="D48" s="218">
        <f>Roadmap!L148</f>
        <v>0</v>
      </c>
      <c r="E48" s="218">
        <f>Roadmap!L149</f>
        <v>0</v>
      </c>
      <c r="F48" s="218">
        <f>Roadmap!L150</f>
        <v>0</v>
      </c>
      <c r="G48" s="219">
        <f t="shared" si="6"/>
        <v>0</v>
      </c>
      <c r="H48" s="220"/>
      <c r="I48" s="18"/>
      <c r="J48" s="18"/>
      <c r="K48" s="18"/>
      <c r="L48" s="18"/>
      <c r="M48" s="18"/>
      <c r="N48" s="18"/>
      <c r="T48" s="225" t="str">
        <f>Interview!$B$188</f>
        <v>Operations</v>
      </c>
      <c r="U48" s="229" t="str">
        <f>Interview!$B$217</f>
        <v>Operational Management</v>
      </c>
      <c r="V48" s="218">
        <v>0</v>
      </c>
      <c r="W48" s="218">
        <v>0</v>
      </c>
      <c r="X48" s="218">
        <v>0</v>
      </c>
      <c r="Y48" s="218">
        <v>0</v>
      </c>
      <c r="Z48" s="218">
        <f>C48</f>
        <v>0</v>
      </c>
    </row>
    <row r="49" spans="1:26" ht="12.75" customHeight="1">
      <c r="A49" s="18"/>
      <c r="B49" s="18"/>
      <c r="C49" s="18"/>
      <c r="D49" s="18"/>
      <c r="E49" s="18"/>
      <c r="F49" s="18"/>
      <c r="G49" s="18"/>
      <c r="H49" s="18"/>
      <c r="I49" s="18"/>
      <c r="J49" s="18"/>
      <c r="K49" s="18"/>
      <c r="L49" s="18"/>
      <c r="M49" s="18"/>
      <c r="N49" s="18"/>
    </row>
    <row r="50" spans="1:26" ht="12.75" customHeight="1">
      <c r="K50" s="18"/>
    </row>
    <row r="51" spans="1:26" ht="25" customHeight="1">
      <c r="A51" s="468" t="s">
        <v>202</v>
      </c>
      <c r="B51" s="468"/>
      <c r="C51" s="468"/>
      <c r="D51" s="468"/>
      <c r="E51" s="468"/>
      <c r="F51" s="468"/>
      <c r="G51" s="468"/>
      <c r="H51" s="468"/>
      <c r="I51" s="468"/>
      <c r="J51" s="468"/>
      <c r="K51" s="18"/>
      <c r="L51" s="468" t="s">
        <v>202</v>
      </c>
      <c r="M51" s="468"/>
      <c r="N51" s="468"/>
      <c r="O51" s="468"/>
      <c r="P51" s="468"/>
      <c r="Q51" s="468"/>
      <c r="R51" s="468"/>
      <c r="T51" s="469" t="s">
        <v>202</v>
      </c>
      <c r="U51" s="469"/>
      <c r="V51" s="469"/>
      <c r="W51" s="469"/>
      <c r="X51" s="469"/>
      <c r="Y51" s="469"/>
      <c r="Z51" s="469"/>
    </row>
    <row r="52" spans="1:26" ht="12" customHeight="1">
      <c r="A52" s="210"/>
      <c r="B52" s="210"/>
      <c r="C52" s="210"/>
      <c r="D52" s="467" t="s">
        <v>196</v>
      </c>
      <c r="E52" s="467"/>
      <c r="F52" s="467"/>
      <c r="G52" s="18"/>
      <c r="H52" s="18"/>
      <c r="I52" s="18"/>
      <c r="J52" s="18"/>
      <c r="K52" s="18"/>
      <c r="L52" s="18"/>
      <c r="M52" s="18"/>
      <c r="N52" s="18"/>
    </row>
    <row r="53" spans="1:26" ht="25" customHeight="1">
      <c r="A53" s="213" t="s">
        <v>197</v>
      </c>
      <c r="B53" s="213" t="s">
        <v>198</v>
      </c>
      <c r="C53" s="213" t="s">
        <v>199</v>
      </c>
      <c r="D53" s="214">
        <v>1</v>
      </c>
      <c r="E53" s="214">
        <v>2</v>
      </c>
      <c r="F53" s="214">
        <v>3</v>
      </c>
      <c r="G53" s="215" t="s">
        <v>200</v>
      </c>
      <c r="H53" s="18"/>
      <c r="I53" s="213" t="s">
        <v>197</v>
      </c>
      <c r="J53" s="213" t="s">
        <v>199</v>
      </c>
      <c r="K53" s="18"/>
      <c r="L53" s="18"/>
      <c r="M53" s="18"/>
      <c r="N53" s="18"/>
      <c r="V53" t="str">
        <f>T54</f>
        <v>Governance</v>
      </c>
      <c r="W53" t="str">
        <f>T57</f>
        <v>Design</v>
      </c>
      <c r="X53" t="str">
        <f>T60</f>
        <v>Implementation</v>
      </c>
      <c r="Y53" t="str">
        <f>T63</f>
        <v>Verification</v>
      </c>
      <c r="Z53" t="str">
        <f>T66</f>
        <v>Operations</v>
      </c>
    </row>
    <row r="54" spans="1:26" ht="25" customHeight="1">
      <c r="A54" s="216" t="str">
        <f>Interview!$B$16</f>
        <v>Governance</v>
      </c>
      <c r="B54" s="217" t="str">
        <f>Interview!$D$17</f>
        <v>Strategy &amp; Metrics</v>
      </c>
      <c r="C54" s="218">
        <f>Roadmap!Q18</f>
        <v>1.25</v>
      </c>
      <c r="D54" s="218">
        <f>Roadmap!P18</f>
        <v>0.75</v>
      </c>
      <c r="E54" s="218">
        <f>Roadmap!P19</f>
        <v>0.25</v>
      </c>
      <c r="F54" s="218">
        <f>Roadmap!P20</f>
        <v>0.25</v>
      </c>
      <c r="G54" s="219">
        <f t="shared" ref="G54:G59" si="7">(((((IF((C54="0+"),0.5,0)+IF((C54=1),1,0))+IF((C54="1+"),1.5,0))+IF((C54=2),2,0))+IF((C54="2+"),2.5,0))+IF((C54=3),3,0))+IF((C54="3+"),3.5,0)</f>
        <v>0</v>
      </c>
      <c r="H54" s="220"/>
      <c r="I54" s="216" t="str">
        <f>A54</f>
        <v>Governance</v>
      </c>
      <c r="J54" s="218">
        <f>AVERAGE(C54:C56)</f>
        <v>1.5833333333333333</v>
      </c>
      <c r="K54" s="18"/>
      <c r="L54" s="18"/>
      <c r="M54" s="18"/>
      <c r="N54" s="18"/>
      <c r="T54" s="216" t="str">
        <f>Interview!$B$16</f>
        <v>Governance</v>
      </c>
      <c r="U54" s="217" t="str">
        <f>Interview!$D$17</f>
        <v>Strategy &amp; Metrics</v>
      </c>
      <c r="V54" s="218">
        <f>C54</f>
        <v>1.25</v>
      </c>
      <c r="W54" s="218">
        <v>0</v>
      </c>
      <c r="X54" s="218">
        <v>0</v>
      </c>
      <c r="Y54" s="218">
        <v>0</v>
      </c>
      <c r="Z54" s="218">
        <v>0</v>
      </c>
    </row>
    <row r="55" spans="1:26" ht="25" customHeight="1">
      <c r="A55" s="216" t="str">
        <f>Interview!$B$16</f>
        <v>Governance</v>
      </c>
      <c r="B55" s="217" t="str">
        <f>Interview!$B$31</f>
        <v>Policy &amp; Compliance</v>
      </c>
      <c r="C55" s="218">
        <f>Roadmap!Q27</f>
        <v>1.375</v>
      </c>
      <c r="D55" s="218">
        <f>Roadmap!P27</f>
        <v>0.5</v>
      </c>
      <c r="E55" s="218">
        <f>Roadmap!P28</f>
        <v>0.375</v>
      </c>
      <c r="F55" s="218">
        <f>Roadmap!P29</f>
        <v>0.5</v>
      </c>
      <c r="G55" s="219">
        <f t="shared" si="7"/>
        <v>0</v>
      </c>
      <c r="H55" s="220"/>
      <c r="I55" s="221" t="str">
        <f>A57</f>
        <v>Design</v>
      </c>
      <c r="J55" s="218">
        <f>AVERAGE(C57:C59)</f>
        <v>2.125</v>
      </c>
      <c r="K55" s="18"/>
      <c r="L55" s="18"/>
      <c r="M55" s="18"/>
      <c r="N55" s="18"/>
      <c r="T55" s="216" t="str">
        <f>Interview!$B$16</f>
        <v>Governance</v>
      </c>
      <c r="U55" s="217" t="str">
        <f>Interview!$B$31</f>
        <v>Policy &amp; Compliance</v>
      </c>
      <c r="V55" s="218">
        <f>C55</f>
        <v>1.375</v>
      </c>
      <c r="W55" s="218">
        <v>0</v>
      </c>
      <c r="X55" s="218">
        <v>0</v>
      </c>
      <c r="Y55" s="218">
        <v>0</v>
      </c>
      <c r="Z55" s="218">
        <v>0</v>
      </c>
    </row>
    <row r="56" spans="1:26" ht="25" customHeight="1">
      <c r="A56" s="216" t="str">
        <f>Interview!$B$16</f>
        <v>Governance</v>
      </c>
      <c r="B56" s="217" t="str">
        <f>Interview!$B$45</f>
        <v>Education &amp; Guidance</v>
      </c>
      <c r="C56" s="218">
        <f>Roadmap!Q36</f>
        <v>2.125</v>
      </c>
      <c r="D56" s="218">
        <f>Roadmap!P36</f>
        <v>0.625</v>
      </c>
      <c r="E56" s="218">
        <f>Roadmap!P37</f>
        <v>0.75</v>
      </c>
      <c r="F56" s="218">
        <f>Roadmap!P38</f>
        <v>0.75</v>
      </c>
      <c r="G56" s="219">
        <f t="shared" si="7"/>
        <v>0</v>
      </c>
      <c r="H56" s="220"/>
      <c r="I56" s="222" t="str">
        <f>A60</f>
        <v>Implementation</v>
      </c>
      <c r="J56" s="218">
        <f>AVERAGE(C60:C62)</f>
        <v>0</v>
      </c>
      <c r="K56" s="18"/>
      <c r="L56" s="18"/>
      <c r="M56" s="18"/>
      <c r="N56" s="18"/>
      <c r="T56" s="216" t="str">
        <f>Interview!$B$16</f>
        <v>Governance</v>
      </c>
      <c r="U56" s="217" t="str">
        <f>Interview!$B$45</f>
        <v>Education &amp; Guidance</v>
      </c>
      <c r="V56" s="218">
        <f>C56</f>
        <v>2.125</v>
      </c>
      <c r="W56" s="218">
        <v>0</v>
      </c>
      <c r="X56" s="218">
        <v>0</v>
      </c>
      <c r="Y56" s="218">
        <v>0</v>
      </c>
      <c r="Z56" s="218">
        <v>0</v>
      </c>
    </row>
    <row r="57" spans="1:26" ht="25" customHeight="1">
      <c r="A57" s="221" t="str">
        <f>Interview!$B$59</f>
        <v>Design</v>
      </c>
      <c r="B57" s="223" t="str">
        <f>Interview!$B$60</f>
        <v>Threat Assessment</v>
      </c>
      <c r="C57" s="218">
        <f>Roadmap!Q46</f>
        <v>2.25</v>
      </c>
      <c r="D57" s="218">
        <f>Roadmap!P46</f>
        <v>1</v>
      </c>
      <c r="E57" s="218">
        <f>Roadmap!P47</f>
        <v>1</v>
      </c>
      <c r="F57" s="218">
        <f>Roadmap!P48</f>
        <v>0.25</v>
      </c>
      <c r="G57" s="219">
        <f t="shared" si="7"/>
        <v>0</v>
      </c>
      <c r="H57" s="220"/>
      <c r="I57" s="224" t="str">
        <f>A63</f>
        <v>Verification</v>
      </c>
      <c r="J57" s="218">
        <f>AVERAGE(C63:C65)</f>
        <v>0.54166666666666663</v>
      </c>
      <c r="K57" s="18"/>
      <c r="L57" s="18"/>
      <c r="M57" s="18"/>
      <c r="N57" s="18"/>
      <c r="T57" s="221" t="str">
        <f>Interview!$B$59</f>
        <v>Design</v>
      </c>
      <c r="U57" s="223" t="str">
        <f>Interview!$B$60</f>
        <v>Threat Assessment</v>
      </c>
      <c r="V57" s="218">
        <v>0</v>
      </c>
      <c r="W57" s="218">
        <f>C57</f>
        <v>2.25</v>
      </c>
      <c r="X57" s="218">
        <v>0</v>
      </c>
      <c r="Y57" s="218">
        <v>0</v>
      </c>
      <c r="Z57" s="218">
        <v>0</v>
      </c>
    </row>
    <row r="58" spans="1:26" ht="25" customHeight="1">
      <c r="A58" s="221" t="str">
        <f>Interview!$B$59</f>
        <v>Design</v>
      </c>
      <c r="B58" s="223" t="str">
        <f>Interview!$B$74</f>
        <v>Security Requirements</v>
      </c>
      <c r="C58" s="218">
        <f>Roadmap!Q55</f>
        <v>2.25</v>
      </c>
      <c r="D58" s="218">
        <f>Roadmap!P55</f>
        <v>1</v>
      </c>
      <c r="E58" s="218">
        <f>Roadmap!P56</f>
        <v>0.625</v>
      </c>
      <c r="F58" s="218">
        <f>Roadmap!P57</f>
        <v>0.625</v>
      </c>
      <c r="G58" s="219">
        <f t="shared" si="7"/>
        <v>0</v>
      </c>
      <c r="H58" s="220"/>
      <c r="I58" s="225" t="str">
        <f>A66</f>
        <v>Operations</v>
      </c>
      <c r="J58" s="218">
        <f>AVERAGE(C66:C68)</f>
        <v>0.125</v>
      </c>
      <c r="K58" s="18"/>
      <c r="L58" s="18"/>
      <c r="M58" s="18"/>
      <c r="N58" s="18"/>
      <c r="T58" s="221" t="str">
        <f>Interview!$B$59</f>
        <v>Design</v>
      </c>
      <c r="U58" s="223" t="str">
        <f>Interview!$B$74</f>
        <v>Security Requirements</v>
      </c>
      <c r="V58" s="218">
        <v>0</v>
      </c>
      <c r="W58" s="218">
        <f>C58</f>
        <v>2.25</v>
      </c>
      <c r="X58" s="218">
        <v>0</v>
      </c>
      <c r="Y58" s="218">
        <v>0</v>
      </c>
      <c r="Z58" s="218">
        <v>0</v>
      </c>
    </row>
    <row r="59" spans="1:26" ht="25" customHeight="1">
      <c r="A59" s="221" t="str">
        <f>Interview!$B$59</f>
        <v>Design</v>
      </c>
      <c r="B59" s="223" t="str">
        <f>Interview!$B$88</f>
        <v>Secure Architecture</v>
      </c>
      <c r="C59" s="218">
        <f>Roadmap!Q64</f>
        <v>1.875</v>
      </c>
      <c r="D59" s="218">
        <f>Roadmap!P64</f>
        <v>1</v>
      </c>
      <c r="E59" s="218">
        <f>Roadmap!P65</f>
        <v>0.375</v>
      </c>
      <c r="F59" s="218">
        <f>Roadmap!P66</f>
        <v>0.5</v>
      </c>
      <c r="G59" s="219">
        <f t="shared" si="7"/>
        <v>0</v>
      </c>
      <c r="H59" s="220"/>
      <c r="I59" s="18"/>
      <c r="J59" s="18"/>
      <c r="K59" s="18"/>
      <c r="L59" s="18"/>
      <c r="M59" s="18"/>
      <c r="N59" s="18"/>
      <c r="T59" s="221" t="str">
        <f>Interview!$B$59</f>
        <v>Design</v>
      </c>
      <c r="U59" s="223" t="str">
        <f>Interview!$B$88</f>
        <v>Secure Architecture</v>
      </c>
      <c r="V59" s="218">
        <v>0</v>
      </c>
      <c r="W59" s="218">
        <f>C59</f>
        <v>1.875</v>
      </c>
      <c r="X59" s="218">
        <v>0</v>
      </c>
      <c r="Y59" s="218">
        <v>0</v>
      </c>
      <c r="Z59" s="218">
        <v>0</v>
      </c>
    </row>
    <row r="60" spans="1:26" ht="25" customHeight="1">
      <c r="A60" s="222" t="str">
        <f>Interview!$B$102</f>
        <v>Implementation</v>
      </c>
      <c r="B60" s="226" t="str">
        <f>Interview!$B$103</f>
        <v>Secure Build</v>
      </c>
      <c r="C60" s="218">
        <f>Roadmap!Q74</f>
        <v>0</v>
      </c>
      <c r="D60" s="218">
        <f>Roadmap!P74</f>
        <v>0</v>
      </c>
      <c r="E60" s="218">
        <f>Roadmap!P75</f>
        <v>0</v>
      </c>
      <c r="F60" s="218">
        <f>Roadmap!P76</f>
        <v>0</v>
      </c>
      <c r="G60" s="219"/>
      <c r="H60" s="220"/>
      <c r="I60" s="18"/>
      <c r="J60" s="18"/>
      <c r="K60" s="18"/>
      <c r="L60" s="18"/>
      <c r="M60" s="18"/>
      <c r="N60" s="18"/>
      <c r="T60" s="222" t="str">
        <f>Interview!$B$102</f>
        <v>Implementation</v>
      </c>
      <c r="U60" s="226" t="str">
        <f>Interview!$B$103</f>
        <v>Secure Build</v>
      </c>
      <c r="V60" s="218">
        <v>0</v>
      </c>
      <c r="W60" s="218">
        <v>0</v>
      </c>
      <c r="X60" s="218">
        <f>C60</f>
        <v>0</v>
      </c>
      <c r="Y60" s="218">
        <v>0</v>
      </c>
      <c r="Z60" s="218">
        <v>0</v>
      </c>
    </row>
    <row r="61" spans="1:26" ht="25" customHeight="1">
      <c r="A61" s="222" t="str">
        <f>Interview!$B$102</f>
        <v>Implementation</v>
      </c>
      <c r="B61" s="226" t="str">
        <f>Interview!$B$117</f>
        <v>Secure Deployment</v>
      </c>
      <c r="C61" s="218">
        <f>Roadmap!Q83</f>
        <v>0</v>
      </c>
      <c r="D61" s="218">
        <f>Roadmap!P83</f>
        <v>0</v>
      </c>
      <c r="E61" s="218">
        <f>Roadmap!P84</f>
        <v>0</v>
      </c>
      <c r="F61" s="218">
        <f>Roadmap!P85</f>
        <v>0</v>
      </c>
      <c r="G61" s="219"/>
      <c r="H61" s="220"/>
      <c r="I61" s="18"/>
      <c r="J61" s="18"/>
      <c r="K61" s="18"/>
      <c r="L61" s="18"/>
      <c r="M61" s="18"/>
      <c r="N61" s="18"/>
      <c r="T61" s="222" t="str">
        <f>Interview!$B$102</f>
        <v>Implementation</v>
      </c>
      <c r="U61" s="226" t="str">
        <f>Interview!$B$117</f>
        <v>Secure Deployment</v>
      </c>
      <c r="V61" s="218">
        <v>0</v>
      </c>
      <c r="W61" s="218">
        <v>0</v>
      </c>
      <c r="X61" s="218">
        <f>C61</f>
        <v>0</v>
      </c>
      <c r="Y61" s="218">
        <v>0</v>
      </c>
      <c r="Z61" s="218">
        <v>0</v>
      </c>
    </row>
    <row r="62" spans="1:26" ht="25" customHeight="1">
      <c r="A62" s="222" t="str">
        <f>Interview!$B$102</f>
        <v>Implementation</v>
      </c>
      <c r="B62" s="226" t="str">
        <f>Interview!$B$131</f>
        <v>Defect Management</v>
      </c>
      <c r="C62" s="218">
        <f>Roadmap!Q92</f>
        <v>0</v>
      </c>
      <c r="D62" s="218">
        <f>Roadmap!P92</f>
        <v>0</v>
      </c>
      <c r="E62" s="218">
        <f>Roadmap!P93</f>
        <v>0</v>
      </c>
      <c r="F62" s="218">
        <f>Roadmap!P94</f>
        <v>0</v>
      </c>
      <c r="G62" s="219"/>
      <c r="H62" s="220"/>
      <c r="I62" s="18"/>
      <c r="J62" s="18"/>
      <c r="K62" s="18"/>
      <c r="L62" s="18"/>
      <c r="M62" s="18"/>
      <c r="N62" s="18"/>
      <c r="T62" s="222" t="str">
        <f>Interview!$B$102</f>
        <v>Implementation</v>
      </c>
      <c r="U62" s="226" t="str">
        <f>Interview!$B$131</f>
        <v>Defect Management</v>
      </c>
      <c r="V62" s="218">
        <v>0</v>
      </c>
      <c r="W62" s="218">
        <v>0</v>
      </c>
      <c r="X62" s="218">
        <f>C62</f>
        <v>0</v>
      </c>
      <c r="Y62" s="218">
        <v>0</v>
      </c>
      <c r="Z62" s="218">
        <v>0</v>
      </c>
    </row>
    <row r="63" spans="1:26" ht="25" customHeight="1">
      <c r="A63" s="224" t="str">
        <f>Interview!$B$145</f>
        <v>Verification</v>
      </c>
      <c r="B63" s="228" t="str">
        <f>Interview!$B$146</f>
        <v>Architecture Assessment</v>
      </c>
      <c r="C63" s="218">
        <f>Roadmap!Q102</f>
        <v>0.75</v>
      </c>
      <c r="D63" s="218">
        <f>Roadmap!P102</f>
        <v>0.25</v>
      </c>
      <c r="E63" s="218">
        <f>Roadmap!P103</f>
        <v>0.5</v>
      </c>
      <c r="F63" s="218">
        <f>Roadmap!P104</f>
        <v>0</v>
      </c>
      <c r="G63" s="219">
        <f t="shared" ref="G63:G68" si="8">(((((IF((C63="0+"),0.5,0)+IF((C63=1),1,0))+IF((C63="1+"),1.5,0))+IF((C63=2),2,0))+IF((C63="2+"),2.5,0))+IF((C63=3),3,0))+IF((C63="3+"),3.5,0)</f>
        <v>0</v>
      </c>
      <c r="H63" s="220"/>
      <c r="I63" s="18"/>
      <c r="J63" s="18"/>
      <c r="K63" s="18"/>
      <c r="L63" s="18"/>
      <c r="M63" s="18"/>
      <c r="N63" s="18"/>
      <c r="T63" s="224" t="str">
        <f>Interview!$B$145</f>
        <v>Verification</v>
      </c>
      <c r="U63" s="228" t="str">
        <f>Interview!$B$146</f>
        <v>Architecture Assessment</v>
      </c>
      <c r="V63" s="218">
        <v>0</v>
      </c>
      <c r="W63" s="218">
        <v>0</v>
      </c>
      <c r="X63" s="218">
        <v>0</v>
      </c>
      <c r="Y63" s="218">
        <f>C63</f>
        <v>0.75</v>
      </c>
      <c r="Z63" s="218">
        <v>0</v>
      </c>
    </row>
    <row r="64" spans="1:26" ht="25" customHeight="1">
      <c r="A64" s="224" t="str">
        <f>Interview!$B$145</f>
        <v>Verification</v>
      </c>
      <c r="B64" s="228" t="str">
        <f>Interview!$B$160</f>
        <v>Requirements Testing</v>
      </c>
      <c r="C64" s="218">
        <f>Roadmap!Q111</f>
        <v>0</v>
      </c>
      <c r="D64" s="218">
        <f>Roadmap!P111</f>
        <v>0</v>
      </c>
      <c r="E64" s="218">
        <f>Roadmap!P112</f>
        <v>0</v>
      </c>
      <c r="F64" s="218">
        <f>Roadmap!P113</f>
        <v>0</v>
      </c>
      <c r="G64" s="219">
        <f t="shared" si="8"/>
        <v>0</v>
      </c>
      <c r="H64" s="220"/>
      <c r="I64" s="18"/>
      <c r="J64" s="18"/>
      <c r="K64" s="18"/>
      <c r="L64" s="18"/>
      <c r="M64" s="18"/>
      <c r="N64" s="18"/>
      <c r="T64" s="224" t="str">
        <f>Interview!$B$145</f>
        <v>Verification</v>
      </c>
      <c r="U64" s="228" t="str">
        <f>Interview!$B$160</f>
        <v>Requirements Testing</v>
      </c>
      <c r="V64" s="218">
        <v>0</v>
      </c>
      <c r="W64" s="218">
        <v>0</v>
      </c>
      <c r="X64" s="218">
        <v>0</v>
      </c>
      <c r="Y64" s="218">
        <f>C64</f>
        <v>0</v>
      </c>
      <c r="Z64" s="218">
        <v>0</v>
      </c>
    </row>
    <row r="65" spans="1:26" ht="25" customHeight="1">
      <c r="A65" s="224" t="str">
        <f>Interview!$B$145</f>
        <v>Verification</v>
      </c>
      <c r="B65" s="228" t="str">
        <f>Interview!$B$174</f>
        <v>Security Testing</v>
      </c>
      <c r="C65" s="218">
        <f>Roadmap!Q120</f>
        <v>0.875</v>
      </c>
      <c r="D65" s="218">
        <f>Roadmap!P120</f>
        <v>0.25</v>
      </c>
      <c r="E65" s="218">
        <f>Roadmap!P121</f>
        <v>0.5</v>
      </c>
      <c r="F65" s="218">
        <f>Roadmap!P122</f>
        <v>0.125</v>
      </c>
      <c r="G65" s="219">
        <f t="shared" si="8"/>
        <v>0</v>
      </c>
      <c r="H65" s="220"/>
      <c r="I65" s="18"/>
      <c r="J65" s="18"/>
      <c r="K65" s="18"/>
      <c r="L65" s="18"/>
      <c r="M65" s="18"/>
      <c r="N65" s="18"/>
      <c r="T65" s="224" t="str">
        <f>Interview!$B$145</f>
        <v>Verification</v>
      </c>
      <c r="U65" s="228" t="str">
        <f>Interview!$B$174</f>
        <v>Security Testing</v>
      </c>
      <c r="V65" s="218">
        <v>0</v>
      </c>
      <c r="W65" s="218">
        <v>0</v>
      </c>
      <c r="X65" s="218">
        <v>0</v>
      </c>
      <c r="Y65" s="218">
        <f>C65</f>
        <v>0.875</v>
      </c>
      <c r="Z65" s="218">
        <v>0</v>
      </c>
    </row>
    <row r="66" spans="1:26" ht="25" customHeight="1">
      <c r="A66" s="225" t="str">
        <f>Interview!$B$188</f>
        <v>Operations</v>
      </c>
      <c r="B66" s="229" t="str">
        <f>Interview!$B$189</f>
        <v>Incident Management</v>
      </c>
      <c r="C66" s="218">
        <f>Roadmap!Q130</f>
        <v>0</v>
      </c>
      <c r="D66" s="218">
        <f>Roadmap!P130</f>
        <v>0</v>
      </c>
      <c r="E66" s="218">
        <f>Roadmap!P131</f>
        <v>0</v>
      </c>
      <c r="F66" s="218">
        <f>Roadmap!P132</f>
        <v>0</v>
      </c>
      <c r="G66" s="219">
        <f t="shared" si="8"/>
        <v>0</v>
      </c>
      <c r="H66" s="220"/>
      <c r="I66" s="18"/>
      <c r="J66" s="18"/>
      <c r="K66" s="18"/>
      <c r="L66" s="18"/>
      <c r="M66" s="18"/>
      <c r="N66" s="18"/>
      <c r="T66" s="225" t="str">
        <f>Interview!$B$188</f>
        <v>Operations</v>
      </c>
      <c r="U66" s="229" t="str">
        <f>Interview!$B$189</f>
        <v>Incident Management</v>
      </c>
      <c r="V66" s="218">
        <v>0</v>
      </c>
      <c r="W66" s="218">
        <v>0</v>
      </c>
      <c r="X66" s="218">
        <v>0</v>
      </c>
      <c r="Y66" s="218">
        <v>0</v>
      </c>
      <c r="Z66" s="218">
        <f>C66</f>
        <v>0</v>
      </c>
    </row>
    <row r="67" spans="1:26" ht="25" customHeight="1">
      <c r="A67" s="225" t="str">
        <f>Interview!$B$188</f>
        <v>Operations</v>
      </c>
      <c r="B67" s="229" t="str">
        <f>Interview!$B$203</f>
        <v>Environment Management</v>
      </c>
      <c r="C67" s="218">
        <f>Roadmap!Q139</f>
        <v>0.375</v>
      </c>
      <c r="D67" s="218">
        <f>Roadmap!P139</f>
        <v>0.25</v>
      </c>
      <c r="E67" s="218">
        <f>Roadmap!P140</f>
        <v>0.125</v>
      </c>
      <c r="F67" s="218">
        <f>Roadmap!P141</f>
        <v>0</v>
      </c>
      <c r="G67" s="219">
        <f t="shared" si="8"/>
        <v>0</v>
      </c>
      <c r="H67" s="220"/>
      <c r="I67" s="18"/>
      <c r="J67" s="18"/>
      <c r="K67" s="18"/>
      <c r="L67" s="18"/>
      <c r="M67" s="18"/>
      <c r="N67" s="18"/>
      <c r="T67" s="225" t="str">
        <f>Interview!$B$188</f>
        <v>Operations</v>
      </c>
      <c r="U67" s="229" t="str">
        <f>Interview!$B$203</f>
        <v>Environment Management</v>
      </c>
      <c r="V67" s="218">
        <v>0</v>
      </c>
      <c r="W67" s="218">
        <v>0</v>
      </c>
      <c r="X67" s="218">
        <v>0</v>
      </c>
      <c r="Y67" s="218">
        <v>0</v>
      </c>
      <c r="Z67" s="218">
        <f>C67</f>
        <v>0.375</v>
      </c>
    </row>
    <row r="68" spans="1:26" ht="25" customHeight="1">
      <c r="A68" s="225" t="str">
        <f>Interview!$B$188</f>
        <v>Operations</v>
      </c>
      <c r="B68" s="229" t="str">
        <f>Interview!$B$217</f>
        <v>Operational Management</v>
      </c>
      <c r="C68" s="218">
        <f>Roadmap!Q148</f>
        <v>0</v>
      </c>
      <c r="D68" s="218">
        <f>Roadmap!P148</f>
        <v>0</v>
      </c>
      <c r="E68" s="218">
        <f>Roadmap!P149</f>
        <v>0</v>
      </c>
      <c r="F68" s="218">
        <f>Roadmap!P150</f>
        <v>0</v>
      </c>
      <c r="G68" s="219">
        <f t="shared" si="8"/>
        <v>0</v>
      </c>
      <c r="H68" s="220"/>
      <c r="I68" s="18"/>
      <c r="J68" s="18"/>
      <c r="K68" s="18"/>
      <c r="L68" s="18"/>
      <c r="M68" s="18"/>
      <c r="N68" s="18"/>
      <c r="T68" s="225" t="str">
        <f>Interview!$B$188</f>
        <v>Operations</v>
      </c>
      <c r="U68" s="229" t="str">
        <f>Interview!$B$217</f>
        <v>Operational Management</v>
      </c>
      <c r="V68" s="218">
        <v>0</v>
      </c>
      <c r="W68" s="218">
        <v>0</v>
      </c>
      <c r="X68" s="218">
        <v>0</v>
      </c>
      <c r="Y68" s="218">
        <v>0</v>
      </c>
      <c r="Z68" s="218">
        <f>C68</f>
        <v>0</v>
      </c>
    </row>
    <row r="69" spans="1:26" ht="12.75" customHeight="1">
      <c r="K69" s="18"/>
    </row>
    <row r="70" spans="1:26" ht="25" customHeight="1">
      <c r="A70" s="468" t="s">
        <v>203</v>
      </c>
      <c r="B70" s="468"/>
      <c r="C70" s="468"/>
      <c r="D70" s="468"/>
      <c r="E70" s="468"/>
      <c r="F70" s="468"/>
      <c r="G70" s="468"/>
      <c r="H70" s="468"/>
      <c r="I70" s="468"/>
      <c r="J70" s="468"/>
      <c r="K70" s="18"/>
      <c r="L70" s="468" t="s">
        <v>203</v>
      </c>
      <c r="M70" s="468"/>
      <c r="N70" s="468"/>
      <c r="O70" s="468"/>
      <c r="P70" s="468"/>
      <c r="Q70" s="468"/>
      <c r="R70" s="468"/>
      <c r="T70" s="469" t="s">
        <v>203</v>
      </c>
      <c r="U70" s="469"/>
      <c r="V70" s="469"/>
      <c r="W70" s="469"/>
      <c r="X70" s="469"/>
      <c r="Y70" s="469"/>
      <c r="Z70" s="469"/>
    </row>
    <row r="71" spans="1:26" ht="12" customHeight="1">
      <c r="A71" s="210"/>
      <c r="B71" s="210"/>
      <c r="C71" s="210"/>
      <c r="D71" s="467" t="s">
        <v>196</v>
      </c>
      <c r="E71" s="467"/>
      <c r="F71" s="467"/>
      <c r="G71" s="18"/>
      <c r="H71" s="18"/>
      <c r="I71" s="18"/>
      <c r="J71" s="18"/>
      <c r="K71" s="18"/>
      <c r="L71" s="18"/>
      <c r="M71" s="18"/>
      <c r="N71" s="18"/>
    </row>
    <row r="72" spans="1:26" ht="25" customHeight="1">
      <c r="A72" s="213" t="s">
        <v>197</v>
      </c>
      <c r="B72" s="213" t="s">
        <v>198</v>
      </c>
      <c r="C72" s="213" t="s">
        <v>199</v>
      </c>
      <c r="D72" s="214">
        <v>1</v>
      </c>
      <c r="E72" s="214">
        <v>2</v>
      </c>
      <c r="F72" s="214">
        <v>3</v>
      </c>
      <c r="G72" s="215" t="s">
        <v>200</v>
      </c>
      <c r="H72" s="18"/>
      <c r="I72" s="213" t="s">
        <v>197</v>
      </c>
      <c r="J72" s="213" t="s">
        <v>199</v>
      </c>
      <c r="K72" s="18"/>
      <c r="L72" s="18"/>
      <c r="M72" s="18"/>
      <c r="N72" s="18"/>
      <c r="V72" t="str">
        <f>T73</f>
        <v>Governance</v>
      </c>
      <c r="W72" t="str">
        <f>T76</f>
        <v>Design</v>
      </c>
      <c r="X72" t="str">
        <f>T79</f>
        <v>Implementation</v>
      </c>
      <c r="Y72" t="str">
        <f>T82</f>
        <v>Verification</v>
      </c>
      <c r="Z72" t="str">
        <f>T85</f>
        <v>Operations</v>
      </c>
    </row>
    <row r="73" spans="1:26" ht="25" customHeight="1">
      <c r="A73" s="216" t="str">
        <f>Interview!$B$16</f>
        <v>Governance</v>
      </c>
      <c r="B73" s="217" t="str">
        <f>Interview!$D$17</f>
        <v>Strategy &amp; Metrics</v>
      </c>
      <c r="C73" s="218">
        <f>Roadmap!U18</f>
        <v>1.25</v>
      </c>
      <c r="D73" s="218">
        <f>Roadmap!T18</f>
        <v>0.75</v>
      </c>
      <c r="E73" s="218">
        <f>Roadmap!T19</f>
        <v>0.25</v>
      </c>
      <c r="F73" s="218">
        <f>Roadmap!T20</f>
        <v>0.25</v>
      </c>
      <c r="G73" s="219">
        <f t="shared" ref="G73:G78" si="9">(((((IF((C73="0+"),0.5,0)+IF((C73=1),1,0))+IF((C73="1+"),1.5,0))+IF((C73=2),2,0))+IF((C73="2+"),2.5,0))+IF((C73=3),3,0))+IF((C73="3+"),3.5,0)</f>
        <v>0</v>
      </c>
      <c r="H73" s="220"/>
      <c r="I73" s="216" t="str">
        <f>A73</f>
        <v>Governance</v>
      </c>
      <c r="J73" s="218">
        <f>AVERAGE(C73:C75)</f>
        <v>1.5833333333333333</v>
      </c>
      <c r="K73" s="18"/>
      <c r="L73" s="18"/>
      <c r="M73" s="18"/>
      <c r="N73" s="18"/>
      <c r="T73" s="216" t="str">
        <f>Interview!$B$16</f>
        <v>Governance</v>
      </c>
      <c r="U73" s="217" t="str">
        <f>Interview!$D$17</f>
        <v>Strategy &amp; Metrics</v>
      </c>
      <c r="V73" s="218">
        <f>C73</f>
        <v>1.25</v>
      </c>
      <c r="W73" s="218">
        <v>0</v>
      </c>
      <c r="X73" s="218">
        <v>0</v>
      </c>
      <c r="Y73" s="218">
        <v>0</v>
      </c>
      <c r="Z73" s="218">
        <v>0</v>
      </c>
    </row>
    <row r="74" spans="1:26" ht="25" customHeight="1">
      <c r="A74" s="216" t="str">
        <f>Interview!$B$16</f>
        <v>Governance</v>
      </c>
      <c r="B74" s="217" t="str">
        <f>Interview!$B$31</f>
        <v>Policy &amp; Compliance</v>
      </c>
      <c r="C74" s="218">
        <f>Roadmap!U27</f>
        <v>1.375</v>
      </c>
      <c r="D74" s="218">
        <f>Roadmap!T27</f>
        <v>0.5</v>
      </c>
      <c r="E74" s="218">
        <f>Roadmap!T28</f>
        <v>0.375</v>
      </c>
      <c r="F74" s="218">
        <f>Roadmap!T29</f>
        <v>0.5</v>
      </c>
      <c r="G74" s="219">
        <f t="shared" si="9"/>
        <v>0</v>
      </c>
      <c r="H74" s="220"/>
      <c r="I74" s="221" t="str">
        <f>A76</f>
        <v>Design</v>
      </c>
      <c r="J74" s="218">
        <f>AVERAGE(C76:C78)</f>
        <v>2.125</v>
      </c>
      <c r="K74" s="18"/>
      <c r="L74" s="18"/>
      <c r="M74" s="18"/>
      <c r="N74" s="18"/>
      <c r="T74" s="216" t="str">
        <f>Interview!$B$16</f>
        <v>Governance</v>
      </c>
      <c r="U74" s="217" t="str">
        <f>Interview!$B$31</f>
        <v>Policy &amp; Compliance</v>
      </c>
      <c r="V74" s="218">
        <f>C74</f>
        <v>1.375</v>
      </c>
      <c r="W74" s="218">
        <v>0</v>
      </c>
      <c r="X74" s="218">
        <v>0</v>
      </c>
      <c r="Y74" s="218">
        <v>0</v>
      </c>
      <c r="Z74" s="218">
        <v>0</v>
      </c>
    </row>
    <row r="75" spans="1:26" ht="25" customHeight="1">
      <c r="A75" s="216" t="str">
        <f>Interview!$B$16</f>
        <v>Governance</v>
      </c>
      <c r="B75" s="217" t="str">
        <f>Interview!$B$45</f>
        <v>Education &amp; Guidance</v>
      </c>
      <c r="C75" s="218">
        <f>Roadmap!U36</f>
        <v>2.125</v>
      </c>
      <c r="D75" s="218">
        <f>Roadmap!T36</f>
        <v>0.625</v>
      </c>
      <c r="E75" s="218">
        <f>Roadmap!T37</f>
        <v>0.75</v>
      </c>
      <c r="F75" s="218">
        <f>Roadmap!T38</f>
        <v>0.75</v>
      </c>
      <c r="G75" s="219">
        <f t="shared" si="9"/>
        <v>0</v>
      </c>
      <c r="H75" s="220"/>
      <c r="I75" s="222" t="str">
        <f>A79</f>
        <v>Implementation</v>
      </c>
      <c r="J75" s="218">
        <f>AVERAGE(C79:C81)</f>
        <v>0</v>
      </c>
      <c r="K75" s="18"/>
      <c r="L75" s="18"/>
      <c r="M75" s="18"/>
      <c r="N75" s="18"/>
      <c r="T75" s="216" t="str">
        <f>Interview!$B$16</f>
        <v>Governance</v>
      </c>
      <c r="U75" s="217" t="str">
        <f>Interview!$B$45</f>
        <v>Education &amp; Guidance</v>
      </c>
      <c r="V75" s="218">
        <f>C75</f>
        <v>2.125</v>
      </c>
      <c r="W75" s="218">
        <v>0</v>
      </c>
      <c r="X75" s="218">
        <v>0</v>
      </c>
      <c r="Y75" s="218">
        <v>0</v>
      </c>
      <c r="Z75" s="218">
        <v>0</v>
      </c>
    </row>
    <row r="76" spans="1:26" ht="25" customHeight="1">
      <c r="A76" s="221" t="str">
        <f>Interview!$B$59</f>
        <v>Design</v>
      </c>
      <c r="B76" s="223" t="str">
        <f>Interview!$B$60</f>
        <v>Threat Assessment</v>
      </c>
      <c r="C76" s="218">
        <f>Roadmap!U46</f>
        <v>2.25</v>
      </c>
      <c r="D76" s="218">
        <f>Roadmap!T46</f>
        <v>1</v>
      </c>
      <c r="E76" s="218">
        <f>Roadmap!T47</f>
        <v>1</v>
      </c>
      <c r="F76" s="218">
        <f>Roadmap!T48</f>
        <v>0.25</v>
      </c>
      <c r="G76" s="219">
        <f t="shared" si="9"/>
        <v>0</v>
      </c>
      <c r="H76" s="220"/>
      <c r="I76" s="224" t="str">
        <f>A82</f>
        <v>Verification</v>
      </c>
      <c r="J76" s="218">
        <f>AVERAGE(C82:C84)</f>
        <v>0.54166666666666663</v>
      </c>
      <c r="K76" s="18"/>
      <c r="L76" s="18"/>
      <c r="M76" s="18"/>
      <c r="N76" s="18"/>
      <c r="T76" s="221" t="str">
        <f>Interview!$B$59</f>
        <v>Design</v>
      </c>
      <c r="U76" s="223" t="str">
        <f>Interview!$B$60</f>
        <v>Threat Assessment</v>
      </c>
      <c r="V76" s="218">
        <v>0</v>
      </c>
      <c r="W76" s="218">
        <f>C76</f>
        <v>2.25</v>
      </c>
      <c r="X76" s="218">
        <v>0</v>
      </c>
      <c r="Y76" s="218">
        <v>0</v>
      </c>
      <c r="Z76" s="218">
        <v>0</v>
      </c>
    </row>
    <row r="77" spans="1:26" ht="25" customHeight="1">
      <c r="A77" s="221" t="str">
        <f>Interview!$B$59</f>
        <v>Design</v>
      </c>
      <c r="B77" s="223" t="str">
        <f>Interview!$B$74</f>
        <v>Security Requirements</v>
      </c>
      <c r="C77" s="218">
        <f>Roadmap!U55</f>
        <v>2.25</v>
      </c>
      <c r="D77" s="218">
        <f>Roadmap!T55</f>
        <v>1</v>
      </c>
      <c r="E77" s="218">
        <f>Roadmap!T56</f>
        <v>0.625</v>
      </c>
      <c r="F77" s="218">
        <f>Roadmap!T57</f>
        <v>0.625</v>
      </c>
      <c r="G77" s="219">
        <f t="shared" si="9"/>
        <v>0</v>
      </c>
      <c r="H77" s="220"/>
      <c r="I77" s="225" t="str">
        <f>A85</f>
        <v>Operations</v>
      </c>
      <c r="J77" s="218">
        <f>AVERAGE(C85:C87)</f>
        <v>0.125</v>
      </c>
      <c r="K77" s="18"/>
      <c r="L77" s="18"/>
      <c r="M77" s="18"/>
      <c r="N77" s="18"/>
      <c r="T77" s="221" t="str">
        <f>Interview!$B$59</f>
        <v>Design</v>
      </c>
      <c r="U77" s="223" t="str">
        <f>Interview!$B$74</f>
        <v>Security Requirements</v>
      </c>
      <c r="V77" s="218">
        <v>0</v>
      </c>
      <c r="W77" s="218">
        <f>C77</f>
        <v>2.25</v>
      </c>
      <c r="X77" s="218">
        <v>0</v>
      </c>
      <c r="Y77" s="218">
        <v>0</v>
      </c>
      <c r="Z77" s="218">
        <v>0</v>
      </c>
    </row>
    <row r="78" spans="1:26" ht="25" customHeight="1">
      <c r="A78" s="221" t="str">
        <f>Interview!$B$59</f>
        <v>Design</v>
      </c>
      <c r="B78" s="223" t="str">
        <f>Interview!$B$88</f>
        <v>Secure Architecture</v>
      </c>
      <c r="C78" s="218">
        <f>Roadmap!U64</f>
        <v>1.875</v>
      </c>
      <c r="D78" s="218">
        <f>Roadmap!T64</f>
        <v>1</v>
      </c>
      <c r="E78" s="218">
        <f>Roadmap!T65</f>
        <v>0.375</v>
      </c>
      <c r="F78" s="218">
        <f>Roadmap!T66</f>
        <v>0.5</v>
      </c>
      <c r="G78" s="219">
        <f t="shared" si="9"/>
        <v>0</v>
      </c>
      <c r="H78" s="220"/>
      <c r="I78" s="18"/>
      <c r="J78" s="18"/>
      <c r="K78" s="18"/>
      <c r="L78" s="18"/>
      <c r="M78" s="18"/>
      <c r="N78" s="18"/>
      <c r="T78" s="221" t="str">
        <f>Interview!$B$59</f>
        <v>Design</v>
      </c>
      <c r="U78" s="223" t="str">
        <f>Interview!$B$88</f>
        <v>Secure Architecture</v>
      </c>
      <c r="V78" s="218">
        <v>0</v>
      </c>
      <c r="W78" s="218">
        <f>C78</f>
        <v>1.875</v>
      </c>
      <c r="X78" s="218">
        <v>0</v>
      </c>
      <c r="Y78" s="218">
        <v>0</v>
      </c>
      <c r="Z78" s="218">
        <v>0</v>
      </c>
    </row>
    <row r="79" spans="1:26" ht="25" customHeight="1">
      <c r="A79" s="222" t="str">
        <f>Interview!$B$102</f>
        <v>Implementation</v>
      </c>
      <c r="B79" s="226" t="str">
        <f>Interview!$B$103</f>
        <v>Secure Build</v>
      </c>
      <c r="C79" s="218">
        <f>Roadmap!U74</f>
        <v>0</v>
      </c>
      <c r="D79" s="218">
        <f>Roadmap!T74</f>
        <v>0</v>
      </c>
      <c r="E79" s="218">
        <f>Roadmap!T75</f>
        <v>0</v>
      </c>
      <c r="F79" s="218">
        <f>Roadmap!T76</f>
        <v>0</v>
      </c>
      <c r="G79" s="219"/>
      <c r="H79" s="220"/>
      <c r="I79" s="18"/>
      <c r="J79" s="18"/>
      <c r="K79" s="18"/>
      <c r="L79" s="18"/>
      <c r="M79" s="18"/>
      <c r="N79" s="18"/>
      <c r="T79" s="222" t="str">
        <f>Interview!$B$102</f>
        <v>Implementation</v>
      </c>
      <c r="U79" s="226" t="str">
        <f>Interview!$B$103</f>
        <v>Secure Build</v>
      </c>
      <c r="V79" s="218">
        <v>0</v>
      </c>
      <c r="W79" s="218">
        <v>0</v>
      </c>
      <c r="X79" s="218">
        <f>C79</f>
        <v>0</v>
      </c>
      <c r="Y79" s="218">
        <v>0</v>
      </c>
      <c r="Z79" s="218">
        <v>0</v>
      </c>
    </row>
    <row r="80" spans="1:26" ht="25" customHeight="1">
      <c r="A80" s="222" t="str">
        <f>Interview!$B$102</f>
        <v>Implementation</v>
      </c>
      <c r="B80" s="226" t="str">
        <f>Interview!$B$117</f>
        <v>Secure Deployment</v>
      </c>
      <c r="C80" s="218">
        <f>Roadmap!U83</f>
        <v>0</v>
      </c>
      <c r="D80" s="218">
        <f>Roadmap!T83</f>
        <v>0</v>
      </c>
      <c r="E80" s="218">
        <f>Roadmap!T84</f>
        <v>0</v>
      </c>
      <c r="F80" s="218">
        <f>Roadmap!T85</f>
        <v>0</v>
      </c>
      <c r="G80" s="219"/>
      <c r="H80" s="220"/>
      <c r="I80" s="18"/>
      <c r="J80" s="18"/>
      <c r="K80" s="18"/>
      <c r="L80" s="18"/>
      <c r="M80" s="18"/>
      <c r="N80" s="18"/>
      <c r="T80" s="222" t="str">
        <f>Interview!$B$102</f>
        <v>Implementation</v>
      </c>
      <c r="U80" s="226" t="str">
        <f>Interview!$B$117</f>
        <v>Secure Deployment</v>
      </c>
      <c r="V80" s="218">
        <v>0</v>
      </c>
      <c r="W80" s="218">
        <v>0</v>
      </c>
      <c r="X80" s="218">
        <f>C80</f>
        <v>0</v>
      </c>
      <c r="Y80" s="218">
        <v>0</v>
      </c>
      <c r="Z80" s="218">
        <v>0</v>
      </c>
    </row>
    <row r="81" spans="1:26" ht="25" customHeight="1">
      <c r="A81" s="222" t="str">
        <f>Interview!$B$102</f>
        <v>Implementation</v>
      </c>
      <c r="B81" s="226" t="str">
        <f>Interview!$B$131</f>
        <v>Defect Management</v>
      </c>
      <c r="C81" s="218">
        <f>Roadmap!U92</f>
        <v>0</v>
      </c>
      <c r="D81" s="218">
        <f>Roadmap!T92</f>
        <v>0</v>
      </c>
      <c r="E81" s="218">
        <f>Roadmap!T93</f>
        <v>0</v>
      </c>
      <c r="F81" s="218">
        <f>Roadmap!T94</f>
        <v>0</v>
      </c>
      <c r="G81" s="219"/>
      <c r="H81" s="220"/>
      <c r="I81" s="18"/>
      <c r="J81" s="18"/>
      <c r="K81" s="18"/>
      <c r="L81" s="18"/>
      <c r="M81" s="18"/>
      <c r="N81" s="18"/>
      <c r="T81" s="222" t="str">
        <f>Interview!$B$102</f>
        <v>Implementation</v>
      </c>
      <c r="U81" s="226" t="str">
        <f>Interview!$B$131</f>
        <v>Defect Management</v>
      </c>
      <c r="V81" s="218">
        <v>0</v>
      </c>
      <c r="W81" s="218">
        <v>0</v>
      </c>
      <c r="X81" s="218">
        <f>C81</f>
        <v>0</v>
      </c>
      <c r="Y81" s="218">
        <v>0</v>
      </c>
      <c r="Z81" s="218">
        <v>0</v>
      </c>
    </row>
    <row r="82" spans="1:26" ht="25" customHeight="1">
      <c r="A82" s="224" t="str">
        <f>Interview!$B$145</f>
        <v>Verification</v>
      </c>
      <c r="B82" s="228" t="str">
        <f>Interview!$B$146</f>
        <v>Architecture Assessment</v>
      </c>
      <c r="C82" s="218">
        <f>Roadmap!U102</f>
        <v>0.75</v>
      </c>
      <c r="D82" s="218">
        <f>Roadmap!T102</f>
        <v>0.25</v>
      </c>
      <c r="E82" s="218">
        <f>Roadmap!T103</f>
        <v>0.5</v>
      </c>
      <c r="F82" s="218">
        <f>Roadmap!T104</f>
        <v>0</v>
      </c>
      <c r="G82" s="219">
        <f t="shared" ref="G82:G87" si="10">(((((IF((C82="0+"),0.5,0)+IF((C82=1),1,0))+IF((C82="1+"),1.5,0))+IF((C82=2),2,0))+IF((C82="2+"),2.5,0))+IF((C82=3),3,0))+IF((C82="3+"),3.5,0)</f>
        <v>0</v>
      </c>
      <c r="H82" s="220"/>
      <c r="I82" s="18"/>
      <c r="J82" s="18"/>
      <c r="K82" s="18"/>
      <c r="L82" s="18"/>
      <c r="M82" s="18"/>
      <c r="N82" s="18"/>
      <c r="T82" s="224" t="str">
        <f>Interview!$B$145</f>
        <v>Verification</v>
      </c>
      <c r="U82" s="228" t="str">
        <f>Interview!$B$146</f>
        <v>Architecture Assessment</v>
      </c>
      <c r="V82" s="218">
        <v>0</v>
      </c>
      <c r="W82" s="218">
        <v>0</v>
      </c>
      <c r="X82" s="218">
        <v>0</v>
      </c>
      <c r="Y82" s="218">
        <f>C82</f>
        <v>0.75</v>
      </c>
      <c r="Z82" s="218">
        <v>0</v>
      </c>
    </row>
    <row r="83" spans="1:26" ht="25" customHeight="1">
      <c r="A83" s="224" t="str">
        <f>Interview!$B$145</f>
        <v>Verification</v>
      </c>
      <c r="B83" s="228" t="str">
        <f>Interview!$B$160</f>
        <v>Requirements Testing</v>
      </c>
      <c r="C83" s="218">
        <f>Roadmap!U111</f>
        <v>0</v>
      </c>
      <c r="D83" s="218">
        <f>Roadmap!T111</f>
        <v>0</v>
      </c>
      <c r="E83" s="218">
        <f>Roadmap!T112</f>
        <v>0</v>
      </c>
      <c r="F83" s="218">
        <f>Roadmap!T113</f>
        <v>0</v>
      </c>
      <c r="G83" s="219">
        <f t="shared" si="10"/>
        <v>0</v>
      </c>
      <c r="H83" s="220"/>
      <c r="I83" s="18"/>
      <c r="J83" s="18"/>
      <c r="K83" s="18"/>
      <c r="L83" s="18"/>
      <c r="M83" s="18"/>
      <c r="N83" s="18"/>
      <c r="T83" s="224" t="str">
        <f>Interview!$B$145</f>
        <v>Verification</v>
      </c>
      <c r="U83" s="228" t="str">
        <f>Interview!$B$160</f>
        <v>Requirements Testing</v>
      </c>
      <c r="V83" s="218">
        <v>0</v>
      </c>
      <c r="W83" s="218">
        <v>0</v>
      </c>
      <c r="X83" s="218">
        <v>0</v>
      </c>
      <c r="Y83" s="218">
        <f>C83</f>
        <v>0</v>
      </c>
      <c r="Z83" s="218">
        <v>0</v>
      </c>
    </row>
    <row r="84" spans="1:26" ht="25" customHeight="1">
      <c r="A84" s="224" t="str">
        <f>Interview!$B$145</f>
        <v>Verification</v>
      </c>
      <c r="B84" s="228" t="str">
        <f>Interview!$B$174</f>
        <v>Security Testing</v>
      </c>
      <c r="C84" s="218">
        <f>Roadmap!U120</f>
        <v>0.875</v>
      </c>
      <c r="D84" s="218">
        <f>Roadmap!T120</f>
        <v>0.25</v>
      </c>
      <c r="E84" s="218">
        <f>Roadmap!T121</f>
        <v>0.5</v>
      </c>
      <c r="F84" s="218">
        <f>Roadmap!T122</f>
        <v>0.125</v>
      </c>
      <c r="G84" s="219">
        <f t="shared" si="10"/>
        <v>0</v>
      </c>
      <c r="H84" s="220"/>
      <c r="I84" s="18"/>
      <c r="J84" s="18"/>
      <c r="K84" s="18"/>
      <c r="L84" s="18"/>
      <c r="M84" s="18"/>
      <c r="N84" s="18"/>
      <c r="T84" s="224" t="str">
        <f>Interview!$B$145</f>
        <v>Verification</v>
      </c>
      <c r="U84" s="228" t="str">
        <f>Interview!$B$174</f>
        <v>Security Testing</v>
      </c>
      <c r="V84" s="218">
        <v>0</v>
      </c>
      <c r="W84" s="218">
        <v>0</v>
      </c>
      <c r="X84" s="218">
        <v>0</v>
      </c>
      <c r="Y84" s="218">
        <f>C84</f>
        <v>0.875</v>
      </c>
      <c r="Z84" s="218">
        <v>0</v>
      </c>
    </row>
    <row r="85" spans="1:26" ht="25" customHeight="1">
      <c r="A85" s="225" t="str">
        <f>Interview!$B$188</f>
        <v>Operations</v>
      </c>
      <c r="B85" s="229" t="str">
        <f>Interview!$B$189</f>
        <v>Incident Management</v>
      </c>
      <c r="C85" s="218">
        <f>Roadmap!U130</f>
        <v>0</v>
      </c>
      <c r="D85" s="218">
        <f>Roadmap!T130</f>
        <v>0</v>
      </c>
      <c r="E85" s="218">
        <f>Roadmap!T131</f>
        <v>0</v>
      </c>
      <c r="F85" s="218">
        <f>Roadmap!T132</f>
        <v>0</v>
      </c>
      <c r="G85" s="219">
        <f t="shared" si="10"/>
        <v>0</v>
      </c>
      <c r="H85" s="220"/>
      <c r="I85" s="18"/>
      <c r="J85" s="18"/>
      <c r="K85" s="18"/>
      <c r="L85" s="18"/>
      <c r="M85" s="18"/>
      <c r="N85" s="18"/>
      <c r="T85" s="225" t="str">
        <f>Interview!$B$188</f>
        <v>Operations</v>
      </c>
      <c r="U85" s="229" t="str">
        <f>Interview!$B$189</f>
        <v>Incident Management</v>
      </c>
      <c r="V85" s="218">
        <v>0</v>
      </c>
      <c r="W85" s="218">
        <v>0</v>
      </c>
      <c r="X85" s="218">
        <v>0</v>
      </c>
      <c r="Y85" s="218">
        <v>0</v>
      </c>
      <c r="Z85" s="218">
        <f>C85</f>
        <v>0</v>
      </c>
    </row>
    <row r="86" spans="1:26" ht="25" customHeight="1">
      <c r="A86" s="225" t="str">
        <f>Interview!$B$188</f>
        <v>Operations</v>
      </c>
      <c r="B86" s="229" t="str">
        <f>Interview!$B$203</f>
        <v>Environment Management</v>
      </c>
      <c r="C86" s="218">
        <f>Roadmap!U139</f>
        <v>0.375</v>
      </c>
      <c r="D86" s="218">
        <f>Roadmap!T139</f>
        <v>0.25</v>
      </c>
      <c r="E86" s="218">
        <f>Roadmap!T140</f>
        <v>0.125</v>
      </c>
      <c r="F86" s="218">
        <f>Roadmap!T141</f>
        <v>0</v>
      </c>
      <c r="G86" s="219">
        <f t="shared" si="10"/>
        <v>0</v>
      </c>
      <c r="H86" s="220"/>
      <c r="I86" s="18"/>
      <c r="J86" s="18"/>
      <c r="K86" s="18"/>
      <c r="L86" s="18"/>
      <c r="M86" s="18"/>
      <c r="N86" s="18"/>
      <c r="T86" s="225" t="str">
        <f>Interview!$B$188</f>
        <v>Operations</v>
      </c>
      <c r="U86" s="229" t="str">
        <f>Interview!$B$203</f>
        <v>Environment Management</v>
      </c>
      <c r="V86" s="218">
        <v>0</v>
      </c>
      <c r="W86" s="218">
        <v>0</v>
      </c>
      <c r="X86" s="218">
        <v>0</v>
      </c>
      <c r="Y86" s="218">
        <v>0</v>
      </c>
      <c r="Z86" s="218">
        <f>C86</f>
        <v>0.375</v>
      </c>
    </row>
    <row r="87" spans="1:26" ht="25" customHeight="1">
      <c r="A87" s="225" t="str">
        <f>Interview!$B$188</f>
        <v>Operations</v>
      </c>
      <c r="B87" s="229" t="str">
        <f>Interview!$B$217</f>
        <v>Operational Management</v>
      </c>
      <c r="C87" s="218">
        <f>Roadmap!U148</f>
        <v>0</v>
      </c>
      <c r="D87" s="218">
        <f>Roadmap!T148</f>
        <v>0</v>
      </c>
      <c r="E87" s="218">
        <f>Roadmap!T149</f>
        <v>0</v>
      </c>
      <c r="F87" s="218">
        <f>Roadmap!T150</f>
        <v>0</v>
      </c>
      <c r="G87" s="219">
        <f t="shared" si="10"/>
        <v>0</v>
      </c>
      <c r="H87" s="220"/>
      <c r="I87" s="18"/>
      <c r="J87" s="18"/>
      <c r="K87" s="18"/>
      <c r="L87" s="18"/>
      <c r="M87" s="18"/>
      <c r="N87" s="18"/>
      <c r="T87" s="225" t="str">
        <f>Interview!$B$188</f>
        <v>Operations</v>
      </c>
      <c r="U87" s="229" t="str">
        <f>Interview!$B$217</f>
        <v>Operational Management</v>
      </c>
      <c r="V87" s="218">
        <v>0</v>
      </c>
      <c r="W87" s="218">
        <v>0</v>
      </c>
      <c r="X87" s="218">
        <v>0</v>
      </c>
      <c r="Y87" s="218">
        <v>0</v>
      </c>
      <c r="Z87" s="218">
        <f>C87</f>
        <v>0</v>
      </c>
    </row>
    <row r="88" spans="1:26" ht="12.75" customHeight="1">
      <c r="A88" s="18"/>
      <c r="B88" s="18"/>
      <c r="C88" s="18"/>
      <c r="D88" s="18"/>
      <c r="E88" s="18"/>
      <c r="F88" s="18"/>
      <c r="G88" s="18"/>
      <c r="H88" s="18"/>
      <c r="I88" s="18"/>
      <c r="J88" s="18"/>
      <c r="K88" s="18"/>
      <c r="L88" s="18"/>
      <c r="M88" s="18"/>
      <c r="N88" s="18"/>
    </row>
    <row r="89" spans="1:26" ht="12.75" customHeight="1">
      <c r="A89" s="18"/>
      <c r="B89" s="18"/>
      <c r="C89" s="18"/>
      <c r="D89" s="18"/>
      <c r="E89" s="18"/>
      <c r="F89" s="18"/>
      <c r="G89" s="18"/>
      <c r="H89" s="18"/>
      <c r="I89" s="18"/>
      <c r="J89" s="18"/>
      <c r="K89" s="18"/>
      <c r="L89" s="18"/>
      <c r="M89" s="18"/>
      <c r="N89" s="18"/>
    </row>
    <row r="90" spans="1:26" ht="12.75" customHeight="1">
      <c r="K90" s="18"/>
    </row>
    <row r="91" spans="1:26" ht="25" customHeight="1">
      <c r="A91" s="468" t="s">
        <v>204</v>
      </c>
      <c r="B91" s="468"/>
      <c r="C91" s="468"/>
      <c r="D91" s="468"/>
      <c r="E91" s="468"/>
      <c r="F91" s="468"/>
      <c r="G91" s="468"/>
      <c r="H91" s="468"/>
      <c r="I91" s="468"/>
      <c r="J91" s="468"/>
      <c r="K91" s="18"/>
      <c r="L91" s="468" t="s">
        <v>204</v>
      </c>
      <c r="M91" s="468"/>
      <c r="N91" s="468"/>
      <c r="O91" s="468"/>
      <c r="P91" s="468"/>
      <c r="Q91" s="468"/>
      <c r="R91" s="468"/>
      <c r="T91" s="469" t="s">
        <v>204</v>
      </c>
      <c r="U91" s="469"/>
      <c r="V91" s="469"/>
      <c r="W91" s="469"/>
      <c r="X91" s="469"/>
      <c r="Y91" s="469"/>
      <c r="Z91" s="469"/>
    </row>
    <row r="92" spans="1:26" ht="12" customHeight="1">
      <c r="A92" s="210"/>
      <c r="B92" s="210"/>
      <c r="C92" s="210"/>
      <c r="D92" s="467" t="s">
        <v>196</v>
      </c>
      <c r="E92" s="467"/>
      <c r="F92" s="467"/>
      <c r="G92" s="18"/>
      <c r="H92" s="18"/>
      <c r="I92" s="18"/>
      <c r="J92" s="18"/>
      <c r="K92" s="18"/>
      <c r="L92" s="18"/>
      <c r="M92" s="18"/>
      <c r="N92" s="18"/>
    </row>
    <row r="93" spans="1:26" ht="25" customHeight="1">
      <c r="A93" s="213" t="s">
        <v>197</v>
      </c>
      <c r="B93" s="213" t="s">
        <v>198</v>
      </c>
      <c r="C93" s="213" t="s">
        <v>199</v>
      </c>
      <c r="D93" s="214">
        <v>1</v>
      </c>
      <c r="E93" s="214">
        <v>2</v>
      </c>
      <c r="F93" s="214">
        <v>3</v>
      </c>
      <c r="G93" s="215" t="s">
        <v>200</v>
      </c>
      <c r="H93" s="18"/>
      <c r="I93" s="213" t="s">
        <v>197</v>
      </c>
      <c r="J93" s="213" t="s">
        <v>199</v>
      </c>
      <c r="K93" s="18"/>
      <c r="L93" s="18"/>
      <c r="M93" s="18"/>
      <c r="N93" s="18"/>
      <c r="V93" t="str">
        <f>T94</f>
        <v>Governance</v>
      </c>
      <c r="W93" t="str">
        <f>T97</f>
        <v>Design</v>
      </c>
      <c r="X93" t="str">
        <f>T100</f>
        <v>Implementation</v>
      </c>
      <c r="Y93" t="str">
        <f>T103</f>
        <v>Verification</v>
      </c>
      <c r="Z93" t="str">
        <f>T106</f>
        <v>Operations</v>
      </c>
    </row>
    <row r="94" spans="1:26" ht="25" customHeight="1">
      <c r="A94" s="216" t="str">
        <f>Interview!$B$16</f>
        <v>Governance</v>
      </c>
      <c r="B94" s="217" t="str">
        <f>Interview!$D$17</f>
        <v>Strategy &amp; Metrics</v>
      </c>
      <c r="C94" s="218">
        <f>Roadmap!Y18</f>
        <v>1.25</v>
      </c>
      <c r="D94" s="218">
        <f>Roadmap!X18</f>
        <v>0.75</v>
      </c>
      <c r="E94" s="218">
        <f>Roadmap!X19</f>
        <v>0.25</v>
      </c>
      <c r="F94" s="218">
        <f>Roadmap!X20</f>
        <v>0.25</v>
      </c>
      <c r="G94" s="219">
        <f t="shared" ref="G94:G99" si="11">(((((IF((C94="0+"),0.5,0)+IF((C94=1),1,0))+IF((C94="1+"),1.5,0))+IF((C94=2),2,0))+IF((C94="2+"),2.5,0))+IF((C94=3),3,0))+IF((C94="3+"),3.5,0)</f>
        <v>0</v>
      </c>
      <c r="H94" s="220"/>
      <c r="I94" s="216" t="str">
        <f>A94</f>
        <v>Governance</v>
      </c>
      <c r="J94" s="218">
        <f>AVERAGE(C94:C96)</f>
        <v>1.5833333333333333</v>
      </c>
      <c r="K94" s="18"/>
      <c r="L94" s="18"/>
      <c r="M94" s="18"/>
      <c r="N94" s="18"/>
      <c r="T94" s="216" t="str">
        <f>Interview!$B$16</f>
        <v>Governance</v>
      </c>
      <c r="U94" s="217" t="str">
        <f>Interview!$D$17</f>
        <v>Strategy &amp; Metrics</v>
      </c>
      <c r="V94" s="218">
        <f>C94</f>
        <v>1.25</v>
      </c>
      <c r="W94" s="218">
        <v>0</v>
      </c>
      <c r="X94" s="218">
        <v>0</v>
      </c>
      <c r="Y94" s="218">
        <v>0</v>
      </c>
      <c r="Z94" s="218">
        <v>0</v>
      </c>
    </row>
    <row r="95" spans="1:26" ht="25" customHeight="1">
      <c r="A95" s="216" t="str">
        <f>Interview!$B$16</f>
        <v>Governance</v>
      </c>
      <c r="B95" s="217" t="str">
        <f>Interview!$B$31</f>
        <v>Policy &amp; Compliance</v>
      </c>
      <c r="C95" s="218">
        <f>Roadmap!Y27</f>
        <v>1.375</v>
      </c>
      <c r="D95" s="218">
        <f>Roadmap!X27</f>
        <v>0.5</v>
      </c>
      <c r="E95" s="218">
        <f>Roadmap!X28</f>
        <v>0.375</v>
      </c>
      <c r="F95" s="218">
        <f>Roadmap!X29</f>
        <v>0.5</v>
      </c>
      <c r="G95" s="219">
        <f t="shared" si="11"/>
        <v>0</v>
      </c>
      <c r="H95" s="220"/>
      <c r="I95" s="221" t="str">
        <f>A97</f>
        <v>Design</v>
      </c>
      <c r="J95" s="218">
        <f>AVERAGE(C97:C99)</f>
        <v>2.125</v>
      </c>
      <c r="K95" s="18"/>
      <c r="L95" s="18"/>
      <c r="M95" s="18"/>
      <c r="N95" s="18"/>
      <c r="T95" s="216" t="str">
        <f>Interview!$B$16</f>
        <v>Governance</v>
      </c>
      <c r="U95" s="217" t="str">
        <f>Interview!$B$31</f>
        <v>Policy &amp; Compliance</v>
      </c>
      <c r="V95" s="218">
        <f>C95</f>
        <v>1.375</v>
      </c>
      <c r="W95" s="218">
        <v>0</v>
      </c>
      <c r="X95" s="218">
        <v>0</v>
      </c>
      <c r="Y95" s="218">
        <v>0</v>
      </c>
      <c r="Z95" s="218">
        <v>0</v>
      </c>
    </row>
    <row r="96" spans="1:26" ht="25" customHeight="1">
      <c r="A96" s="216" t="str">
        <f>Interview!$B$16</f>
        <v>Governance</v>
      </c>
      <c r="B96" s="217" t="str">
        <f>Interview!$B$45</f>
        <v>Education &amp; Guidance</v>
      </c>
      <c r="C96" s="218">
        <f>Roadmap!Y36</f>
        <v>2.125</v>
      </c>
      <c r="D96" s="218">
        <f>Roadmap!X36</f>
        <v>0.625</v>
      </c>
      <c r="E96" s="218">
        <f>Roadmap!X37</f>
        <v>0.75</v>
      </c>
      <c r="F96" s="218">
        <f>Roadmap!X38</f>
        <v>0.75</v>
      </c>
      <c r="G96" s="219">
        <f t="shared" si="11"/>
        <v>0</v>
      </c>
      <c r="H96" s="220"/>
      <c r="I96" s="222" t="str">
        <f>A100</f>
        <v>Implementation</v>
      </c>
      <c r="J96" s="218">
        <f>AVERAGE(C100:C102)</f>
        <v>0</v>
      </c>
      <c r="K96" s="18"/>
      <c r="L96" s="18"/>
      <c r="M96" s="18"/>
      <c r="N96" s="18"/>
      <c r="T96" s="216" t="str">
        <f>Interview!$B$16</f>
        <v>Governance</v>
      </c>
      <c r="U96" s="217" t="str">
        <f>Interview!$B$45</f>
        <v>Education &amp; Guidance</v>
      </c>
      <c r="V96" s="218">
        <f>C96</f>
        <v>2.125</v>
      </c>
      <c r="W96" s="218">
        <v>0</v>
      </c>
      <c r="X96" s="218">
        <v>0</v>
      </c>
      <c r="Y96" s="218">
        <v>0</v>
      </c>
      <c r="Z96" s="218">
        <v>0</v>
      </c>
    </row>
    <row r="97" spans="1:26" ht="25" customHeight="1">
      <c r="A97" s="221" t="str">
        <f>Interview!$B$59</f>
        <v>Design</v>
      </c>
      <c r="B97" s="223" t="str">
        <f>Interview!$B$60</f>
        <v>Threat Assessment</v>
      </c>
      <c r="C97" s="218">
        <f>Roadmap!Y46</f>
        <v>2.25</v>
      </c>
      <c r="D97" s="218">
        <f>Roadmap!X46</f>
        <v>1</v>
      </c>
      <c r="E97" s="218">
        <f>Roadmap!X47</f>
        <v>1</v>
      </c>
      <c r="F97" s="218">
        <f>Roadmap!X48</f>
        <v>0.25</v>
      </c>
      <c r="G97" s="219">
        <f t="shared" si="11"/>
        <v>0</v>
      </c>
      <c r="H97" s="220"/>
      <c r="I97" s="224" t="str">
        <f>A103</f>
        <v>Verification</v>
      </c>
      <c r="J97" s="218">
        <f>AVERAGE(C103:C105)</f>
        <v>0.54166666666666663</v>
      </c>
      <c r="K97" s="18"/>
      <c r="L97" s="18"/>
      <c r="M97" s="18"/>
      <c r="N97" s="18"/>
      <c r="T97" s="221" t="str">
        <f>Interview!$B$59</f>
        <v>Design</v>
      </c>
      <c r="U97" s="223" t="str">
        <f>Interview!$B$60</f>
        <v>Threat Assessment</v>
      </c>
      <c r="V97" s="218">
        <v>0</v>
      </c>
      <c r="W97" s="218">
        <f>C97</f>
        <v>2.25</v>
      </c>
      <c r="X97" s="218">
        <v>0</v>
      </c>
      <c r="Y97" s="218">
        <v>0</v>
      </c>
      <c r="Z97" s="218">
        <v>0</v>
      </c>
    </row>
    <row r="98" spans="1:26" ht="25" customHeight="1">
      <c r="A98" s="221" t="str">
        <f>Interview!$B$59</f>
        <v>Design</v>
      </c>
      <c r="B98" s="223" t="str">
        <f>Interview!$B$74</f>
        <v>Security Requirements</v>
      </c>
      <c r="C98" s="218">
        <f>Roadmap!Y55</f>
        <v>2.25</v>
      </c>
      <c r="D98" s="218">
        <f>Roadmap!X55</f>
        <v>1</v>
      </c>
      <c r="E98" s="218">
        <f>Roadmap!X56</f>
        <v>0.625</v>
      </c>
      <c r="F98" s="218">
        <f>Roadmap!X57</f>
        <v>0.625</v>
      </c>
      <c r="G98" s="219">
        <f t="shared" si="11"/>
        <v>0</v>
      </c>
      <c r="H98" s="220"/>
      <c r="I98" s="225" t="str">
        <f>A106</f>
        <v>Operations</v>
      </c>
      <c r="J98" s="218">
        <f>AVERAGE(C106:C108)</f>
        <v>0.125</v>
      </c>
      <c r="K98" s="18"/>
      <c r="L98" s="18"/>
      <c r="M98" s="18"/>
      <c r="N98" s="18"/>
      <c r="T98" s="221" t="str">
        <f>Interview!$B$59</f>
        <v>Design</v>
      </c>
      <c r="U98" s="223" t="str">
        <f>Interview!$B$74</f>
        <v>Security Requirements</v>
      </c>
      <c r="V98" s="218">
        <v>0</v>
      </c>
      <c r="W98" s="218">
        <f>C98</f>
        <v>2.25</v>
      </c>
      <c r="X98" s="218">
        <v>0</v>
      </c>
      <c r="Y98" s="218">
        <v>0</v>
      </c>
      <c r="Z98" s="218">
        <v>0</v>
      </c>
    </row>
    <row r="99" spans="1:26" ht="25" customHeight="1">
      <c r="A99" s="221" t="str">
        <f>Interview!$B$59</f>
        <v>Design</v>
      </c>
      <c r="B99" s="223" t="str">
        <f>Interview!$B$88</f>
        <v>Secure Architecture</v>
      </c>
      <c r="C99" s="218">
        <f>Roadmap!Y64</f>
        <v>1.875</v>
      </c>
      <c r="D99" s="218">
        <f>Roadmap!X64</f>
        <v>1</v>
      </c>
      <c r="E99" s="218">
        <f>Roadmap!X65</f>
        <v>0.375</v>
      </c>
      <c r="F99" s="218">
        <f>Roadmap!X66</f>
        <v>0.5</v>
      </c>
      <c r="G99" s="219">
        <f t="shared" si="11"/>
        <v>0</v>
      </c>
      <c r="H99" s="220"/>
      <c r="I99" s="18"/>
      <c r="J99" s="18"/>
      <c r="K99" s="18"/>
      <c r="L99" s="18"/>
      <c r="M99" s="18"/>
      <c r="N99" s="18"/>
      <c r="T99" s="221" t="str">
        <f>Interview!$B$59</f>
        <v>Design</v>
      </c>
      <c r="U99" s="223" t="str">
        <f>Interview!$B$88</f>
        <v>Secure Architecture</v>
      </c>
      <c r="V99" s="218">
        <v>0</v>
      </c>
      <c r="W99" s="218">
        <f>C99</f>
        <v>1.875</v>
      </c>
      <c r="X99" s="218">
        <v>0</v>
      </c>
      <c r="Y99" s="218">
        <v>0</v>
      </c>
      <c r="Z99" s="218">
        <v>0</v>
      </c>
    </row>
    <row r="100" spans="1:26" ht="25" customHeight="1">
      <c r="A100" s="222" t="str">
        <f>Interview!$B$102</f>
        <v>Implementation</v>
      </c>
      <c r="B100" s="226" t="str">
        <f>Interview!$B$103</f>
        <v>Secure Build</v>
      </c>
      <c r="C100" s="218">
        <f>Roadmap!Y74</f>
        <v>0</v>
      </c>
      <c r="D100" s="218">
        <f>Roadmap!X74</f>
        <v>0</v>
      </c>
      <c r="E100" s="218">
        <f>Roadmap!X75</f>
        <v>0</v>
      </c>
      <c r="F100" s="218">
        <f>Roadmap!X76</f>
        <v>0</v>
      </c>
      <c r="G100" s="219"/>
      <c r="H100" s="220"/>
      <c r="I100" s="18"/>
      <c r="J100" s="18"/>
      <c r="K100" s="18"/>
      <c r="L100" s="18"/>
      <c r="M100" s="18"/>
      <c r="N100" s="18"/>
      <c r="T100" s="222" t="str">
        <f>Interview!$B$102</f>
        <v>Implementation</v>
      </c>
      <c r="U100" s="226" t="str">
        <f>Interview!$B$103</f>
        <v>Secure Build</v>
      </c>
      <c r="V100" s="218">
        <v>0</v>
      </c>
      <c r="W100" s="218">
        <v>0</v>
      </c>
      <c r="X100" s="218">
        <f>C100</f>
        <v>0</v>
      </c>
      <c r="Y100" s="218">
        <v>0</v>
      </c>
      <c r="Z100" s="218">
        <v>0</v>
      </c>
    </row>
    <row r="101" spans="1:26" ht="25" customHeight="1">
      <c r="A101" s="222" t="str">
        <f>Interview!$B$102</f>
        <v>Implementation</v>
      </c>
      <c r="B101" s="226" t="str">
        <f>Interview!$B$117</f>
        <v>Secure Deployment</v>
      </c>
      <c r="C101" s="218">
        <f>Roadmap!Y83</f>
        <v>0</v>
      </c>
      <c r="D101" s="218">
        <f>Roadmap!X83</f>
        <v>0</v>
      </c>
      <c r="E101" s="218">
        <f>Roadmap!X84</f>
        <v>0</v>
      </c>
      <c r="F101" s="218">
        <f>Roadmap!X85</f>
        <v>0</v>
      </c>
      <c r="G101" s="219"/>
      <c r="H101" s="220"/>
      <c r="I101" s="18"/>
      <c r="J101" s="18"/>
      <c r="K101" s="18"/>
      <c r="L101" s="18"/>
      <c r="M101" s="18"/>
      <c r="N101" s="18"/>
      <c r="T101" s="222" t="str">
        <f>Interview!$B$102</f>
        <v>Implementation</v>
      </c>
      <c r="U101" s="226" t="str">
        <f>Interview!$B$117</f>
        <v>Secure Deployment</v>
      </c>
      <c r="V101" s="218">
        <v>0</v>
      </c>
      <c r="W101" s="218">
        <v>0</v>
      </c>
      <c r="X101" s="218">
        <f>C101</f>
        <v>0</v>
      </c>
      <c r="Y101" s="218">
        <v>0</v>
      </c>
      <c r="Z101" s="218">
        <v>0</v>
      </c>
    </row>
    <row r="102" spans="1:26" ht="25" customHeight="1">
      <c r="A102" s="222" t="str">
        <f>Interview!$B$102</f>
        <v>Implementation</v>
      </c>
      <c r="B102" s="226" t="str">
        <f>Interview!$B$131</f>
        <v>Defect Management</v>
      </c>
      <c r="C102" s="218">
        <f>Roadmap!Y92</f>
        <v>0</v>
      </c>
      <c r="D102" s="218">
        <f>Roadmap!X92</f>
        <v>0</v>
      </c>
      <c r="E102" s="218">
        <f>Roadmap!X93</f>
        <v>0</v>
      </c>
      <c r="F102" s="218">
        <f>Roadmap!X94</f>
        <v>0</v>
      </c>
      <c r="G102" s="219"/>
      <c r="H102" s="220"/>
      <c r="I102" s="18"/>
      <c r="J102" s="18"/>
      <c r="K102" s="18"/>
      <c r="L102" s="18"/>
      <c r="M102" s="18"/>
      <c r="N102" s="18"/>
      <c r="T102" s="222" t="str">
        <f>Interview!$B$102</f>
        <v>Implementation</v>
      </c>
      <c r="U102" s="226" t="str">
        <f>Interview!$B$131</f>
        <v>Defect Management</v>
      </c>
      <c r="V102" s="218">
        <v>0</v>
      </c>
      <c r="W102" s="218">
        <v>0</v>
      </c>
      <c r="X102" s="218">
        <f>C102</f>
        <v>0</v>
      </c>
      <c r="Y102" s="218">
        <v>0</v>
      </c>
      <c r="Z102" s="218">
        <v>0</v>
      </c>
    </row>
    <row r="103" spans="1:26" ht="25" customHeight="1">
      <c r="A103" s="224" t="str">
        <f>Interview!$B$145</f>
        <v>Verification</v>
      </c>
      <c r="B103" s="228" t="str">
        <f>Interview!$B$146</f>
        <v>Architecture Assessment</v>
      </c>
      <c r="C103" s="218">
        <f>Roadmap!Y102</f>
        <v>0.75</v>
      </c>
      <c r="D103" s="218">
        <f>Roadmap!X102</f>
        <v>0.25</v>
      </c>
      <c r="E103" s="218">
        <f>Roadmap!X103</f>
        <v>0.5</v>
      </c>
      <c r="F103" s="218">
        <f>Roadmap!X104</f>
        <v>0</v>
      </c>
      <c r="G103" s="219">
        <f t="shared" ref="G103:G108" si="12">(((((IF((C103="0+"),0.5,0)+IF((C103=1),1,0))+IF((C103="1+"),1.5,0))+IF((C103=2),2,0))+IF((C103="2+"),2.5,0))+IF((C103=3),3,0))+IF((C103="3+"),3.5,0)</f>
        <v>0</v>
      </c>
      <c r="H103" s="220"/>
      <c r="I103" s="18"/>
      <c r="J103" s="18"/>
      <c r="K103" s="18"/>
      <c r="L103" s="18"/>
      <c r="M103" s="18"/>
      <c r="N103" s="18"/>
      <c r="T103" s="224" t="str">
        <f>Interview!$B$145</f>
        <v>Verification</v>
      </c>
      <c r="U103" s="228" t="str">
        <f>Interview!$B$146</f>
        <v>Architecture Assessment</v>
      </c>
      <c r="V103" s="218">
        <v>0</v>
      </c>
      <c r="W103" s="218">
        <v>0</v>
      </c>
      <c r="X103" s="218">
        <v>0</v>
      </c>
      <c r="Y103" s="218">
        <f>C103</f>
        <v>0.75</v>
      </c>
      <c r="Z103" s="218">
        <v>0</v>
      </c>
    </row>
    <row r="104" spans="1:26" ht="25" customHeight="1">
      <c r="A104" s="224" t="str">
        <f>Interview!$B$145</f>
        <v>Verification</v>
      </c>
      <c r="B104" s="228" t="str">
        <f>Interview!$B$160</f>
        <v>Requirements Testing</v>
      </c>
      <c r="C104" s="218">
        <f>Roadmap!Y111</f>
        <v>0</v>
      </c>
      <c r="D104" s="218">
        <f>Roadmap!X111</f>
        <v>0</v>
      </c>
      <c r="E104" s="218">
        <f>Roadmap!X112</f>
        <v>0</v>
      </c>
      <c r="F104" s="218">
        <f>Roadmap!X113</f>
        <v>0</v>
      </c>
      <c r="G104" s="219">
        <f t="shared" si="12"/>
        <v>0</v>
      </c>
      <c r="H104" s="220"/>
      <c r="I104" s="18"/>
      <c r="J104" s="18"/>
      <c r="K104" s="18"/>
      <c r="L104" s="18"/>
      <c r="M104" s="18"/>
      <c r="N104" s="18"/>
      <c r="T104" s="224" t="str">
        <f>Interview!$B$145</f>
        <v>Verification</v>
      </c>
      <c r="U104" s="228" t="str">
        <f>Interview!$B$160</f>
        <v>Requirements Testing</v>
      </c>
      <c r="V104" s="218">
        <v>0</v>
      </c>
      <c r="W104" s="218">
        <v>0</v>
      </c>
      <c r="X104" s="218">
        <v>0</v>
      </c>
      <c r="Y104" s="218">
        <f>C104</f>
        <v>0</v>
      </c>
      <c r="Z104" s="218">
        <v>0</v>
      </c>
    </row>
    <row r="105" spans="1:26" ht="25" customHeight="1">
      <c r="A105" s="224" t="str">
        <f>Interview!$B$145</f>
        <v>Verification</v>
      </c>
      <c r="B105" s="228" t="str">
        <f>Interview!$B$174</f>
        <v>Security Testing</v>
      </c>
      <c r="C105" s="218">
        <f>Roadmap!Y120</f>
        <v>0.875</v>
      </c>
      <c r="D105" s="218">
        <f>Roadmap!X120</f>
        <v>0.25</v>
      </c>
      <c r="E105" s="218">
        <f>Roadmap!X121</f>
        <v>0.5</v>
      </c>
      <c r="F105" s="218">
        <f>Roadmap!X122</f>
        <v>0.125</v>
      </c>
      <c r="G105" s="219">
        <f t="shared" si="12"/>
        <v>0</v>
      </c>
      <c r="H105" s="220"/>
      <c r="I105" s="18"/>
      <c r="J105" s="18"/>
      <c r="K105" s="18"/>
      <c r="L105" s="18"/>
      <c r="M105" s="18"/>
      <c r="N105" s="18"/>
      <c r="T105" s="224" t="str">
        <f>Interview!$B$145</f>
        <v>Verification</v>
      </c>
      <c r="U105" s="228" t="str">
        <f>Interview!$B$174</f>
        <v>Security Testing</v>
      </c>
      <c r="V105" s="218">
        <v>0</v>
      </c>
      <c r="W105" s="218">
        <v>0</v>
      </c>
      <c r="X105" s="218">
        <v>0</v>
      </c>
      <c r="Y105" s="218">
        <f>C105</f>
        <v>0.875</v>
      </c>
      <c r="Z105" s="218">
        <v>0</v>
      </c>
    </row>
    <row r="106" spans="1:26" ht="25" customHeight="1">
      <c r="A106" s="225" t="str">
        <f>Interview!$B$188</f>
        <v>Operations</v>
      </c>
      <c r="B106" s="229" t="str">
        <f>Interview!$B$189</f>
        <v>Incident Management</v>
      </c>
      <c r="C106" s="218">
        <f>Roadmap!Y130</f>
        <v>0</v>
      </c>
      <c r="D106" s="218">
        <f>Roadmap!X130</f>
        <v>0</v>
      </c>
      <c r="E106" s="218">
        <f>Roadmap!X131</f>
        <v>0</v>
      </c>
      <c r="F106" s="218">
        <f>Roadmap!X132</f>
        <v>0</v>
      </c>
      <c r="G106" s="219">
        <f t="shared" si="12"/>
        <v>0</v>
      </c>
      <c r="H106" s="220"/>
      <c r="I106" s="18"/>
      <c r="J106" s="18"/>
      <c r="K106" s="18"/>
      <c r="L106" s="18"/>
      <c r="M106" s="18"/>
      <c r="N106" s="18"/>
      <c r="T106" s="225" t="str">
        <f>Interview!$B$188</f>
        <v>Operations</v>
      </c>
      <c r="U106" s="229" t="str">
        <f>Interview!$B$189</f>
        <v>Incident Management</v>
      </c>
      <c r="V106" s="218">
        <v>0</v>
      </c>
      <c r="W106" s="218">
        <v>0</v>
      </c>
      <c r="X106" s="218">
        <v>0</v>
      </c>
      <c r="Y106" s="218">
        <v>0</v>
      </c>
      <c r="Z106" s="218">
        <f>C106</f>
        <v>0</v>
      </c>
    </row>
    <row r="107" spans="1:26" ht="25" customHeight="1">
      <c r="A107" s="225" t="str">
        <f>Interview!$B$188</f>
        <v>Operations</v>
      </c>
      <c r="B107" s="229" t="str">
        <f>Interview!$B$203</f>
        <v>Environment Management</v>
      </c>
      <c r="C107" s="218">
        <f>Roadmap!Y139</f>
        <v>0.375</v>
      </c>
      <c r="D107" s="218">
        <f>Roadmap!X139</f>
        <v>0.25</v>
      </c>
      <c r="E107" s="218">
        <f>Roadmap!X140</f>
        <v>0.125</v>
      </c>
      <c r="F107" s="218">
        <f>Roadmap!X141</f>
        <v>0</v>
      </c>
      <c r="G107" s="219">
        <f t="shared" si="12"/>
        <v>0</v>
      </c>
      <c r="H107" s="220"/>
      <c r="I107" s="18"/>
      <c r="J107" s="18"/>
      <c r="K107" s="18"/>
      <c r="L107" s="18"/>
      <c r="M107" s="18"/>
      <c r="N107" s="18"/>
      <c r="T107" s="225" t="str">
        <f>Interview!$B$188</f>
        <v>Operations</v>
      </c>
      <c r="U107" s="229" t="str">
        <f>Interview!$B$203</f>
        <v>Environment Management</v>
      </c>
      <c r="V107" s="218">
        <v>0</v>
      </c>
      <c r="W107" s="218">
        <v>0</v>
      </c>
      <c r="X107" s="218">
        <v>0</v>
      </c>
      <c r="Y107" s="218">
        <v>0</v>
      </c>
      <c r="Z107" s="218">
        <f>C107</f>
        <v>0.375</v>
      </c>
    </row>
    <row r="108" spans="1:26" ht="25" customHeight="1">
      <c r="A108" s="225" t="str">
        <f>Interview!$B$188</f>
        <v>Operations</v>
      </c>
      <c r="B108" s="229" t="str">
        <f>Interview!$B$217</f>
        <v>Operational Management</v>
      </c>
      <c r="C108" s="218">
        <f>Roadmap!Y148</f>
        <v>0</v>
      </c>
      <c r="D108" s="218">
        <f>Roadmap!X148</f>
        <v>0</v>
      </c>
      <c r="E108" s="218">
        <f>Roadmap!X149</f>
        <v>0</v>
      </c>
      <c r="F108" s="218">
        <f>Roadmap!X150</f>
        <v>0</v>
      </c>
      <c r="G108" s="219">
        <f t="shared" si="12"/>
        <v>0</v>
      </c>
      <c r="H108" s="220"/>
      <c r="I108" s="18"/>
      <c r="J108" s="18"/>
      <c r="K108" s="18"/>
      <c r="L108" s="18"/>
      <c r="M108" s="18"/>
      <c r="N108" s="18"/>
      <c r="T108" s="225" t="str">
        <f>Interview!$B$188</f>
        <v>Operations</v>
      </c>
      <c r="U108" s="229" t="str">
        <f>Interview!$B$217</f>
        <v>Operational Management</v>
      </c>
      <c r="V108" s="218">
        <v>0</v>
      </c>
      <c r="W108" s="218">
        <v>0</v>
      </c>
      <c r="X108" s="218">
        <v>0</v>
      </c>
      <c r="Y108" s="218">
        <v>0</v>
      </c>
      <c r="Z108" s="218">
        <f>C108</f>
        <v>0</v>
      </c>
    </row>
  </sheetData>
  <mergeCells count="32">
    <mergeCell ref="A1:J1"/>
    <mergeCell ref="A3:K3"/>
    <mergeCell ref="A5:B5"/>
    <mergeCell ref="C5:F5"/>
    <mergeCell ref="A6:B6"/>
    <mergeCell ref="C6:F6"/>
    <mergeCell ref="A7:B7"/>
    <mergeCell ref="C7:F7"/>
    <mergeCell ref="A8:B8"/>
    <mergeCell ref="C8:F8"/>
    <mergeCell ref="A9:B9"/>
    <mergeCell ref="C9:I9"/>
    <mergeCell ref="A11:J11"/>
    <mergeCell ref="L11:R11"/>
    <mergeCell ref="T11:Z11"/>
    <mergeCell ref="D12:F12"/>
    <mergeCell ref="A31:J31"/>
    <mergeCell ref="L31:R31"/>
    <mergeCell ref="T31:Z31"/>
    <mergeCell ref="D32:F32"/>
    <mergeCell ref="A51:J51"/>
    <mergeCell ref="L51:R51"/>
    <mergeCell ref="T51:Z51"/>
    <mergeCell ref="D52:F52"/>
    <mergeCell ref="D92:F92"/>
    <mergeCell ref="A70:J70"/>
    <mergeCell ref="L70:R70"/>
    <mergeCell ref="T70:Z70"/>
    <mergeCell ref="D71:F71"/>
    <mergeCell ref="A91:J91"/>
    <mergeCell ref="L91:R91"/>
    <mergeCell ref="T91:Z91"/>
  </mergeCells>
  <conditionalFormatting sqref="D14:F16">
    <cfRule type="dataBar" priority="2">
      <dataBar>
        <cfvo type="num" val="0"/>
        <cfvo type="num" val="1"/>
        <color rgb="FF3290C4"/>
      </dataBar>
      <extLst>
        <ext xmlns:x14="http://schemas.microsoft.com/office/spreadsheetml/2009/9/main" uri="{B025F937-C7B1-47D3-B67F-A62EFF666E3E}">
          <x14:id>{4EBC8DF7-8ECC-41E4-973A-2E473E172BA0}</x14:id>
        </ext>
      </extLst>
    </cfRule>
  </conditionalFormatting>
  <conditionalFormatting sqref="J14">
    <cfRule type="dataBar" priority="3">
      <dataBar>
        <cfvo type="num" val="0"/>
        <cfvo type="num" val="3"/>
        <color rgb="FF3290C4"/>
      </dataBar>
      <extLst>
        <ext xmlns:x14="http://schemas.microsoft.com/office/spreadsheetml/2009/9/main" uri="{B025F937-C7B1-47D3-B67F-A62EFF666E3E}">
          <x14:id>{3FA931AC-B74A-4740-8C80-94A232C848C0}</x14:id>
        </ext>
      </extLst>
    </cfRule>
  </conditionalFormatting>
  <conditionalFormatting sqref="J15">
    <cfRule type="dataBar" priority="4">
      <dataBar>
        <cfvo type="num" val="0"/>
        <cfvo type="num" val="3"/>
        <color rgb="FFB75727"/>
      </dataBar>
      <extLst>
        <ext xmlns:x14="http://schemas.microsoft.com/office/spreadsheetml/2009/9/main" uri="{B025F937-C7B1-47D3-B67F-A62EFF666E3E}">
          <x14:id>{CC2C7280-DFFD-47BF-8222-BD45D3567EDC}</x14:id>
        </ext>
      </extLst>
    </cfRule>
  </conditionalFormatting>
  <conditionalFormatting sqref="J17">
    <cfRule type="dataBar" priority="5">
      <dataBar>
        <cfvo type="num" val="0"/>
        <cfvo type="num" val="3"/>
        <color rgb="FF37793E"/>
      </dataBar>
      <extLst>
        <ext xmlns:x14="http://schemas.microsoft.com/office/spreadsheetml/2009/9/main" uri="{B025F937-C7B1-47D3-B67F-A62EFF666E3E}">
          <x14:id>{DC5F9C72-A1E5-401C-81F7-E0C1B1E1BDE2}</x14:id>
        </ext>
      </extLst>
    </cfRule>
  </conditionalFormatting>
  <conditionalFormatting sqref="J18">
    <cfRule type="dataBar" priority="6">
      <dataBar>
        <cfvo type="num" val="0"/>
        <cfvo type="num" val="3"/>
        <color rgb="FF791F17"/>
      </dataBar>
      <extLst>
        <ext xmlns:x14="http://schemas.microsoft.com/office/spreadsheetml/2009/9/main" uri="{B025F937-C7B1-47D3-B67F-A62EFF666E3E}">
          <x14:id>{9E8020E5-73CC-4F78-9D76-47A2F462BFC8}</x14:id>
        </ext>
      </extLst>
    </cfRule>
  </conditionalFormatting>
  <conditionalFormatting sqref="J16">
    <cfRule type="dataBar" priority="7">
      <dataBar>
        <cfvo type="num" val="0"/>
        <cfvo type="num" val="3"/>
        <color rgb="FFFFC221"/>
      </dataBar>
      <extLst>
        <ext xmlns:x14="http://schemas.microsoft.com/office/spreadsheetml/2009/9/main" uri="{B025F937-C7B1-47D3-B67F-A62EFF666E3E}">
          <x14:id>{666BD523-DF49-4F4D-921C-663B78CE9287}</x14:id>
        </ext>
      </extLst>
    </cfRule>
  </conditionalFormatting>
  <conditionalFormatting sqref="D17:F19">
    <cfRule type="dataBar" priority="8">
      <dataBar>
        <cfvo type="num" val="0"/>
        <cfvo type="num" val="1"/>
        <color rgb="FFB75727"/>
      </dataBar>
      <extLst>
        <ext xmlns:x14="http://schemas.microsoft.com/office/spreadsheetml/2009/9/main" uri="{B025F937-C7B1-47D3-B67F-A62EFF666E3E}">
          <x14:id>{F3AE88FF-3943-4322-9351-1E6C758D6EEE}</x14:id>
        </ext>
      </extLst>
    </cfRule>
  </conditionalFormatting>
  <conditionalFormatting sqref="D20:F22">
    <cfRule type="dataBar" priority="9">
      <dataBar>
        <cfvo type="num" val="0"/>
        <cfvo type="num" val="1"/>
        <color rgb="FFFFC221"/>
      </dataBar>
      <extLst>
        <ext xmlns:x14="http://schemas.microsoft.com/office/spreadsheetml/2009/9/main" uri="{B025F937-C7B1-47D3-B67F-A62EFF666E3E}">
          <x14:id>{84F22AA7-5FB7-4BB0-B971-ADD77990EC1B}</x14:id>
        </ext>
      </extLst>
    </cfRule>
  </conditionalFormatting>
  <conditionalFormatting sqref="D23:F25">
    <cfRule type="dataBar" priority="10">
      <dataBar>
        <cfvo type="num" val="0"/>
        <cfvo type="num" val="1"/>
        <color rgb="FF37793E"/>
      </dataBar>
      <extLst>
        <ext xmlns:x14="http://schemas.microsoft.com/office/spreadsheetml/2009/9/main" uri="{B025F937-C7B1-47D3-B67F-A62EFF666E3E}">
          <x14:id>{42BF176A-5710-4485-BABA-93F9EED43716}</x14:id>
        </ext>
      </extLst>
    </cfRule>
  </conditionalFormatting>
  <conditionalFormatting sqref="D26:F28">
    <cfRule type="dataBar" priority="11">
      <dataBar>
        <cfvo type="num" val="0"/>
        <cfvo type="num" val="1"/>
        <color rgb="FF791F17"/>
      </dataBar>
      <extLst>
        <ext xmlns:x14="http://schemas.microsoft.com/office/spreadsheetml/2009/9/main" uri="{B025F937-C7B1-47D3-B67F-A62EFF666E3E}">
          <x14:id>{467E662B-C010-4473-A766-83CBC96CD6B0}</x14:id>
        </ext>
      </extLst>
    </cfRule>
  </conditionalFormatting>
  <conditionalFormatting sqref="D34:F35">
    <cfRule type="dataBar" priority="12">
      <dataBar>
        <cfvo type="num" val="0"/>
        <cfvo type="num" val="1"/>
        <color rgb="FF3290C4"/>
      </dataBar>
      <extLst>
        <ext xmlns:x14="http://schemas.microsoft.com/office/spreadsheetml/2009/9/main" uri="{B025F937-C7B1-47D3-B67F-A62EFF666E3E}">
          <x14:id>{3C31C3C5-DE5D-487E-AF56-B01DF7819FF9}</x14:id>
        </ext>
      </extLst>
    </cfRule>
  </conditionalFormatting>
  <conditionalFormatting sqref="D36:F36">
    <cfRule type="dataBar" priority="13">
      <dataBar>
        <cfvo type="num" val="0"/>
        <cfvo type="num" val="1"/>
        <color rgb="FF3290C4"/>
      </dataBar>
      <extLst>
        <ext xmlns:x14="http://schemas.microsoft.com/office/spreadsheetml/2009/9/main" uri="{B025F937-C7B1-47D3-B67F-A62EFF666E3E}">
          <x14:id>{4C52D6F4-6E3A-458E-B9A0-80CA5FD0722E}</x14:id>
        </ext>
      </extLst>
    </cfRule>
  </conditionalFormatting>
  <conditionalFormatting sqref="J34">
    <cfRule type="dataBar" priority="14">
      <dataBar>
        <cfvo type="num" val="0"/>
        <cfvo type="num" val="3"/>
        <color rgb="FF3290C4"/>
      </dataBar>
      <extLst>
        <ext xmlns:x14="http://schemas.microsoft.com/office/spreadsheetml/2009/9/main" uri="{B025F937-C7B1-47D3-B67F-A62EFF666E3E}">
          <x14:id>{5790F226-2A7A-478A-BC23-61A4F4543E5D}</x14:id>
        </ext>
      </extLst>
    </cfRule>
  </conditionalFormatting>
  <conditionalFormatting sqref="J35">
    <cfRule type="dataBar" priority="15">
      <dataBar>
        <cfvo type="num" val="0"/>
        <cfvo type="num" val="3"/>
        <color rgb="FFB75727"/>
      </dataBar>
      <extLst>
        <ext xmlns:x14="http://schemas.microsoft.com/office/spreadsheetml/2009/9/main" uri="{B025F937-C7B1-47D3-B67F-A62EFF666E3E}">
          <x14:id>{54905DA2-13F6-4F9B-8C8F-32192E682D8A}</x14:id>
        </ext>
      </extLst>
    </cfRule>
  </conditionalFormatting>
  <conditionalFormatting sqref="J37">
    <cfRule type="dataBar" priority="16">
      <dataBar>
        <cfvo type="num" val="0"/>
        <cfvo type="num" val="3"/>
        <color rgb="FF37793E"/>
      </dataBar>
      <extLst>
        <ext xmlns:x14="http://schemas.microsoft.com/office/spreadsheetml/2009/9/main" uri="{B025F937-C7B1-47D3-B67F-A62EFF666E3E}">
          <x14:id>{5A2F63E1-A55B-40C2-AD1F-BD32B93AE27F}</x14:id>
        </ext>
      </extLst>
    </cfRule>
  </conditionalFormatting>
  <conditionalFormatting sqref="J38">
    <cfRule type="dataBar" priority="17">
      <dataBar>
        <cfvo type="num" val="0"/>
        <cfvo type="num" val="3"/>
        <color rgb="FF791F17"/>
      </dataBar>
      <extLst>
        <ext xmlns:x14="http://schemas.microsoft.com/office/spreadsheetml/2009/9/main" uri="{B025F937-C7B1-47D3-B67F-A62EFF666E3E}">
          <x14:id>{C5B18540-91F1-4315-AF53-7057282B5883}</x14:id>
        </ext>
      </extLst>
    </cfRule>
  </conditionalFormatting>
  <conditionalFormatting sqref="J36">
    <cfRule type="dataBar" priority="18">
      <dataBar>
        <cfvo type="num" val="0"/>
        <cfvo type="num" val="3"/>
        <color rgb="FFBDBF17"/>
      </dataBar>
      <extLst>
        <ext xmlns:x14="http://schemas.microsoft.com/office/spreadsheetml/2009/9/main" uri="{B025F937-C7B1-47D3-B67F-A62EFF666E3E}">
          <x14:id>{7EA9ED63-F8B4-4443-8E46-9C54CFB178D1}</x14:id>
        </ext>
      </extLst>
    </cfRule>
  </conditionalFormatting>
  <conditionalFormatting sqref="D37:F39">
    <cfRule type="dataBar" priority="19">
      <dataBar>
        <cfvo type="num" val="0"/>
        <cfvo type="num" val="1"/>
        <color rgb="FFB75727"/>
      </dataBar>
      <extLst>
        <ext xmlns:x14="http://schemas.microsoft.com/office/spreadsheetml/2009/9/main" uri="{B025F937-C7B1-47D3-B67F-A62EFF666E3E}">
          <x14:id>{2B18B072-E921-4131-9917-A6EEF382AF33}</x14:id>
        </ext>
      </extLst>
    </cfRule>
  </conditionalFormatting>
  <conditionalFormatting sqref="D46:F48">
    <cfRule type="dataBar" priority="20">
      <dataBar>
        <cfvo type="num" val="0"/>
        <cfvo type="num" val="1"/>
        <color rgb="FF791F17"/>
      </dataBar>
      <extLst>
        <ext xmlns:x14="http://schemas.microsoft.com/office/spreadsheetml/2009/9/main" uri="{B025F937-C7B1-47D3-B67F-A62EFF666E3E}">
          <x14:id>{3C2473D5-38D7-4EB3-AF3B-4FFFCE42B8C5}</x14:id>
        </ext>
      </extLst>
    </cfRule>
  </conditionalFormatting>
  <conditionalFormatting sqref="D43:F45">
    <cfRule type="dataBar" priority="21">
      <dataBar>
        <cfvo type="num" val="0"/>
        <cfvo type="num" val="1"/>
        <color rgb="FF37793E"/>
      </dataBar>
      <extLst>
        <ext xmlns:x14="http://schemas.microsoft.com/office/spreadsheetml/2009/9/main" uri="{B025F937-C7B1-47D3-B67F-A62EFF666E3E}">
          <x14:id>{C1B5DF44-AA79-4649-BD10-86EEBA4E2561}</x14:id>
        </ext>
      </extLst>
    </cfRule>
  </conditionalFormatting>
  <conditionalFormatting sqref="D40:F42">
    <cfRule type="dataBar" priority="22">
      <dataBar>
        <cfvo type="num" val="0"/>
        <cfvo type="num" val="1"/>
        <color rgb="FFBDBF17"/>
      </dataBar>
      <extLst>
        <ext xmlns:x14="http://schemas.microsoft.com/office/spreadsheetml/2009/9/main" uri="{B025F937-C7B1-47D3-B67F-A62EFF666E3E}">
          <x14:id>{CB1357E6-EB00-48DD-9857-A3E3BAADB65D}</x14:id>
        </ext>
      </extLst>
    </cfRule>
  </conditionalFormatting>
  <conditionalFormatting sqref="D73:F74">
    <cfRule type="dataBar" priority="23">
      <dataBar>
        <cfvo type="num" val="0"/>
        <cfvo type="num" val="1"/>
        <color rgb="FF3290C4"/>
      </dataBar>
      <extLst>
        <ext xmlns:x14="http://schemas.microsoft.com/office/spreadsheetml/2009/9/main" uri="{B025F937-C7B1-47D3-B67F-A62EFF666E3E}">
          <x14:id>{6DD77820-F4F2-4520-AECA-69869CD0CCA5}</x14:id>
        </ext>
      </extLst>
    </cfRule>
  </conditionalFormatting>
  <conditionalFormatting sqref="D94:F95">
    <cfRule type="dataBar" priority="24">
      <dataBar>
        <cfvo type="num" val="0"/>
        <cfvo type="num" val="1"/>
        <color rgb="FF3290C4"/>
      </dataBar>
      <extLst>
        <ext xmlns:x14="http://schemas.microsoft.com/office/spreadsheetml/2009/9/main" uri="{B025F937-C7B1-47D3-B67F-A62EFF666E3E}">
          <x14:id>{70E263C2-5DE8-4894-8E70-37696C7E755C}</x14:id>
        </ext>
      </extLst>
    </cfRule>
  </conditionalFormatting>
  <conditionalFormatting sqref="J54">
    <cfRule type="dataBar" priority="25">
      <dataBar>
        <cfvo type="num" val="0"/>
        <cfvo type="num" val="3"/>
        <color rgb="FF3290C4"/>
      </dataBar>
      <extLst>
        <ext xmlns:x14="http://schemas.microsoft.com/office/spreadsheetml/2009/9/main" uri="{B025F937-C7B1-47D3-B67F-A62EFF666E3E}">
          <x14:id>{7D21734C-7BF2-417D-9FD8-E910CF633C5E}</x14:id>
        </ext>
      </extLst>
    </cfRule>
  </conditionalFormatting>
  <conditionalFormatting sqref="J55">
    <cfRule type="dataBar" priority="26">
      <dataBar>
        <cfvo type="num" val="0"/>
        <cfvo type="num" val="3"/>
        <color rgb="FFB75727"/>
      </dataBar>
      <extLst>
        <ext xmlns:x14="http://schemas.microsoft.com/office/spreadsheetml/2009/9/main" uri="{B025F937-C7B1-47D3-B67F-A62EFF666E3E}">
          <x14:id>{43B717B1-29C9-4294-98D7-90BC16946E71}</x14:id>
        </ext>
      </extLst>
    </cfRule>
  </conditionalFormatting>
  <conditionalFormatting sqref="J57">
    <cfRule type="dataBar" priority="27">
      <dataBar>
        <cfvo type="num" val="0"/>
        <cfvo type="num" val="3"/>
        <color rgb="FF37793E"/>
      </dataBar>
      <extLst>
        <ext xmlns:x14="http://schemas.microsoft.com/office/spreadsheetml/2009/9/main" uri="{B025F937-C7B1-47D3-B67F-A62EFF666E3E}">
          <x14:id>{24558C60-4BFA-43AD-B782-FF5037C181BA}</x14:id>
        </ext>
      </extLst>
    </cfRule>
  </conditionalFormatting>
  <conditionalFormatting sqref="J58">
    <cfRule type="dataBar" priority="28">
      <dataBar>
        <cfvo type="num" val="0"/>
        <cfvo type="num" val="3"/>
        <color rgb="FF791F17"/>
      </dataBar>
      <extLst>
        <ext xmlns:x14="http://schemas.microsoft.com/office/spreadsheetml/2009/9/main" uri="{B025F937-C7B1-47D3-B67F-A62EFF666E3E}">
          <x14:id>{0035F680-7985-41DB-A247-3D114C8DF6BB}</x14:id>
        </ext>
      </extLst>
    </cfRule>
  </conditionalFormatting>
  <conditionalFormatting sqref="J56">
    <cfRule type="dataBar" priority="29">
      <dataBar>
        <cfvo type="num" val="0"/>
        <cfvo type="num" val="3"/>
        <color rgb="FFBDBF17"/>
      </dataBar>
      <extLst>
        <ext xmlns:x14="http://schemas.microsoft.com/office/spreadsheetml/2009/9/main" uri="{B025F937-C7B1-47D3-B67F-A62EFF666E3E}">
          <x14:id>{12B07E63-DB7C-4F37-A6DB-742E42FDA416}</x14:id>
        </ext>
      </extLst>
    </cfRule>
  </conditionalFormatting>
  <conditionalFormatting sqref="J73">
    <cfRule type="dataBar" priority="30">
      <dataBar>
        <cfvo type="num" val="0"/>
        <cfvo type="num" val="3"/>
        <color rgb="FF3290C4"/>
      </dataBar>
      <extLst>
        <ext xmlns:x14="http://schemas.microsoft.com/office/spreadsheetml/2009/9/main" uri="{B025F937-C7B1-47D3-B67F-A62EFF666E3E}">
          <x14:id>{BC51A9E3-2FEA-438C-A268-92C155C20019}</x14:id>
        </ext>
      </extLst>
    </cfRule>
  </conditionalFormatting>
  <conditionalFormatting sqref="J74">
    <cfRule type="dataBar" priority="31">
      <dataBar>
        <cfvo type="num" val="0"/>
        <cfvo type="num" val="3"/>
        <color rgb="FFB75727"/>
      </dataBar>
      <extLst>
        <ext xmlns:x14="http://schemas.microsoft.com/office/spreadsheetml/2009/9/main" uri="{B025F937-C7B1-47D3-B67F-A62EFF666E3E}">
          <x14:id>{C76C3927-8266-4558-8896-2335C9CD256C}</x14:id>
        </ext>
      </extLst>
    </cfRule>
  </conditionalFormatting>
  <conditionalFormatting sqref="J76">
    <cfRule type="dataBar" priority="32">
      <dataBar>
        <cfvo type="num" val="0"/>
        <cfvo type="num" val="3"/>
        <color rgb="FF37793E"/>
      </dataBar>
      <extLst>
        <ext xmlns:x14="http://schemas.microsoft.com/office/spreadsheetml/2009/9/main" uri="{B025F937-C7B1-47D3-B67F-A62EFF666E3E}">
          <x14:id>{B5C27DE6-1BD3-44CB-B0CA-7022D64EAF5F}</x14:id>
        </ext>
      </extLst>
    </cfRule>
  </conditionalFormatting>
  <conditionalFormatting sqref="J77">
    <cfRule type="dataBar" priority="33">
      <dataBar>
        <cfvo type="num" val="0"/>
        <cfvo type="num" val="3"/>
        <color rgb="FF791F17"/>
      </dataBar>
      <extLst>
        <ext xmlns:x14="http://schemas.microsoft.com/office/spreadsheetml/2009/9/main" uri="{B025F937-C7B1-47D3-B67F-A62EFF666E3E}">
          <x14:id>{F6942028-9844-42B5-89B0-52B725D02047}</x14:id>
        </ext>
      </extLst>
    </cfRule>
  </conditionalFormatting>
  <conditionalFormatting sqref="J75">
    <cfRule type="dataBar" priority="34">
      <dataBar>
        <cfvo type="num" val="0"/>
        <cfvo type="num" val="3"/>
        <color rgb="FFBDBF17"/>
      </dataBar>
      <extLst>
        <ext xmlns:x14="http://schemas.microsoft.com/office/spreadsheetml/2009/9/main" uri="{B025F937-C7B1-47D3-B67F-A62EFF666E3E}">
          <x14:id>{C212F36E-79A9-4684-89C1-EF8EB64610ED}</x14:id>
        </ext>
      </extLst>
    </cfRule>
  </conditionalFormatting>
  <conditionalFormatting sqref="J94">
    <cfRule type="dataBar" priority="35">
      <dataBar>
        <cfvo type="num" val="0"/>
        <cfvo type="num" val="3"/>
        <color rgb="FF3290C4"/>
      </dataBar>
      <extLst>
        <ext xmlns:x14="http://schemas.microsoft.com/office/spreadsheetml/2009/9/main" uri="{B025F937-C7B1-47D3-B67F-A62EFF666E3E}">
          <x14:id>{B6FE9537-9C91-467C-9DFA-305ECD1573B8}</x14:id>
        </ext>
      </extLst>
    </cfRule>
  </conditionalFormatting>
  <conditionalFormatting sqref="J95">
    <cfRule type="dataBar" priority="36">
      <dataBar>
        <cfvo type="num" val="0"/>
        <cfvo type="num" val="3"/>
        <color rgb="FFB75727"/>
      </dataBar>
      <extLst>
        <ext xmlns:x14="http://schemas.microsoft.com/office/spreadsheetml/2009/9/main" uri="{B025F937-C7B1-47D3-B67F-A62EFF666E3E}">
          <x14:id>{DE622359-BD9F-47F1-9C65-AAC83250CA17}</x14:id>
        </ext>
      </extLst>
    </cfRule>
  </conditionalFormatting>
  <conditionalFormatting sqref="J97">
    <cfRule type="dataBar" priority="37">
      <dataBar>
        <cfvo type="num" val="0"/>
        <cfvo type="num" val="3"/>
        <color rgb="FF37793E"/>
      </dataBar>
      <extLst>
        <ext xmlns:x14="http://schemas.microsoft.com/office/spreadsheetml/2009/9/main" uri="{B025F937-C7B1-47D3-B67F-A62EFF666E3E}">
          <x14:id>{B82DF014-32C8-4FF7-99E0-2125203C4DFE}</x14:id>
        </ext>
      </extLst>
    </cfRule>
  </conditionalFormatting>
  <conditionalFormatting sqref="J98">
    <cfRule type="dataBar" priority="38">
      <dataBar>
        <cfvo type="num" val="0"/>
        <cfvo type="num" val="3"/>
        <color rgb="FF791F17"/>
      </dataBar>
      <extLst>
        <ext xmlns:x14="http://schemas.microsoft.com/office/spreadsheetml/2009/9/main" uri="{B025F937-C7B1-47D3-B67F-A62EFF666E3E}">
          <x14:id>{E685BD3D-8662-44A9-976A-66C390DFDAB4}</x14:id>
        </ext>
      </extLst>
    </cfRule>
  </conditionalFormatting>
  <conditionalFormatting sqref="J96">
    <cfRule type="dataBar" priority="39">
      <dataBar>
        <cfvo type="num" val="0"/>
        <cfvo type="num" val="3"/>
        <color rgb="FFBDBF17"/>
      </dataBar>
      <extLst>
        <ext xmlns:x14="http://schemas.microsoft.com/office/spreadsheetml/2009/9/main" uri="{B025F937-C7B1-47D3-B67F-A62EFF666E3E}">
          <x14:id>{78A27A1E-EEDC-4F37-8881-C2AA9BB383DF}</x14:id>
        </ext>
      </extLst>
    </cfRule>
  </conditionalFormatting>
  <conditionalFormatting sqref="D54:F55">
    <cfRule type="dataBar" priority="40">
      <dataBar>
        <cfvo type="num" val="0"/>
        <cfvo type="num" val="1"/>
        <color rgb="FF3290C4"/>
      </dataBar>
      <extLst>
        <ext xmlns:x14="http://schemas.microsoft.com/office/spreadsheetml/2009/9/main" uri="{B025F937-C7B1-47D3-B67F-A62EFF666E3E}">
          <x14:id>{F17B909B-9AFA-4119-8860-D432696EE059}</x14:id>
        </ext>
      </extLst>
    </cfRule>
  </conditionalFormatting>
  <conditionalFormatting sqref="D57:F59">
    <cfRule type="dataBar" priority="41">
      <dataBar>
        <cfvo type="num" val="0"/>
        <cfvo type="num" val="1"/>
        <color rgb="FFB75727"/>
      </dataBar>
      <extLst>
        <ext xmlns:x14="http://schemas.microsoft.com/office/spreadsheetml/2009/9/main" uri="{B025F937-C7B1-47D3-B67F-A62EFF666E3E}">
          <x14:id>{1710FB30-5A95-4A97-AA5C-1D61ABC563AF}</x14:id>
        </ext>
      </extLst>
    </cfRule>
  </conditionalFormatting>
  <conditionalFormatting sqref="D60:F62">
    <cfRule type="dataBar" priority="42">
      <dataBar>
        <cfvo type="num" val="0"/>
        <cfvo type="num" val="1"/>
        <color rgb="FFBDBF17"/>
      </dataBar>
      <extLst>
        <ext xmlns:x14="http://schemas.microsoft.com/office/spreadsheetml/2009/9/main" uri="{B025F937-C7B1-47D3-B67F-A62EFF666E3E}">
          <x14:id>{CDE7258E-30F5-4024-955D-1326E0506082}</x14:id>
        </ext>
      </extLst>
    </cfRule>
  </conditionalFormatting>
  <conditionalFormatting sqref="D56:F56">
    <cfRule type="dataBar" priority="43">
      <dataBar>
        <cfvo type="num" val="0"/>
        <cfvo type="num" val="1"/>
        <color rgb="FF3290C4"/>
      </dataBar>
      <extLst>
        <ext xmlns:x14="http://schemas.microsoft.com/office/spreadsheetml/2009/9/main" uri="{B025F937-C7B1-47D3-B67F-A62EFF666E3E}">
          <x14:id>{6A4C81BB-171D-49B8-A77B-BDB11DAB3073}</x14:id>
        </ext>
      </extLst>
    </cfRule>
  </conditionalFormatting>
  <conditionalFormatting sqref="D75:F75">
    <cfRule type="dataBar" priority="44">
      <dataBar>
        <cfvo type="num" val="0"/>
        <cfvo type="num" val="1"/>
        <color rgb="FF3290C4"/>
      </dataBar>
      <extLst>
        <ext xmlns:x14="http://schemas.microsoft.com/office/spreadsheetml/2009/9/main" uri="{B025F937-C7B1-47D3-B67F-A62EFF666E3E}">
          <x14:id>{36173F95-9EDA-4528-8C32-30C0BE647F00}</x14:id>
        </ext>
      </extLst>
    </cfRule>
  </conditionalFormatting>
  <conditionalFormatting sqref="D76:F76">
    <cfRule type="dataBar" priority="45">
      <dataBar>
        <cfvo type="num" val="0"/>
        <cfvo type="num" val="1"/>
        <color rgb="FFB75727"/>
      </dataBar>
      <extLst>
        <ext xmlns:x14="http://schemas.microsoft.com/office/spreadsheetml/2009/9/main" uri="{B025F937-C7B1-47D3-B67F-A62EFF666E3E}">
          <x14:id>{E663F2F2-1BEC-40E0-8EC0-3D54D464B1EA}</x14:id>
        </ext>
      </extLst>
    </cfRule>
  </conditionalFormatting>
  <conditionalFormatting sqref="D77:F77">
    <cfRule type="dataBar" priority="46">
      <dataBar>
        <cfvo type="num" val="0"/>
        <cfvo type="num" val="1"/>
        <color rgb="FFB75727"/>
      </dataBar>
      <extLst>
        <ext xmlns:x14="http://schemas.microsoft.com/office/spreadsheetml/2009/9/main" uri="{B025F937-C7B1-47D3-B67F-A62EFF666E3E}">
          <x14:id>{6B86ADCA-7FB2-49C9-A5B1-D3E855D32AE5}</x14:id>
        </ext>
      </extLst>
    </cfRule>
  </conditionalFormatting>
  <conditionalFormatting sqref="D78:F78">
    <cfRule type="dataBar" priority="47">
      <dataBar>
        <cfvo type="num" val="0"/>
        <cfvo type="num" val="1"/>
        <color rgb="FFB75727"/>
      </dataBar>
      <extLst>
        <ext xmlns:x14="http://schemas.microsoft.com/office/spreadsheetml/2009/9/main" uri="{B025F937-C7B1-47D3-B67F-A62EFF666E3E}">
          <x14:id>{F9B1251C-D6D9-45A8-BC86-5EBFAC6F8B24}</x14:id>
        </ext>
      </extLst>
    </cfRule>
  </conditionalFormatting>
  <conditionalFormatting sqref="D79:F79">
    <cfRule type="dataBar" priority="48">
      <dataBar>
        <cfvo type="num" val="0"/>
        <cfvo type="num" val="1"/>
        <color rgb="FFBDBF17"/>
      </dataBar>
      <extLst>
        <ext xmlns:x14="http://schemas.microsoft.com/office/spreadsheetml/2009/9/main" uri="{B025F937-C7B1-47D3-B67F-A62EFF666E3E}">
          <x14:id>{393C4F3E-28A8-45F0-AEC2-F75D9E258ADE}</x14:id>
        </ext>
      </extLst>
    </cfRule>
  </conditionalFormatting>
  <conditionalFormatting sqref="D80:F80">
    <cfRule type="dataBar" priority="49">
      <dataBar>
        <cfvo type="num" val="0"/>
        <cfvo type="num" val="1"/>
        <color rgb="FFBDBF17"/>
      </dataBar>
      <extLst>
        <ext xmlns:x14="http://schemas.microsoft.com/office/spreadsheetml/2009/9/main" uri="{B025F937-C7B1-47D3-B67F-A62EFF666E3E}">
          <x14:id>{5243D756-64CE-411A-BB8E-F790ABEFED87}</x14:id>
        </ext>
      </extLst>
    </cfRule>
  </conditionalFormatting>
  <conditionalFormatting sqref="D81:F81">
    <cfRule type="dataBar" priority="50">
      <dataBar>
        <cfvo type="num" val="0"/>
        <cfvo type="num" val="1"/>
        <color rgb="FFBDBF17"/>
      </dataBar>
      <extLst>
        <ext xmlns:x14="http://schemas.microsoft.com/office/spreadsheetml/2009/9/main" uri="{B025F937-C7B1-47D3-B67F-A62EFF666E3E}">
          <x14:id>{6035A4AB-F3AF-4F79-89FF-1E5C10888082}</x14:id>
        </ext>
      </extLst>
    </cfRule>
  </conditionalFormatting>
  <conditionalFormatting sqref="D82:F82">
    <cfRule type="dataBar" priority="51">
      <dataBar>
        <cfvo type="num" val="0"/>
        <cfvo type="num" val="1"/>
        <color rgb="FF37793E"/>
      </dataBar>
      <extLst>
        <ext xmlns:x14="http://schemas.microsoft.com/office/spreadsheetml/2009/9/main" uri="{B025F937-C7B1-47D3-B67F-A62EFF666E3E}">
          <x14:id>{7834882B-7E3A-4535-BCB8-805E64DA3E55}</x14:id>
        </ext>
      </extLst>
    </cfRule>
  </conditionalFormatting>
  <conditionalFormatting sqref="D83:F83">
    <cfRule type="dataBar" priority="52">
      <dataBar>
        <cfvo type="num" val="0"/>
        <cfvo type="num" val="1"/>
        <color rgb="FF37793E"/>
      </dataBar>
      <extLst>
        <ext xmlns:x14="http://schemas.microsoft.com/office/spreadsheetml/2009/9/main" uri="{B025F937-C7B1-47D3-B67F-A62EFF666E3E}">
          <x14:id>{2D802C41-D263-458C-9278-949AB935FE6B}</x14:id>
        </ext>
      </extLst>
    </cfRule>
  </conditionalFormatting>
  <conditionalFormatting sqref="D84:F84">
    <cfRule type="dataBar" priority="53">
      <dataBar>
        <cfvo type="num" val="0"/>
        <cfvo type="num" val="1"/>
        <color rgb="FF37793E"/>
      </dataBar>
      <extLst>
        <ext xmlns:x14="http://schemas.microsoft.com/office/spreadsheetml/2009/9/main" uri="{B025F937-C7B1-47D3-B67F-A62EFF666E3E}">
          <x14:id>{E4475AD2-2EC4-44E5-BE34-C3C43721C1A0}</x14:id>
        </ext>
      </extLst>
    </cfRule>
  </conditionalFormatting>
  <conditionalFormatting sqref="D85:F85">
    <cfRule type="dataBar" priority="54">
      <dataBar>
        <cfvo type="num" val="0"/>
        <cfvo type="num" val="1"/>
        <color rgb="FF791F17"/>
      </dataBar>
      <extLst>
        <ext xmlns:x14="http://schemas.microsoft.com/office/spreadsheetml/2009/9/main" uri="{B025F937-C7B1-47D3-B67F-A62EFF666E3E}">
          <x14:id>{10C6B8C6-B276-40B9-96C0-74F64A44E06D}</x14:id>
        </ext>
      </extLst>
    </cfRule>
  </conditionalFormatting>
  <conditionalFormatting sqref="D86:F86">
    <cfRule type="dataBar" priority="55">
      <dataBar>
        <cfvo type="num" val="0"/>
        <cfvo type="num" val="1"/>
        <color rgb="FF791F17"/>
      </dataBar>
      <extLst>
        <ext xmlns:x14="http://schemas.microsoft.com/office/spreadsheetml/2009/9/main" uri="{B025F937-C7B1-47D3-B67F-A62EFF666E3E}">
          <x14:id>{673B7DCE-3E83-4630-BF44-19807ABCBE42}</x14:id>
        </ext>
      </extLst>
    </cfRule>
  </conditionalFormatting>
  <conditionalFormatting sqref="D87:F87">
    <cfRule type="dataBar" priority="56">
      <dataBar>
        <cfvo type="num" val="0"/>
        <cfvo type="num" val="1"/>
        <color rgb="FF791F17"/>
      </dataBar>
      <extLst>
        <ext xmlns:x14="http://schemas.microsoft.com/office/spreadsheetml/2009/9/main" uri="{B025F937-C7B1-47D3-B67F-A62EFF666E3E}">
          <x14:id>{2EB14540-CA52-437F-87AD-4C1118F484E9}</x14:id>
        </ext>
      </extLst>
    </cfRule>
  </conditionalFormatting>
  <conditionalFormatting sqref="D63:F63">
    <cfRule type="dataBar" priority="57">
      <dataBar>
        <cfvo type="num" val="0"/>
        <cfvo type="num" val="1"/>
        <color rgb="FF37793E"/>
      </dataBar>
      <extLst>
        <ext xmlns:x14="http://schemas.microsoft.com/office/spreadsheetml/2009/9/main" uri="{B025F937-C7B1-47D3-B67F-A62EFF666E3E}">
          <x14:id>{8E8030E5-90C8-4479-B97D-814FE998505F}</x14:id>
        </ext>
      </extLst>
    </cfRule>
  </conditionalFormatting>
  <conditionalFormatting sqref="D64:F64">
    <cfRule type="dataBar" priority="58">
      <dataBar>
        <cfvo type="num" val="0"/>
        <cfvo type="num" val="1"/>
        <color rgb="FF37793E"/>
      </dataBar>
      <extLst>
        <ext xmlns:x14="http://schemas.microsoft.com/office/spreadsheetml/2009/9/main" uri="{B025F937-C7B1-47D3-B67F-A62EFF666E3E}">
          <x14:id>{8D9A5A7C-A241-4C84-BBC2-D663195BE4EE}</x14:id>
        </ext>
      </extLst>
    </cfRule>
  </conditionalFormatting>
  <conditionalFormatting sqref="D65:F65">
    <cfRule type="dataBar" priority="59">
      <dataBar>
        <cfvo type="num" val="0"/>
        <cfvo type="num" val="1"/>
        <color rgb="FF37793E"/>
      </dataBar>
      <extLst>
        <ext xmlns:x14="http://schemas.microsoft.com/office/spreadsheetml/2009/9/main" uri="{B025F937-C7B1-47D3-B67F-A62EFF666E3E}">
          <x14:id>{46B72B8C-6E53-42DD-A262-9D33CD1E1BE0}</x14:id>
        </ext>
      </extLst>
    </cfRule>
  </conditionalFormatting>
  <conditionalFormatting sqref="D66:F66">
    <cfRule type="dataBar" priority="60">
      <dataBar>
        <cfvo type="num" val="0"/>
        <cfvo type="num" val="1"/>
        <color rgb="FF791F17"/>
      </dataBar>
      <extLst>
        <ext xmlns:x14="http://schemas.microsoft.com/office/spreadsheetml/2009/9/main" uri="{B025F937-C7B1-47D3-B67F-A62EFF666E3E}">
          <x14:id>{3958C844-A426-4492-8962-D74C8D6F7D99}</x14:id>
        </ext>
      </extLst>
    </cfRule>
  </conditionalFormatting>
  <conditionalFormatting sqref="D67:F67">
    <cfRule type="dataBar" priority="61">
      <dataBar>
        <cfvo type="num" val="0"/>
        <cfvo type="num" val="1"/>
        <color rgb="FF791F17"/>
      </dataBar>
      <extLst>
        <ext xmlns:x14="http://schemas.microsoft.com/office/spreadsheetml/2009/9/main" uri="{B025F937-C7B1-47D3-B67F-A62EFF666E3E}">
          <x14:id>{D2A0D8D2-4236-44E8-8764-70DA85F62342}</x14:id>
        </ext>
      </extLst>
    </cfRule>
  </conditionalFormatting>
  <conditionalFormatting sqref="D68:F68">
    <cfRule type="dataBar" priority="62">
      <dataBar>
        <cfvo type="num" val="0"/>
        <cfvo type="num" val="1"/>
        <color rgb="FF791F17"/>
      </dataBar>
      <extLst>
        <ext xmlns:x14="http://schemas.microsoft.com/office/spreadsheetml/2009/9/main" uri="{B025F937-C7B1-47D3-B67F-A62EFF666E3E}">
          <x14:id>{9AEA9152-A0B9-477B-BDB1-2FB77E4FEE12}</x14:id>
        </ext>
      </extLst>
    </cfRule>
  </conditionalFormatting>
  <conditionalFormatting sqref="D96:F96">
    <cfRule type="dataBar" priority="63">
      <dataBar>
        <cfvo type="num" val="0"/>
        <cfvo type="num" val="1"/>
        <color rgb="FF3290C4"/>
      </dataBar>
      <extLst>
        <ext xmlns:x14="http://schemas.microsoft.com/office/spreadsheetml/2009/9/main" uri="{B025F937-C7B1-47D3-B67F-A62EFF666E3E}">
          <x14:id>{117C8925-2C28-4080-8910-724D9A00646A}</x14:id>
        </ext>
      </extLst>
    </cfRule>
  </conditionalFormatting>
  <conditionalFormatting sqref="D97:F97">
    <cfRule type="dataBar" priority="64">
      <dataBar>
        <cfvo type="num" val="0"/>
        <cfvo type="num" val="1"/>
        <color rgb="FFB75727"/>
      </dataBar>
      <extLst>
        <ext xmlns:x14="http://schemas.microsoft.com/office/spreadsheetml/2009/9/main" uri="{B025F937-C7B1-47D3-B67F-A62EFF666E3E}">
          <x14:id>{86B17293-C191-47E0-8450-CB30FA35DB21}</x14:id>
        </ext>
      </extLst>
    </cfRule>
  </conditionalFormatting>
  <conditionalFormatting sqref="D98:F98">
    <cfRule type="dataBar" priority="65">
      <dataBar>
        <cfvo type="num" val="0"/>
        <cfvo type="num" val="1"/>
        <color rgb="FFB75727"/>
      </dataBar>
      <extLst>
        <ext xmlns:x14="http://schemas.microsoft.com/office/spreadsheetml/2009/9/main" uri="{B025F937-C7B1-47D3-B67F-A62EFF666E3E}">
          <x14:id>{6080F463-77F4-4F58-8E6F-14BFFCDF9A1B}</x14:id>
        </ext>
      </extLst>
    </cfRule>
  </conditionalFormatting>
  <conditionalFormatting sqref="D99:F99">
    <cfRule type="dataBar" priority="66">
      <dataBar>
        <cfvo type="num" val="0"/>
        <cfvo type="num" val="1"/>
        <color rgb="FFB75727"/>
      </dataBar>
      <extLst>
        <ext xmlns:x14="http://schemas.microsoft.com/office/spreadsheetml/2009/9/main" uri="{B025F937-C7B1-47D3-B67F-A62EFF666E3E}">
          <x14:id>{7E31793E-88CC-4CE8-B027-E6A1D210DE6C}</x14:id>
        </ext>
      </extLst>
    </cfRule>
  </conditionalFormatting>
  <conditionalFormatting sqref="D100:F100">
    <cfRule type="dataBar" priority="67">
      <dataBar>
        <cfvo type="num" val="0"/>
        <cfvo type="num" val="1"/>
        <color rgb="FFBDBF17"/>
      </dataBar>
      <extLst>
        <ext xmlns:x14="http://schemas.microsoft.com/office/spreadsheetml/2009/9/main" uri="{B025F937-C7B1-47D3-B67F-A62EFF666E3E}">
          <x14:id>{E83D477E-8590-4E10-83AC-407A6D1F18B5}</x14:id>
        </ext>
      </extLst>
    </cfRule>
  </conditionalFormatting>
  <conditionalFormatting sqref="D101:F101">
    <cfRule type="dataBar" priority="68">
      <dataBar>
        <cfvo type="num" val="0"/>
        <cfvo type="num" val="1"/>
        <color rgb="FFBDBF17"/>
      </dataBar>
      <extLst>
        <ext xmlns:x14="http://schemas.microsoft.com/office/spreadsheetml/2009/9/main" uri="{B025F937-C7B1-47D3-B67F-A62EFF666E3E}">
          <x14:id>{61AC1E8B-B193-4528-B0AC-A0F0C8F2D874}</x14:id>
        </ext>
      </extLst>
    </cfRule>
  </conditionalFormatting>
  <conditionalFormatting sqref="D102:F102">
    <cfRule type="dataBar" priority="69">
      <dataBar>
        <cfvo type="num" val="0"/>
        <cfvo type="num" val="1"/>
        <color rgb="FFBDBF17"/>
      </dataBar>
      <extLst>
        <ext xmlns:x14="http://schemas.microsoft.com/office/spreadsheetml/2009/9/main" uri="{B025F937-C7B1-47D3-B67F-A62EFF666E3E}">
          <x14:id>{B5E57336-4286-4283-B653-3E88D44C152F}</x14:id>
        </ext>
      </extLst>
    </cfRule>
  </conditionalFormatting>
  <conditionalFormatting sqref="D103:F103">
    <cfRule type="dataBar" priority="70">
      <dataBar>
        <cfvo type="num" val="0"/>
        <cfvo type="num" val="1"/>
        <color rgb="FF37793E"/>
      </dataBar>
      <extLst>
        <ext xmlns:x14="http://schemas.microsoft.com/office/spreadsheetml/2009/9/main" uri="{B025F937-C7B1-47D3-B67F-A62EFF666E3E}">
          <x14:id>{5CB89FE7-26CE-418A-967F-2E1D4731E1E8}</x14:id>
        </ext>
      </extLst>
    </cfRule>
  </conditionalFormatting>
  <conditionalFormatting sqref="D104:F104">
    <cfRule type="dataBar" priority="71">
      <dataBar>
        <cfvo type="num" val="0"/>
        <cfvo type="num" val="1"/>
        <color rgb="FF37793E"/>
      </dataBar>
      <extLst>
        <ext xmlns:x14="http://schemas.microsoft.com/office/spreadsheetml/2009/9/main" uri="{B025F937-C7B1-47D3-B67F-A62EFF666E3E}">
          <x14:id>{2E591E41-5010-4157-ACCD-2D32E0A8E0B8}</x14:id>
        </ext>
      </extLst>
    </cfRule>
  </conditionalFormatting>
  <conditionalFormatting sqref="D105:F105">
    <cfRule type="dataBar" priority="72">
      <dataBar>
        <cfvo type="num" val="0"/>
        <cfvo type="num" val="1"/>
        <color rgb="FF37793E"/>
      </dataBar>
      <extLst>
        <ext xmlns:x14="http://schemas.microsoft.com/office/spreadsheetml/2009/9/main" uri="{B025F937-C7B1-47D3-B67F-A62EFF666E3E}">
          <x14:id>{93175B76-936C-4C43-9059-17AA742F3918}</x14:id>
        </ext>
      </extLst>
    </cfRule>
  </conditionalFormatting>
  <conditionalFormatting sqref="D106:F106">
    <cfRule type="dataBar" priority="73">
      <dataBar>
        <cfvo type="num" val="0"/>
        <cfvo type="num" val="1"/>
        <color rgb="FF791F17"/>
      </dataBar>
      <extLst>
        <ext xmlns:x14="http://schemas.microsoft.com/office/spreadsheetml/2009/9/main" uri="{B025F937-C7B1-47D3-B67F-A62EFF666E3E}">
          <x14:id>{A06CC241-30FC-4CBC-8770-DE81C0F2677B}</x14:id>
        </ext>
      </extLst>
    </cfRule>
  </conditionalFormatting>
  <conditionalFormatting sqref="D107:F107">
    <cfRule type="dataBar" priority="74">
      <dataBar>
        <cfvo type="num" val="0"/>
        <cfvo type="num" val="1"/>
        <color rgb="FF791F17"/>
      </dataBar>
      <extLst>
        <ext xmlns:x14="http://schemas.microsoft.com/office/spreadsheetml/2009/9/main" uri="{B025F937-C7B1-47D3-B67F-A62EFF666E3E}">
          <x14:id>{6A8EC0F1-60BA-444E-8A53-7FB3A87B12B0}</x14:id>
        </ext>
      </extLst>
    </cfRule>
  </conditionalFormatting>
  <conditionalFormatting sqref="D108:F108">
    <cfRule type="dataBar" priority="75">
      <dataBar>
        <cfvo type="num" val="0"/>
        <cfvo type="num" val="1"/>
        <color rgb="FF791F17"/>
      </dataBar>
      <extLst>
        <ext xmlns:x14="http://schemas.microsoft.com/office/spreadsheetml/2009/9/main" uri="{B025F937-C7B1-47D3-B67F-A62EFF666E3E}">
          <x14:id>{A4902BB9-BA2A-4399-A0F9-DD848A3048F1}</x14:id>
        </ext>
      </extLst>
    </cfRule>
  </conditionalFormatting>
  <pageMargins left="0.75" right="0.75" top="1" bottom="1" header="0.51180555555555496" footer="0.51180555555555496"/>
  <pageSetup paperSize="9" scale="10" firstPageNumber="0" orientation="portrait" horizontalDpi="300" verticalDpi="300"/>
  <drawing r:id="rId1"/>
  <extLst>
    <ext xmlns:x14="http://schemas.microsoft.com/office/spreadsheetml/2009/9/main" uri="{78C0D931-6437-407d-A8EE-F0AAD7539E65}">
      <x14:conditionalFormattings>
        <x14:conditionalFormatting xmlns:xm="http://schemas.microsoft.com/office/excel/2006/main">
          <x14:cfRule type="dataBar" id="{4EBC8DF7-8ECC-41E4-973A-2E473E172BA0}">
            <x14:dataBar axisPosition="none">
              <x14:cfvo type="num">
                <xm:f>0</xm:f>
              </x14:cfvo>
              <x14:cfvo type="num">
                <xm:f>1</xm:f>
              </x14:cfvo>
              <x14:negativeFillColor rgb="FFFFFFFF"/>
            </x14:dataBar>
          </x14:cfRule>
          <xm:sqref>D14:F16</xm:sqref>
        </x14:conditionalFormatting>
        <x14:conditionalFormatting xmlns:xm="http://schemas.microsoft.com/office/excel/2006/main">
          <x14:cfRule type="dataBar" id="{3FA931AC-B74A-4740-8C80-94A232C848C0}">
            <x14:dataBar axisPosition="none">
              <x14:cfvo type="num">
                <xm:f>0</xm:f>
              </x14:cfvo>
              <x14:cfvo type="num">
                <xm:f>3</xm:f>
              </x14:cfvo>
              <x14:negativeFillColor rgb="FFFFFFFF"/>
            </x14:dataBar>
          </x14:cfRule>
          <xm:sqref>J14</xm:sqref>
        </x14:conditionalFormatting>
        <x14:conditionalFormatting xmlns:xm="http://schemas.microsoft.com/office/excel/2006/main">
          <x14:cfRule type="dataBar" id="{CC2C7280-DFFD-47BF-8222-BD45D3567EDC}">
            <x14:dataBar axisPosition="none">
              <x14:cfvo type="num">
                <xm:f>0</xm:f>
              </x14:cfvo>
              <x14:cfvo type="num">
                <xm:f>3</xm:f>
              </x14:cfvo>
              <x14:negativeFillColor rgb="FFFFFFFF"/>
            </x14:dataBar>
          </x14:cfRule>
          <xm:sqref>J15</xm:sqref>
        </x14:conditionalFormatting>
        <x14:conditionalFormatting xmlns:xm="http://schemas.microsoft.com/office/excel/2006/main">
          <x14:cfRule type="dataBar" id="{DC5F9C72-A1E5-401C-81F7-E0C1B1E1BDE2}">
            <x14:dataBar axisPosition="none">
              <x14:cfvo type="num">
                <xm:f>0</xm:f>
              </x14:cfvo>
              <x14:cfvo type="num">
                <xm:f>3</xm:f>
              </x14:cfvo>
              <x14:negativeFillColor rgb="FFFFFFFF"/>
            </x14:dataBar>
          </x14:cfRule>
          <xm:sqref>J17</xm:sqref>
        </x14:conditionalFormatting>
        <x14:conditionalFormatting xmlns:xm="http://schemas.microsoft.com/office/excel/2006/main">
          <x14:cfRule type="dataBar" id="{9E8020E5-73CC-4F78-9D76-47A2F462BFC8}">
            <x14:dataBar axisPosition="none">
              <x14:cfvo type="num">
                <xm:f>0</xm:f>
              </x14:cfvo>
              <x14:cfvo type="num">
                <xm:f>3</xm:f>
              </x14:cfvo>
              <x14:negativeFillColor rgb="FFFFFFFF"/>
            </x14:dataBar>
          </x14:cfRule>
          <xm:sqref>J18</xm:sqref>
        </x14:conditionalFormatting>
        <x14:conditionalFormatting xmlns:xm="http://schemas.microsoft.com/office/excel/2006/main">
          <x14:cfRule type="dataBar" id="{666BD523-DF49-4F4D-921C-663B78CE9287}">
            <x14:dataBar axisPosition="none">
              <x14:cfvo type="num">
                <xm:f>0</xm:f>
              </x14:cfvo>
              <x14:cfvo type="num">
                <xm:f>3</xm:f>
              </x14:cfvo>
              <x14:negativeFillColor rgb="FFFFFFFF"/>
            </x14:dataBar>
          </x14:cfRule>
          <xm:sqref>J16</xm:sqref>
        </x14:conditionalFormatting>
        <x14:conditionalFormatting xmlns:xm="http://schemas.microsoft.com/office/excel/2006/main">
          <x14:cfRule type="dataBar" id="{F3AE88FF-3943-4322-9351-1E6C758D6EEE}">
            <x14:dataBar axisPosition="none">
              <x14:cfvo type="num">
                <xm:f>0</xm:f>
              </x14:cfvo>
              <x14:cfvo type="num">
                <xm:f>1</xm:f>
              </x14:cfvo>
              <x14:negativeFillColor rgb="FFFFFFFF"/>
            </x14:dataBar>
          </x14:cfRule>
          <xm:sqref>D17:F19</xm:sqref>
        </x14:conditionalFormatting>
        <x14:conditionalFormatting xmlns:xm="http://schemas.microsoft.com/office/excel/2006/main">
          <x14:cfRule type="dataBar" id="{84F22AA7-5FB7-4BB0-B971-ADD77990EC1B}">
            <x14:dataBar axisPosition="none">
              <x14:cfvo type="num">
                <xm:f>0</xm:f>
              </x14:cfvo>
              <x14:cfvo type="num">
                <xm:f>1</xm:f>
              </x14:cfvo>
              <x14:negativeFillColor rgb="FFFFFFFF"/>
            </x14:dataBar>
          </x14:cfRule>
          <xm:sqref>D20:F22</xm:sqref>
        </x14:conditionalFormatting>
        <x14:conditionalFormatting xmlns:xm="http://schemas.microsoft.com/office/excel/2006/main">
          <x14:cfRule type="dataBar" id="{42BF176A-5710-4485-BABA-93F9EED43716}">
            <x14:dataBar axisPosition="none">
              <x14:cfvo type="num">
                <xm:f>0</xm:f>
              </x14:cfvo>
              <x14:cfvo type="num">
                <xm:f>1</xm:f>
              </x14:cfvo>
              <x14:negativeFillColor rgb="FFFFFFFF"/>
            </x14:dataBar>
          </x14:cfRule>
          <xm:sqref>D23:F25</xm:sqref>
        </x14:conditionalFormatting>
        <x14:conditionalFormatting xmlns:xm="http://schemas.microsoft.com/office/excel/2006/main">
          <x14:cfRule type="dataBar" id="{467E662B-C010-4473-A766-83CBC96CD6B0}">
            <x14:dataBar axisPosition="none">
              <x14:cfvo type="num">
                <xm:f>0</xm:f>
              </x14:cfvo>
              <x14:cfvo type="num">
                <xm:f>1</xm:f>
              </x14:cfvo>
              <x14:negativeFillColor rgb="FFFFFFFF"/>
            </x14:dataBar>
          </x14:cfRule>
          <xm:sqref>D26:F28</xm:sqref>
        </x14:conditionalFormatting>
        <x14:conditionalFormatting xmlns:xm="http://schemas.microsoft.com/office/excel/2006/main">
          <x14:cfRule type="dataBar" id="{3C31C3C5-DE5D-487E-AF56-B01DF7819FF9}">
            <x14:dataBar axisPosition="none">
              <x14:cfvo type="num">
                <xm:f>0</xm:f>
              </x14:cfvo>
              <x14:cfvo type="num">
                <xm:f>1</xm:f>
              </x14:cfvo>
              <x14:negativeFillColor rgb="FFFFFFFF"/>
            </x14:dataBar>
          </x14:cfRule>
          <xm:sqref>D34:F35</xm:sqref>
        </x14:conditionalFormatting>
        <x14:conditionalFormatting xmlns:xm="http://schemas.microsoft.com/office/excel/2006/main">
          <x14:cfRule type="dataBar" id="{4C52D6F4-6E3A-458E-B9A0-80CA5FD0722E}">
            <x14:dataBar axisPosition="none">
              <x14:cfvo type="num">
                <xm:f>0</xm:f>
              </x14:cfvo>
              <x14:cfvo type="num">
                <xm:f>1</xm:f>
              </x14:cfvo>
              <x14:negativeFillColor rgb="FFFFFFFF"/>
            </x14:dataBar>
          </x14:cfRule>
          <xm:sqref>D36:F36</xm:sqref>
        </x14:conditionalFormatting>
        <x14:conditionalFormatting xmlns:xm="http://schemas.microsoft.com/office/excel/2006/main">
          <x14:cfRule type="dataBar" id="{5790F226-2A7A-478A-BC23-61A4F4543E5D}">
            <x14:dataBar axisPosition="none">
              <x14:cfvo type="num">
                <xm:f>0</xm:f>
              </x14:cfvo>
              <x14:cfvo type="num">
                <xm:f>3</xm:f>
              </x14:cfvo>
              <x14:negativeFillColor rgb="FFFFFFFF"/>
            </x14:dataBar>
          </x14:cfRule>
          <xm:sqref>J34</xm:sqref>
        </x14:conditionalFormatting>
        <x14:conditionalFormatting xmlns:xm="http://schemas.microsoft.com/office/excel/2006/main">
          <x14:cfRule type="dataBar" id="{54905DA2-13F6-4F9B-8C8F-32192E682D8A}">
            <x14:dataBar axisPosition="none">
              <x14:cfvo type="num">
                <xm:f>0</xm:f>
              </x14:cfvo>
              <x14:cfvo type="num">
                <xm:f>3</xm:f>
              </x14:cfvo>
              <x14:negativeFillColor rgb="FFFFFFFF"/>
            </x14:dataBar>
          </x14:cfRule>
          <xm:sqref>J35</xm:sqref>
        </x14:conditionalFormatting>
        <x14:conditionalFormatting xmlns:xm="http://schemas.microsoft.com/office/excel/2006/main">
          <x14:cfRule type="dataBar" id="{5A2F63E1-A55B-40C2-AD1F-BD32B93AE27F}">
            <x14:dataBar axisPosition="none">
              <x14:cfvo type="num">
                <xm:f>0</xm:f>
              </x14:cfvo>
              <x14:cfvo type="num">
                <xm:f>3</xm:f>
              </x14:cfvo>
              <x14:negativeFillColor rgb="FFFFFFFF"/>
            </x14:dataBar>
          </x14:cfRule>
          <xm:sqref>J37</xm:sqref>
        </x14:conditionalFormatting>
        <x14:conditionalFormatting xmlns:xm="http://schemas.microsoft.com/office/excel/2006/main">
          <x14:cfRule type="dataBar" id="{C5B18540-91F1-4315-AF53-7057282B5883}">
            <x14:dataBar axisPosition="none">
              <x14:cfvo type="num">
                <xm:f>0</xm:f>
              </x14:cfvo>
              <x14:cfvo type="num">
                <xm:f>3</xm:f>
              </x14:cfvo>
              <x14:negativeFillColor rgb="FFFFFFFF"/>
            </x14:dataBar>
          </x14:cfRule>
          <xm:sqref>J38</xm:sqref>
        </x14:conditionalFormatting>
        <x14:conditionalFormatting xmlns:xm="http://schemas.microsoft.com/office/excel/2006/main">
          <x14:cfRule type="dataBar" id="{7EA9ED63-F8B4-4443-8E46-9C54CFB178D1}">
            <x14:dataBar axisPosition="none">
              <x14:cfvo type="num">
                <xm:f>0</xm:f>
              </x14:cfvo>
              <x14:cfvo type="num">
                <xm:f>3</xm:f>
              </x14:cfvo>
              <x14:negativeFillColor rgb="FFFFFFFF"/>
            </x14:dataBar>
          </x14:cfRule>
          <xm:sqref>J36</xm:sqref>
        </x14:conditionalFormatting>
        <x14:conditionalFormatting xmlns:xm="http://schemas.microsoft.com/office/excel/2006/main">
          <x14:cfRule type="dataBar" id="{2B18B072-E921-4131-9917-A6EEF382AF33}">
            <x14:dataBar axisPosition="none">
              <x14:cfvo type="num">
                <xm:f>0</xm:f>
              </x14:cfvo>
              <x14:cfvo type="num">
                <xm:f>1</xm:f>
              </x14:cfvo>
              <x14:negativeFillColor rgb="FFFFFFFF"/>
            </x14:dataBar>
          </x14:cfRule>
          <xm:sqref>D37:F39</xm:sqref>
        </x14:conditionalFormatting>
        <x14:conditionalFormatting xmlns:xm="http://schemas.microsoft.com/office/excel/2006/main">
          <x14:cfRule type="dataBar" id="{3C2473D5-38D7-4EB3-AF3B-4FFFCE42B8C5}">
            <x14:dataBar axisPosition="none">
              <x14:cfvo type="num">
                <xm:f>0</xm:f>
              </x14:cfvo>
              <x14:cfvo type="num">
                <xm:f>1</xm:f>
              </x14:cfvo>
              <x14:negativeFillColor rgb="FFFFFFFF"/>
            </x14:dataBar>
          </x14:cfRule>
          <xm:sqref>D46:F48</xm:sqref>
        </x14:conditionalFormatting>
        <x14:conditionalFormatting xmlns:xm="http://schemas.microsoft.com/office/excel/2006/main">
          <x14:cfRule type="dataBar" id="{C1B5DF44-AA79-4649-BD10-86EEBA4E2561}">
            <x14:dataBar axisPosition="none">
              <x14:cfvo type="num">
                <xm:f>0</xm:f>
              </x14:cfvo>
              <x14:cfvo type="num">
                <xm:f>1</xm:f>
              </x14:cfvo>
              <x14:negativeFillColor rgb="FFFFFFFF"/>
            </x14:dataBar>
          </x14:cfRule>
          <xm:sqref>D43:F45</xm:sqref>
        </x14:conditionalFormatting>
        <x14:conditionalFormatting xmlns:xm="http://schemas.microsoft.com/office/excel/2006/main">
          <x14:cfRule type="dataBar" id="{CB1357E6-EB00-48DD-9857-A3E3BAADB65D}">
            <x14:dataBar axisPosition="none">
              <x14:cfvo type="num">
                <xm:f>0</xm:f>
              </x14:cfvo>
              <x14:cfvo type="num">
                <xm:f>1</xm:f>
              </x14:cfvo>
              <x14:negativeFillColor rgb="FFFFFFFF"/>
            </x14:dataBar>
          </x14:cfRule>
          <xm:sqref>D40:F42</xm:sqref>
        </x14:conditionalFormatting>
        <x14:conditionalFormatting xmlns:xm="http://schemas.microsoft.com/office/excel/2006/main">
          <x14:cfRule type="dataBar" id="{6DD77820-F4F2-4520-AECA-69869CD0CCA5}">
            <x14:dataBar axisPosition="none">
              <x14:cfvo type="num">
                <xm:f>0</xm:f>
              </x14:cfvo>
              <x14:cfvo type="num">
                <xm:f>1</xm:f>
              </x14:cfvo>
              <x14:negativeFillColor rgb="FFFFFFFF"/>
            </x14:dataBar>
          </x14:cfRule>
          <xm:sqref>D73:F74</xm:sqref>
        </x14:conditionalFormatting>
        <x14:conditionalFormatting xmlns:xm="http://schemas.microsoft.com/office/excel/2006/main">
          <x14:cfRule type="dataBar" id="{70E263C2-5DE8-4894-8E70-37696C7E755C}">
            <x14:dataBar axisPosition="none">
              <x14:cfvo type="num">
                <xm:f>0</xm:f>
              </x14:cfvo>
              <x14:cfvo type="num">
                <xm:f>1</xm:f>
              </x14:cfvo>
              <x14:negativeFillColor rgb="FFFFFFFF"/>
            </x14:dataBar>
          </x14:cfRule>
          <xm:sqref>D94:F95</xm:sqref>
        </x14:conditionalFormatting>
        <x14:conditionalFormatting xmlns:xm="http://schemas.microsoft.com/office/excel/2006/main">
          <x14:cfRule type="dataBar" id="{7D21734C-7BF2-417D-9FD8-E910CF633C5E}">
            <x14:dataBar axisPosition="none">
              <x14:cfvo type="num">
                <xm:f>0</xm:f>
              </x14:cfvo>
              <x14:cfvo type="num">
                <xm:f>3</xm:f>
              </x14:cfvo>
              <x14:negativeFillColor rgb="FFFFFFFF"/>
            </x14:dataBar>
          </x14:cfRule>
          <xm:sqref>J54</xm:sqref>
        </x14:conditionalFormatting>
        <x14:conditionalFormatting xmlns:xm="http://schemas.microsoft.com/office/excel/2006/main">
          <x14:cfRule type="dataBar" id="{43B717B1-29C9-4294-98D7-90BC16946E71}">
            <x14:dataBar axisPosition="none">
              <x14:cfvo type="num">
                <xm:f>0</xm:f>
              </x14:cfvo>
              <x14:cfvo type="num">
                <xm:f>3</xm:f>
              </x14:cfvo>
              <x14:negativeFillColor rgb="FFFFFFFF"/>
            </x14:dataBar>
          </x14:cfRule>
          <xm:sqref>J55</xm:sqref>
        </x14:conditionalFormatting>
        <x14:conditionalFormatting xmlns:xm="http://schemas.microsoft.com/office/excel/2006/main">
          <x14:cfRule type="dataBar" id="{24558C60-4BFA-43AD-B782-FF5037C181BA}">
            <x14:dataBar axisPosition="none">
              <x14:cfvo type="num">
                <xm:f>0</xm:f>
              </x14:cfvo>
              <x14:cfvo type="num">
                <xm:f>3</xm:f>
              </x14:cfvo>
              <x14:negativeFillColor rgb="FFFFFFFF"/>
            </x14:dataBar>
          </x14:cfRule>
          <xm:sqref>J57</xm:sqref>
        </x14:conditionalFormatting>
        <x14:conditionalFormatting xmlns:xm="http://schemas.microsoft.com/office/excel/2006/main">
          <x14:cfRule type="dataBar" id="{0035F680-7985-41DB-A247-3D114C8DF6BB}">
            <x14:dataBar axisPosition="none">
              <x14:cfvo type="num">
                <xm:f>0</xm:f>
              </x14:cfvo>
              <x14:cfvo type="num">
                <xm:f>3</xm:f>
              </x14:cfvo>
              <x14:negativeFillColor rgb="FFFFFFFF"/>
            </x14:dataBar>
          </x14:cfRule>
          <xm:sqref>J58</xm:sqref>
        </x14:conditionalFormatting>
        <x14:conditionalFormatting xmlns:xm="http://schemas.microsoft.com/office/excel/2006/main">
          <x14:cfRule type="dataBar" id="{12B07E63-DB7C-4F37-A6DB-742E42FDA416}">
            <x14:dataBar axisPosition="none">
              <x14:cfvo type="num">
                <xm:f>0</xm:f>
              </x14:cfvo>
              <x14:cfvo type="num">
                <xm:f>3</xm:f>
              </x14:cfvo>
              <x14:negativeFillColor rgb="FFFFFFFF"/>
            </x14:dataBar>
          </x14:cfRule>
          <xm:sqref>J56</xm:sqref>
        </x14:conditionalFormatting>
        <x14:conditionalFormatting xmlns:xm="http://schemas.microsoft.com/office/excel/2006/main">
          <x14:cfRule type="dataBar" id="{BC51A9E3-2FEA-438C-A268-92C155C20019}">
            <x14:dataBar axisPosition="none">
              <x14:cfvo type="num">
                <xm:f>0</xm:f>
              </x14:cfvo>
              <x14:cfvo type="num">
                <xm:f>3</xm:f>
              </x14:cfvo>
              <x14:negativeFillColor rgb="FFFFFFFF"/>
            </x14:dataBar>
          </x14:cfRule>
          <xm:sqref>J73</xm:sqref>
        </x14:conditionalFormatting>
        <x14:conditionalFormatting xmlns:xm="http://schemas.microsoft.com/office/excel/2006/main">
          <x14:cfRule type="dataBar" id="{C76C3927-8266-4558-8896-2335C9CD256C}">
            <x14:dataBar axisPosition="none">
              <x14:cfvo type="num">
                <xm:f>0</xm:f>
              </x14:cfvo>
              <x14:cfvo type="num">
                <xm:f>3</xm:f>
              </x14:cfvo>
              <x14:negativeFillColor rgb="FFFFFFFF"/>
            </x14:dataBar>
          </x14:cfRule>
          <xm:sqref>J74</xm:sqref>
        </x14:conditionalFormatting>
        <x14:conditionalFormatting xmlns:xm="http://schemas.microsoft.com/office/excel/2006/main">
          <x14:cfRule type="dataBar" id="{B5C27DE6-1BD3-44CB-B0CA-7022D64EAF5F}">
            <x14:dataBar axisPosition="none">
              <x14:cfvo type="num">
                <xm:f>0</xm:f>
              </x14:cfvo>
              <x14:cfvo type="num">
                <xm:f>3</xm:f>
              </x14:cfvo>
              <x14:negativeFillColor rgb="FFFFFFFF"/>
            </x14:dataBar>
          </x14:cfRule>
          <xm:sqref>J76</xm:sqref>
        </x14:conditionalFormatting>
        <x14:conditionalFormatting xmlns:xm="http://schemas.microsoft.com/office/excel/2006/main">
          <x14:cfRule type="dataBar" id="{F6942028-9844-42B5-89B0-52B725D02047}">
            <x14:dataBar axisPosition="none">
              <x14:cfvo type="num">
                <xm:f>0</xm:f>
              </x14:cfvo>
              <x14:cfvo type="num">
                <xm:f>3</xm:f>
              </x14:cfvo>
              <x14:negativeFillColor rgb="FFFFFFFF"/>
            </x14:dataBar>
          </x14:cfRule>
          <xm:sqref>J77</xm:sqref>
        </x14:conditionalFormatting>
        <x14:conditionalFormatting xmlns:xm="http://schemas.microsoft.com/office/excel/2006/main">
          <x14:cfRule type="dataBar" id="{C212F36E-79A9-4684-89C1-EF8EB64610ED}">
            <x14:dataBar axisPosition="none">
              <x14:cfvo type="num">
                <xm:f>0</xm:f>
              </x14:cfvo>
              <x14:cfvo type="num">
                <xm:f>3</xm:f>
              </x14:cfvo>
              <x14:negativeFillColor rgb="FFFFFFFF"/>
            </x14:dataBar>
          </x14:cfRule>
          <xm:sqref>J75</xm:sqref>
        </x14:conditionalFormatting>
        <x14:conditionalFormatting xmlns:xm="http://schemas.microsoft.com/office/excel/2006/main">
          <x14:cfRule type="dataBar" id="{B6FE9537-9C91-467C-9DFA-305ECD1573B8}">
            <x14:dataBar axisPosition="none">
              <x14:cfvo type="num">
                <xm:f>0</xm:f>
              </x14:cfvo>
              <x14:cfvo type="num">
                <xm:f>3</xm:f>
              </x14:cfvo>
              <x14:negativeFillColor rgb="FFFFFFFF"/>
            </x14:dataBar>
          </x14:cfRule>
          <xm:sqref>J94</xm:sqref>
        </x14:conditionalFormatting>
        <x14:conditionalFormatting xmlns:xm="http://schemas.microsoft.com/office/excel/2006/main">
          <x14:cfRule type="dataBar" id="{DE622359-BD9F-47F1-9C65-AAC83250CA17}">
            <x14:dataBar axisPosition="none">
              <x14:cfvo type="num">
                <xm:f>0</xm:f>
              </x14:cfvo>
              <x14:cfvo type="num">
                <xm:f>3</xm:f>
              </x14:cfvo>
              <x14:negativeFillColor rgb="FFFFFFFF"/>
            </x14:dataBar>
          </x14:cfRule>
          <xm:sqref>J95</xm:sqref>
        </x14:conditionalFormatting>
        <x14:conditionalFormatting xmlns:xm="http://schemas.microsoft.com/office/excel/2006/main">
          <x14:cfRule type="dataBar" id="{B82DF014-32C8-4FF7-99E0-2125203C4DFE}">
            <x14:dataBar axisPosition="none">
              <x14:cfvo type="num">
                <xm:f>0</xm:f>
              </x14:cfvo>
              <x14:cfvo type="num">
                <xm:f>3</xm:f>
              </x14:cfvo>
              <x14:negativeFillColor rgb="FFFFFFFF"/>
            </x14:dataBar>
          </x14:cfRule>
          <xm:sqref>J97</xm:sqref>
        </x14:conditionalFormatting>
        <x14:conditionalFormatting xmlns:xm="http://schemas.microsoft.com/office/excel/2006/main">
          <x14:cfRule type="dataBar" id="{E685BD3D-8662-44A9-976A-66C390DFDAB4}">
            <x14:dataBar axisPosition="none">
              <x14:cfvo type="num">
                <xm:f>0</xm:f>
              </x14:cfvo>
              <x14:cfvo type="num">
                <xm:f>3</xm:f>
              </x14:cfvo>
              <x14:negativeFillColor rgb="FFFFFFFF"/>
            </x14:dataBar>
          </x14:cfRule>
          <xm:sqref>J98</xm:sqref>
        </x14:conditionalFormatting>
        <x14:conditionalFormatting xmlns:xm="http://schemas.microsoft.com/office/excel/2006/main">
          <x14:cfRule type="dataBar" id="{78A27A1E-EEDC-4F37-8881-C2AA9BB383DF}">
            <x14:dataBar axisPosition="none">
              <x14:cfvo type="num">
                <xm:f>0</xm:f>
              </x14:cfvo>
              <x14:cfvo type="num">
                <xm:f>3</xm:f>
              </x14:cfvo>
              <x14:negativeFillColor rgb="FFFFFFFF"/>
            </x14:dataBar>
          </x14:cfRule>
          <xm:sqref>J96</xm:sqref>
        </x14:conditionalFormatting>
        <x14:conditionalFormatting xmlns:xm="http://schemas.microsoft.com/office/excel/2006/main">
          <x14:cfRule type="dataBar" id="{F17B909B-9AFA-4119-8860-D432696EE059}">
            <x14:dataBar axisPosition="none">
              <x14:cfvo type="num">
                <xm:f>0</xm:f>
              </x14:cfvo>
              <x14:cfvo type="num">
                <xm:f>1</xm:f>
              </x14:cfvo>
              <x14:negativeFillColor rgb="FFFFFFFF"/>
            </x14:dataBar>
          </x14:cfRule>
          <xm:sqref>D54:F55</xm:sqref>
        </x14:conditionalFormatting>
        <x14:conditionalFormatting xmlns:xm="http://schemas.microsoft.com/office/excel/2006/main">
          <x14:cfRule type="dataBar" id="{1710FB30-5A95-4A97-AA5C-1D61ABC563AF}">
            <x14:dataBar axisPosition="none">
              <x14:cfvo type="num">
                <xm:f>0</xm:f>
              </x14:cfvo>
              <x14:cfvo type="num">
                <xm:f>1</xm:f>
              </x14:cfvo>
              <x14:negativeFillColor rgb="FFFFFFFF"/>
            </x14:dataBar>
          </x14:cfRule>
          <xm:sqref>D57:F59</xm:sqref>
        </x14:conditionalFormatting>
        <x14:conditionalFormatting xmlns:xm="http://schemas.microsoft.com/office/excel/2006/main">
          <x14:cfRule type="dataBar" id="{CDE7258E-30F5-4024-955D-1326E0506082}">
            <x14:dataBar axisPosition="none">
              <x14:cfvo type="num">
                <xm:f>0</xm:f>
              </x14:cfvo>
              <x14:cfvo type="num">
                <xm:f>1</xm:f>
              </x14:cfvo>
              <x14:negativeFillColor rgb="FFFFFFFF"/>
            </x14:dataBar>
          </x14:cfRule>
          <xm:sqref>D60:F62</xm:sqref>
        </x14:conditionalFormatting>
        <x14:conditionalFormatting xmlns:xm="http://schemas.microsoft.com/office/excel/2006/main">
          <x14:cfRule type="dataBar" id="{6A4C81BB-171D-49B8-A77B-BDB11DAB3073}">
            <x14:dataBar axisPosition="none">
              <x14:cfvo type="num">
                <xm:f>0</xm:f>
              </x14:cfvo>
              <x14:cfvo type="num">
                <xm:f>1</xm:f>
              </x14:cfvo>
              <x14:negativeFillColor rgb="FFFFFFFF"/>
            </x14:dataBar>
          </x14:cfRule>
          <xm:sqref>D56:F56</xm:sqref>
        </x14:conditionalFormatting>
        <x14:conditionalFormatting xmlns:xm="http://schemas.microsoft.com/office/excel/2006/main">
          <x14:cfRule type="dataBar" id="{36173F95-9EDA-4528-8C32-30C0BE647F00}">
            <x14:dataBar axisPosition="none">
              <x14:cfvo type="num">
                <xm:f>0</xm:f>
              </x14:cfvo>
              <x14:cfvo type="num">
                <xm:f>1</xm:f>
              </x14:cfvo>
              <x14:negativeFillColor rgb="FFFFFFFF"/>
            </x14:dataBar>
          </x14:cfRule>
          <xm:sqref>D75:F75</xm:sqref>
        </x14:conditionalFormatting>
        <x14:conditionalFormatting xmlns:xm="http://schemas.microsoft.com/office/excel/2006/main">
          <x14:cfRule type="dataBar" id="{E663F2F2-1BEC-40E0-8EC0-3D54D464B1EA}">
            <x14:dataBar axisPosition="none">
              <x14:cfvo type="num">
                <xm:f>0</xm:f>
              </x14:cfvo>
              <x14:cfvo type="num">
                <xm:f>1</xm:f>
              </x14:cfvo>
              <x14:negativeFillColor rgb="FFFFFFFF"/>
            </x14:dataBar>
          </x14:cfRule>
          <xm:sqref>D76:F76</xm:sqref>
        </x14:conditionalFormatting>
        <x14:conditionalFormatting xmlns:xm="http://schemas.microsoft.com/office/excel/2006/main">
          <x14:cfRule type="dataBar" id="{6B86ADCA-7FB2-49C9-A5B1-D3E855D32AE5}">
            <x14:dataBar axisPosition="none">
              <x14:cfvo type="num">
                <xm:f>0</xm:f>
              </x14:cfvo>
              <x14:cfvo type="num">
                <xm:f>1</xm:f>
              </x14:cfvo>
              <x14:negativeFillColor rgb="FFFFFFFF"/>
            </x14:dataBar>
          </x14:cfRule>
          <xm:sqref>D77:F77</xm:sqref>
        </x14:conditionalFormatting>
        <x14:conditionalFormatting xmlns:xm="http://schemas.microsoft.com/office/excel/2006/main">
          <x14:cfRule type="dataBar" id="{F9B1251C-D6D9-45A8-BC86-5EBFAC6F8B24}">
            <x14:dataBar axisPosition="none">
              <x14:cfvo type="num">
                <xm:f>0</xm:f>
              </x14:cfvo>
              <x14:cfvo type="num">
                <xm:f>1</xm:f>
              </x14:cfvo>
              <x14:negativeFillColor rgb="FFFFFFFF"/>
            </x14:dataBar>
          </x14:cfRule>
          <xm:sqref>D78:F78</xm:sqref>
        </x14:conditionalFormatting>
        <x14:conditionalFormatting xmlns:xm="http://schemas.microsoft.com/office/excel/2006/main">
          <x14:cfRule type="dataBar" id="{393C4F3E-28A8-45F0-AEC2-F75D9E258ADE}">
            <x14:dataBar axisPosition="none">
              <x14:cfvo type="num">
                <xm:f>0</xm:f>
              </x14:cfvo>
              <x14:cfvo type="num">
                <xm:f>1</xm:f>
              </x14:cfvo>
              <x14:negativeFillColor rgb="FFFFFFFF"/>
            </x14:dataBar>
          </x14:cfRule>
          <xm:sqref>D79:F79</xm:sqref>
        </x14:conditionalFormatting>
        <x14:conditionalFormatting xmlns:xm="http://schemas.microsoft.com/office/excel/2006/main">
          <x14:cfRule type="dataBar" id="{5243D756-64CE-411A-BB8E-F790ABEFED87}">
            <x14:dataBar axisPosition="none">
              <x14:cfvo type="num">
                <xm:f>0</xm:f>
              </x14:cfvo>
              <x14:cfvo type="num">
                <xm:f>1</xm:f>
              </x14:cfvo>
              <x14:negativeFillColor rgb="FFFFFFFF"/>
            </x14:dataBar>
          </x14:cfRule>
          <xm:sqref>D80:F80</xm:sqref>
        </x14:conditionalFormatting>
        <x14:conditionalFormatting xmlns:xm="http://schemas.microsoft.com/office/excel/2006/main">
          <x14:cfRule type="dataBar" id="{6035A4AB-F3AF-4F79-89FF-1E5C10888082}">
            <x14:dataBar axisPosition="none">
              <x14:cfvo type="num">
                <xm:f>0</xm:f>
              </x14:cfvo>
              <x14:cfvo type="num">
                <xm:f>1</xm:f>
              </x14:cfvo>
              <x14:negativeFillColor rgb="FFFFFFFF"/>
            </x14:dataBar>
          </x14:cfRule>
          <xm:sqref>D81:F81</xm:sqref>
        </x14:conditionalFormatting>
        <x14:conditionalFormatting xmlns:xm="http://schemas.microsoft.com/office/excel/2006/main">
          <x14:cfRule type="dataBar" id="{7834882B-7E3A-4535-BCB8-805E64DA3E55}">
            <x14:dataBar axisPosition="none">
              <x14:cfvo type="num">
                <xm:f>0</xm:f>
              </x14:cfvo>
              <x14:cfvo type="num">
                <xm:f>1</xm:f>
              </x14:cfvo>
              <x14:negativeFillColor rgb="FFFFFFFF"/>
            </x14:dataBar>
          </x14:cfRule>
          <xm:sqref>D82:F82</xm:sqref>
        </x14:conditionalFormatting>
        <x14:conditionalFormatting xmlns:xm="http://schemas.microsoft.com/office/excel/2006/main">
          <x14:cfRule type="dataBar" id="{2D802C41-D263-458C-9278-949AB935FE6B}">
            <x14:dataBar axisPosition="none">
              <x14:cfvo type="num">
                <xm:f>0</xm:f>
              </x14:cfvo>
              <x14:cfvo type="num">
                <xm:f>1</xm:f>
              </x14:cfvo>
              <x14:negativeFillColor rgb="FFFFFFFF"/>
            </x14:dataBar>
          </x14:cfRule>
          <xm:sqref>D83:F83</xm:sqref>
        </x14:conditionalFormatting>
        <x14:conditionalFormatting xmlns:xm="http://schemas.microsoft.com/office/excel/2006/main">
          <x14:cfRule type="dataBar" id="{E4475AD2-2EC4-44E5-BE34-C3C43721C1A0}">
            <x14:dataBar axisPosition="none">
              <x14:cfvo type="num">
                <xm:f>0</xm:f>
              </x14:cfvo>
              <x14:cfvo type="num">
                <xm:f>1</xm:f>
              </x14:cfvo>
              <x14:negativeFillColor rgb="FFFFFFFF"/>
            </x14:dataBar>
          </x14:cfRule>
          <xm:sqref>D84:F84</xm:sqref>
        </x14:conditionalFormatting>
        <x14:conditionalFormatting xmlns:xm="http://schemas.microsoft.com/office/excel/2006/main">
          <x14:cfRule type="dataBar" id="{10C6B8C6-B276-40B9-96C0-74F64A44E06D}">
            <x14:dataBar axisPosition="none">
              <x14:cfvo type="num">
                <xm:f>0</xm:f>
              </x14:cfvo>
              <x14:cfvo type="num">
                <xm:f>1</xm:f>
              </x14:cfvo>
              <x14:negativeFillColor rgb="FFFFFFFF"/>
            </x14:dataBar>
          </x14:cfRule>
          <xm:sqref>D85:F85</xm:sqref>
        </x14:conditionalFormatting>
        <x14:conditionalFormatting xmlns:xm="http://schemas.microsoft.com/office/excel/2006/main">
          <x14:cfRule type="dataBar" id="{673B7DCE-3E83-4630-BF44-19807ABCBE42}">
            <x14:dataBar axisPosition="none">
              <x14:cfvo type="num">
                <xm:f>0</xm:f>
              </x14:cfvo>
              <x14:cfvo type="num">
                <xm:f>1</xm:f>
              </x14:cfvo>
              <x14:negativeFillColor rgb="FFFFFFFF"/>
            </x14:dataBar>
          </x14:cfRule>
          <xm:sqref>D86:F86</xm:sqref>
        </x14:conditionalFormatting>
        <x14:conditionalFormatting xmlns:xm="http://schemas.microsoft.com/office/excel/2006/main">
          <x14:cfRule type="dataBar" id="{2EB14540-CA52-437F-87AD-4C1118F484E9}">
            <x14:dataBar axisPosition="none">
              <x14:cfvo type="num">
                <xm:f>0</xm:f>
              </x14:cfvo>
              <x14:cfvo type="num">
                <xm:f>1</xm:f>
              </x14:cfvo>
              <x14:negativeFillColor rgb="FFFFFFFF"/>
            </x14:dataBar>
          </x14:cfRule>
          <xm:sqref>D87:F87</xm:sqref>
        </x14:conditionalFormatting>
        <x14:conditionalFormatting xmlns:xm="http://schemas.microsoft.com/office/excel/2006/main">
          <x14:cfRule type="dataBar" id="{8E8030E5-90C8-4479-B97D-814FE998505F}">
            <x14:dataBar axisPosition="none">
              <x14:cfvo type="num">
                <xm:f>0</xm:f>
              </x14:cfvo>
              <x14:cfvo type="num">
                <xm:f>1</xm:f>
              </x14:cfvo>
              <x14:negativeFillColor rgb="FFFFFFFF"/>
            </x14:dataBar>
          </x14:cfRule>
          <xm:sqref>D63:F63</xm:sqref>
        </x14:conditionalFormatting>
        <x14:conditionalFormatting xmlns:xm="http://schemas.microsoft.com/office/excel/2006/main">
          <x14:cfRule type="dataBar" id="{8D9A5A7C-A241-4C84-BBC2-D663195BE4EE}">
            <x14:dataBar axisPosition="none">
              <x14:cfvo type="num">
                <xm:f>0</xm:f>
              </x14:cfvo>
              <x14:cfvo type="num">
                <xm:f>1</xm:f>
              </x14:cfvo>
              <x14:negativeFillColor rgb="FFFFFFFF"/>
            </x14:dataBar>
          </x14:cfRule>
          <xm:sqref>D64:F64</xm:sqref>
        </x14:conditionalFormatting>
        <x14:conditionalFormatting xmlns:xm="http://schemas.microsoft.com/office/excel/2006/main">
          <x14:cfRule type="dataBar" id="{46B72B8C-6E53-42DD-A262-9D33CD1E1BE0}">
            <x14:dataBar axisPosition="none">
              <x14:cfvo type="num">
                <xm:f>0</xm:f>
              </x14:cfvo>
              <x14:cfvo type="num">
                <xm:f>1</xm:f>
              </x14:cfvo>
              <x14:negativeFillColor rgb="FFFFFFFF"/>
            </x14:dataBar>
          </x14:cfRule>
          <xm:sqref>D65:F65</xm:sqref>
        </x14:conditionalFormatting>
        <x14:conditionalFormatting xmlns:xm="http://schemas.microsoft.com/office/excel/2006/main">
          <x14:cfRule type="dataBar" id="{3958C844-A426-4492-8962-D74C8D6F7D99}">
            <x14:dataBar axisPosition="none">
              <x14:cfvo type="num">
                <xm:f>0</xm:f>
              </x14:cfvo>
              <x14:cfvo type="num">
                <xm:f>1</xm:f>
              </x14:cfvo>
              <x14:negativeFillColor rgb="FFFFFFFF"/>
            </x14:dataBar>
          </x14:cfRule>
          <xm:sqref>D66:F66</xm:sqref>
        </x14:conditionalFormatting>
        <x14:conditionalFormatting xmlns:xm="http://schemas.microsoft.com/office/excel/2006/main">
          <x14:cfRule type="dataBar" id="{D2A0D8D2-4236-44E8-8764-70DA85F62342}">
            <x14:dataBar axisPosition="none">
              <x14:cfvo type="num">
                <xm:f>0</xm:f>
              </x14:cfvo>
              <x14:cfvo type="num">
                <xm:f>1</xm:f>
              </x14:cfvo>
              <x14:negativeFillColor rgb="FFFFFFFF"/>
            </x14:dataBar>
          </x14:cfRule>
          <xm:sqref>D67:F67</xm:sqref>
        </x14:conditionalFormatting>
        <x14:conditionalFormatting xmlns:xm="http://schemas.microsoft.com/office/excel/2006/main">
          <x14:cfRule type="dataBar" id="{9AEA9152-A0B9-477B-BDB1-2FB77E4FEE12}">
            <x14:dataBar axisPosition="none">
              <x14:cfvo type="num">
                <xm:f>0</xm:f>
              </x14:cfvo>
              <x14:cfvo type="num">
                <xm:f>1</xm:f>
              </x14:cfvo>
              <x14:negativeFillColor rgb="FFFFFFFF"/>
            </x14:dataBar>
          </x14:cfRule>
          <xm:sqref>D68:F68</xm:sqref>
        </x14:conditionalFormatting>
        <x14:conditionalFormatting xmlns:xm="http://schemas.microsoft.com/office/excel/2006/main">
          <x14:cfRule type="dataBar" id="{117C8925-2C28-4080-8910-724D9A00646A}">
            <x14:dataBar axisPosition="none">
              <x14:cfvo type="num">
                <xm:f>0</xm:f>
              </x14:cfvo>
              <x14:cfvo type="num">
                <xm:f>1</xm:f>
              </x14:cfvo>
              <x14:negativeFillColor rgb="FFFFFFFF"/>
            </x14:dataBar>
          </x14:cfRule>
          <xm:sqref>D96:F96</xm:sqref>
        </x14:conditionalFormatting>
        <x14:conditionalFormatting xmlns:xm="http://schemas.microsoft.com/office/excel/2006/main">
          <x14:cfRule type="dataBar" id="{86B17293-C191-47E0-8450-CB30FA35DB21}">
            <x14:dataBar axisPosition="none">
              <x14:cfvo type="num">
                <xm:f>0</xm:f>
              </x14:cfvo>
              <x14:cfvo type="num">
                <xm:f>1</xm:f>
              </x14:cfvo>
              <x14:negativeFillColor rgb="FFFFFFFF"/>
            </x14:dataBar>
          </x14:cfRule>
          <xm:sqref>D97:F97</xm:sqref>
        </x14:conditionalFormatting>
        <x14:conditionalFormatting xmlns:xm="http://schemas.microsoft.com/office/excel/2006/main">
          <x14:cfRule type="dataBar" id="{6080F463-77F4-4F58-8E6F-14BFFCDF9A1B}">
            <x14:dataBar axisPosition="none">
              <x14:cfvo type="num">
                <xm:f>0</xm:f>
              </x14:cfvo>
              <x14:cfvo type="num">
                <xm:f>1</xm:f>
              </x14:cfvo>
              <x14:negativeFillColor rgb="FFFFFFFF"/>
            </x14:dataBar>
          </x14:cfRule>
          <xm:sqref>D98:F98</xm:sqref>
        </x14:conditionalFormatting>
        <x14:conditionalFormatting xmlns:xm="http://schemas.microsoft.com/office/excel/2006/main">
          <x14:cfRule type="dataBar" id="{7E31793E-88CC-4CE8-B027-E6A1D210DE6C}">
            <x14:dataBar axisPosition="none">
              <x14:cfvo type="num">
                <xm:f>0</xm:f>
              </x14:cfvo>
              <x14:cfvo type="num">
                <xm:f>1</xm:f>
              </x14:cfvo>
              <x14:negativeFillColor rgb="FFFFFFFF"/>
            </x14:dataBar>
          </x14:cfRule>
          <xm:sqref>D99:F99</xm:sqref>
        </x14:conditionalFormatting>
        <x14:conditionalFormatting xmlns:xm="http://schemas.microsoft.com/office/excel/2006/main">
          <x14:cfRule type="dataBar" id="{E83D477E-8590-4E10-83AC-407A6D1F18B5}">
            <x14:dataBar axisPosition="none">
              <x14:cfvo type="num">
                <xm:f>0</xm:f>
              </x14:cfvo>
              <x14:cfvo type="num">
                <xm:f>1</xm:f>
              </x14:cfvo>
              <x14:negativeFillColor rgb="FFFFFFFF"/>
            </x14:dataBar>
          </x14:cfRule>
          <xm:sqref>D100:F100</xm:sqref>
        </x14:conditionalFormatting>
        <x14:conditionalFormatting xmlns:xm="http://schemas.microsoft.com/office/excel/2006/main">
          <x14:cfRule type="dataBar" id="{61AC1E8B-B193-4528-B0AC-A0F0C8F2D874}">
            <x14:dataBar axisPosition="none">
              <x14:cfvo type="num">
                <xm:f>0</xm:f>
              </x14:cfvo>
              <x14:cfvo type="num">
                <xm:f>1</xm:f>
              </x14:cfvo>
              <x14:negativeFillColor rgb="FFFFFFFF"/>
            </x14:dataBar>
          </x14:cfRule>
          <xm:sqref>D101:F101</xm:sqref>
        </x14:conditionalFormatting>
        <x14:conditionalFormatting xmlns:xm="http://schemas.microsoft.com/office/excel/2006/main">
          <x14:cfRule type="dataBar" id="{B5E57336-4286-4283-B653-3E88D44C152F}">
            <x14:dataBar axisPosition="none">
              <x14:cfvo type="num">
                <xm:f>0</xm:f>
              </x14:cfvo>
              <x14:cfvo type="num">
                <xm:f>1</xm:f>
              </x14:cfvo>
              <x14:negativeFillColor rgb="FFFFFFFF"/>
            </x14:dataBar>
          </x14:cfRule>
          <xm:sqref>D102:F102</xm:sqref>
        </x14:conditionalFormatting>
        <x14:conditionalFormatting xmlns:xm="http://schemas.microsoft.com/office/excel/2006/main">
          <x14:cfRule type="dataBar" id="{5CB89FE7-26CE-418A-967F-2E1D4731E1E8}">
            <x14:dataBar axisPosition="none">
              <x14:cfvo type="num">
                <xm:f>0</xm:f>
              </x14:cfvo>
              <x14:cfvo type="num">
                <xm:f>1</xm:f>
              </x14:cfvo>
              <x14:negativeFillColor rgb="FFFFFFFF"/>
            </x14:dataBar>
          </x14:cfRule>
          <xm:sqref>D103:F103</xm:sqref>
        </x14:conditionalFormatting>
        <x14:conditionalFormatting xmlns:xm="http://schemas.microsoft.com/office/excel/2006/main">
          <x14:cfRule type="dataBar" id="{2E591E41-5010-4157-ACCD-2D32E0A8E0B8}">
            <x14:dataBar axisPosition="none">
              <x14:cfvo type="num">
                <xm:f>0</xm:f>
              </x14:cfvo>
              <x14:cfvo type="num">
                <xm:f>1</xm:f>
              </x14:cfvo>
              <x14:negativeFillColor rgb="FFFFFFFF"/>
            </x14:dataBar>
          </x14:cfRule>
          <xm:sqref>D104:F104</xm:sqref>
        </x14:conditionalFormatting>
        <x14:conditionalFormatting xmlns:xm="http://schemas.microsoft.com/office/excel/2006/main">
          <x14:cfRule type="dataBar" id="{93175B76-936C-4C43-9059-17AA742F3918}">
            <x14:dataBar axisPosition="none">
              <x14:cfvo type="num">
                <xm:f>0</xm:f>
              </x14:cfvo>
              <x14:cfvo type="num">
                <xm:f>1</xm:f>
              </x14:cfvo>
              <x14:negativeFillColor rgb="FFFFFFFF"/>
            </x14:dataBar>
          </x14:cfRule>
          <xm:sqref>D105:F105</xm:sqref>
        </x14:conditionalFormatting>
        <x14:conditionalFormatting xmlns:xm="http://schemas.microsoft.com/office/excel/2006/main">
          <x14:cfRule type="dataBar" id="{A06CC241-30FC-4CBC-8770-DE81C0F2677B}">
            <x14:dataBar axisPosition="none">
              <x14:cfvo type="num">
                <xm:f>0</xm:f>
              </x14:cfvo>
              <x14:cfvo type="num">
                <xm:f>1</xm:f>
              </x14:cfvo>
              <x14:negativeFillColor rgb="FFFFFFFF"/>
            </x14:dataBar>
          </x14:cfRule>
          <xm:sqref>D106:F106</xm:sqref>
        </x14:conditionalFormatting>
        <x14:conditionalFormatting xmlns:xm="http://schemas.microsoft.com/office/excel/2006/main">
          <x14:cfRule type="dataBar" id="{6A8EC0F1-60BA-444E-8A53-7FB3A87B12B0}">
            <x14:dataBar axisPosition="none">
              <x14:cfvo type="num">
                <xm:f>0</xm:f>
              </x14:cfvo>
              <x14:cfvo type="num">
                <xm:f>1</xm:f>
              </x14:cfvo>
              <x14:negativeFillColor rgb="FFFFFFFF"/>
            </x14:dataBar>
          </x14:cfRule>
          <xm:sqref>D107:F107</xm:sqref>
        </x14:conditionalFormatting>
        <x14:conditionalFormatting xmlns:xm="http://schemas.microsoft.com/office/excel/2006/main">
          <x14:cfRule type="dataBar" id="{A4902BB9-BA2A-4399-A0F9-DD848A3048F1}">
            <x14:dataBar axisPosition="none">
              <x14:cfvo type="num">
                <xm:f>0</xm:f>
              </x14:cfvo>
              <x14:cfvo type="num">
                <xm:f>1</xm:f>
              </x14:cfvo>
              <x14:negativeFillColor rgb="FFFFFFFF"/>
            </x14:dataBar>
          </x14:cfRule>
          <xm:sqref>D108:F108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54"/>
  <sheetViews>
    <sheetView topLeftCell="B4" zoomScale="110" zoomScaleNormal="110" workbookViewId="0">
      <selection activeCell="F20" sqref="F20"/>
    </sheetView>
  </sheetViews>
  <sheetFormatPr baseColWidth="10" defaultColWidth="8.83203125" defaultRowHeight="14"/>
  <cols>
    <col min="1" max="1" width="16.83203125" style="10" hidden="1" customWidth="1"/>
    <col min="2" max="2" width="13.5" style="230" customWidth="1"/>
    <col min="3" max="3" width="7.33203125" style="230" customWidth="1"/>
    <col min="4" max="4" width="68" style="12" customWidth="1"/>
    <col min="5" max="5" width="5.1640625" style="13" hidden="1" customWidth="1"/>
    <col min="6" max="6" width="39" style="14" customWidth="1"/>
    <col min="7" max="7" width="8.6640625" style="10" hidden="1" customWidth="1"/>
    <col min="8" max="8" width="8.6640625" style="15" hidden="1" customWidth="1"/>
    <col min="9" max="9" width="15" style="16" customWidth="1"/>
    <col min="10" max="10" width="36.6640625" customWidth="1"/>
    <col min="11" max="11" width="7" hidden="1" customWidth="1"/>
    <col min="12" max="12" width="9.1640625" hidden="1" customWidth="1"/>
    <col min="13" max="13" width="16.33203125" customWidth="1"/>
    <col min="14" max="14" width="49.83203125" customWidth="1"/>
    <col min="15" max="15" width="28.6640625" hidden="1" customWidth="1"/>
    <col min="16" max="16" width="15" hidden="1" customWidth="1"/>
    <col min="17" max="17" width="15" customWidth="1"/>
    <col min="18" max="18" width="36.1640625" customWidth="1"/>
    <col min="19" max="20" width="15" hidden="1" customWidth="1"/>
    <col min="21" max="21" width="15" customWidth="1"/>
    <col min="22" max="22" width="49" customWidth="1"/>
    <col min="23" max="24" width="15" hidden="1" customWidth="1"/>
    <col min="25" max="25" width="15" customWidth="1"/>
    <col min="26" max="1025" width="8.83203125" customWidth="1"/>
  </cols>
  <sheetData>
    <row r="1" spans="1:25" ht="18">
      <c r="B1" s="231" t="str">
        <f>CONCATENATE("SAMM Assessment Interview: ",D11," For ",D10)</f>
        <v>SAMM Assessment Interview:  For COMPANY</v>
      </c>
      <c r="C1" s="209"/>
      <c r="D1" s="232"/>
      <c r="E1" s="232"/>
      <c r="F1" s="232"/>
      <c r="G1" s="232"/>
      <c r="H1" s="232"/>
      <c r="I1" s="17"/>
      <c r="J1" s="18"/>
      <c r="K1" s="18"/>
      <c r="L1" s="18"/>
      <c r="M1" s="18"/>
      <c r="N1" s="18"/>
      <c r="O1" s="18"/>
      <c r="P1" s="18"/>
      <c r="Q1" s="18"/>
      <c r="R1" s="18"/>
      <c r="S1" s="18"/>
      <c r="T1" s="18"/>
      <c r="U1" s="18"/>
      <c r="V1" s="18"/>
      <c r="W1" s="18"/>
      <c r="X1" s="18"/>
      <c r="Y1" s="18"/>
    </row>
    <row r="2" spans="1:25">
      <c r="B2" s="233"/>
      <c r="C2" s="31"/>
      <c r="D2" s="18"/>
      <c r="E2" s="20"/>
      <c r="F2" s="21"/>
      <c r="G2" s="20"/>
      <c r="H2" s="22"/>
      <c r="I2" s="17"/>
      <c r="J2" s="18"/>
      <c r="K2" s="18"/>
      <c r="L2" s="18"/>
      <c r="M2" s="18"/>
      <c r="N2" s="18"/>
      <c r="O2" s="18"/>
      <c r="P2" s="18"/>
      <c r="Q2" s="18"/>
      <c r="R2" s="18"/>
      <c r="S2" s="18"/>
      <c r="T2" s="18"/>
      <c r="U2" s="18"/>
      <c r="V2" s="18"/>
      <c r="W2" s="18"/>
      <c r="X2" s="18"/>
      <c r="Y2" s="18"/>
    </row>
    <row r="3" spans="1:25">
      <c r="B3" s="234" t="s">
        <v>27</v>
      </c>
      <c r="C3" s="235"/>
      <c r="D3" s="236"/>
      <c r="E3" s="236"/>
      <c r="F3" s="236"/>
      <c r="G3" s="236"/>
      <c r="H3" s="236"/>
      <c r="I3" s="17"/>
      <c r="J3" s="18"/>
      <c r="K3" s="18"/>
      <c r="L3" s="18"/>
      <c r="M3" s="18"/>
      <c r="N3" s="18"/>
      <c r="O3" s="18"/>
      <c r="P3" s="18"/>
      <c r="Q3" s="18"/>
      <c r="R3" s="18"/>
      <c r="S3" s="18"/>
      <c r="T3" s="18"/>
      <c r="U3" s="18"/>
      <c r="V3" s="18"/>
      <c r="W3" s="18"/>
      <c r="X3" s="18"/>
      <c r="Y3" s="18"/>
    </row>
    <row r="4" spans="1:25">
      <c r="B4" s="237" t="s">
        <v>205</v>
      </c>
      <c r="C4" s="238"/>
      <c r="D4" s="239"/>
      <c r="E4" s="239"/>
      <c r="F4" s="239"/>
      <c r="G4" s="239"/>
      <c r="H4" s="239"/>
      <c r="I4" s="17"/>
      <c r="J4" s="18"/>
      <c r="K4" s="18"/>
      <c r="L4" s="18"/>
      <c r="M4" s="18"/>
      <c r="N4" s="18"/>
      <c r="O4" s="18"/>
      <c r="P4" s="18"/>
      <c r="Q4" s="18"/>
      <c r="R4" s="18"/>
      <c r="S4" s="18"/>
      <c r="T4" s="18"/>
      <c r="U4" s="18"/>
      <c r="V4" s="18"/>
      <c r="W4" s="18"/>
      <c r="X4" s="18"/>
      <c r="Y4" s="18"/>
    </row>
    <row r="5" spans="1:25">
      <c r="B5" s="240" t="s">
        <v>206</v>
      </c>
      <c r="C5" s="241"/>
      <c r="D5" s="242"/>
      <c r="E5" s="242"/>
      <c r="F5" s="242"/>
      <c r="G5" s="242"/>
      <c r="H5" s="242"/>
      <c r="I5" s="17"/>
      <c r="J5" s="18"/>
      <c r="K5" s="18"/>
      <c r="L5" s="18"/>
      <c r="M5" s="18"/>
      <c r="N5" s="18"/>
      <c r="O5" s="18"/>
      <c r="P5" s="18"/>
      <c r="Q5" s="18"/>
      <c r="R5" s="18"/>
      <c r="S5" s="18"/>
      <c r="T5" s="18"/>
      <c r="U5" s="18"/>
      <c r="V5" s="18"/>
      <c r="W5" s="18"/>
      <c r="X5" s="18"/>
      <c r="Y5" s="18"/>
    </row>
    <row r="6" spans="1:25">
      <c r="B6" s="240" t="s">
        <v>207</v>
      </c>
      <c r="C6" s="241"/>
      <c r="D6" s="242"/>
      <c r="E6" s="242"/>
      <c r="F6" s="242"/>
      <c r="G6" s="242"/>
      <c r="H6" s="242"/>
      <c r="I6" s="17"/>
      <c r="J6" s="18"/>
      <c r="K6" s="18"/>
      <c r="L6" s="18"/>
      <c r="M6" s="18"/>
      <c r="N6" s="18"/>
      <c r="O6" s="18"/>
      <c r="P6" s="18"/>
      <c r="Q6" s="18"/>
      <c r="R6" s="18"/>
      <c r="S6" s="18"/>
      <c r="T6" s="18"/>
      <c r="U6" s="18"/>
      <c r="V6" s="18"/>
      <c r="W6" s="18"/>
      <c r="X6" s="18"/>
      <c r="Y6" s="18"/>
    </row>
    <row r="7" spans="1:25">
      <c r="B7" s="240" t="s">
        <v>208</v>
      </c>
      <c r="C7" s="241"/>
      <c r="D7" s="242"/>
      <c r="E7" s="242"/>
      <c r="F7" s="242"/>
      <c r="G7" s="242"/>
      <c r="H7" s="242"/>
      <c r="I7" s="17"/>
      <c r="J7" s="18"/>
      <c r="K7" s="18"/>
      <c r="L7" s="18"/>
      <c r="M7" s="18"/>
      <c r="N7" s="18"/>
      <c r="O7" s="18"/>
      <c r="P7" s="18"/>
      <c r="Q7" s="18"/>
      <c r="R7" s="18"/>
      <c r="S7" s="18"/>
      <c r="T7" s="18"/>
      <c r="U7" s="18"/>
      <c r="V7" s="18"/>
      <c r="W7" s="18"/>
      <c r="X7" s="18"/>
      <c r="Y7" s="18"/>
    </row>
    <row r="8" spans="1:25">
      <c r="B8" s="243" t="s">
        <v>209</v>
      </c>
      <c r="C8" s="244"/>
      <c r="D8" s="245"/>
      <c r="E8" s="245"/>
      <c r="F8" s="245"/>
      <c r="G8" s="245"/>
      <c r="H8" s="245"/>
      <c r="I8" s="17"/>
      <c r="J8" s="18"/>
      <c r="K8" s="18"/>
      <c r="L8" s="18"/>
      <c r="M8" s="18"/>
      <c r="N8" s="18"/>
      <c r="O8" s="18"/>
      <c r="P8" s="18"/>
      <c r="Q8" s="18"/>
      <c r="R8" s="18"/>
      <c r="S8" s="18"/>
      <c r="T8" s="18"/>
      <c r="U8" s="18"/>
      <c r="V8" s="18"/>
      <c r="W8" s="18"/>
      <c r="X8" s="18"/>
      <c r="Y8" s="18"/>
    </row>
    <row r="9" spans="1:25">
      <c r="B9" s="233"/>
      <c r="C9" s="31"/>
      <c r="D9" s="18"/>
      <c r="E9" s="20"/>
      <c r="F9" s="21"/>
      <c r="G9" s="20"/>
      <c r="H9" s="22"/>
      <c r="I9" s="17"/>
      <c r="J9" s="18"/>
      <c r="K9" s="18"/>
      <c r="L9" s="18"/>
      <c r="M9" s="18"/>
      <c r="N9" s="18"/>
      <c r="O9" s="18"/>
      <c r="P9" s="18"/>
      <c r="Q9" s="18"/>
      <c r="R9" s="18"/>
      <c r="S9" s="18"/>
      <c r="T9" s="18"/>
      <c r="U9" s="18"/>
      <c r="V9" s="18"/>
      <c r="W9" s="18"/>
      <c r="X9" s="18"/>
      <c r="Y9" s="18"/>
    </row>
    <row r="10" spans="1:25">
      <c r="B10" s="246" t="s">
        <v>40</v>
      </c>
      <c r="C10" s="247"/>
      <c r="D10" s="248" t="str">
        <f>IF(ISBLANK(Interview!D10),"",Interview!D10)</f>
        <v>COMPANY</v>
      </c>
      <c r="E10" s="20"/>
      <c r="F10" s="21"/>
      <c r="G10" s="20"/>
      <c r="H10" s="22"/>
      <c r="I10" s="17"/>
      <c r="J10" s="18"/>
      <c r="K10" s="18"/>
      <c r="L10" s="18"/>
      <c r="M10" s="18"/>
      <c r="N10" s="18"/>
      <c r="O10" s="18"/>
      <c r="P10" s="18"/>
      <c r="Q10" s="18"/>
      <c r="R10" s="18"/>
      <c r="S10" s="18"/>
      <c r="T10" s="18"/>
      <c r="U10" s="18"/>
      <c r="V10" s="18"/>
      <c r="W10" s="18"/>
      <c r="X10" s="18"/>
      <c r="Y10" s="18"/>
    </row>
    <row r="11" spans="1:25">
      <c r="B11" s="249" t="s">
        <v>41</v>
      </c>
      <c r="C11" s="250"/>
      <c r="D11" s="248" t="str">
        <f>IF(ISBLANK(Interview!D11),"",Interview!D11)</f>
        <v/>
      </c>
      <c r="E11" s="20"/>
      <c r="F11" s="21"/>
      <c r="G11" s="20"/>
      <c r="H11" s="22"/>
      <c r="I11" s="17"/>
      <c r="J11" s="18"/>
      <c r="K11" s="18"/>
      <c r="L11" s="18"/>
      <c r="M11" s="18"/>
      <c r="N11" s="18"/>
      <c r="O11" s="18"/>
      <c r="P11" s="18"/>
      <c r="Q11" s="18"/>
      <c r="R11" s="18"/>
      <c r="S11" s="18"/>
      <c r="T11" s="18"/>
      <c r="U11" s="18"/>
      <c r="V11" s="18"/>
      <c r="W11" s="18"/>
      <c r="X11" s="18"/>
      <c r="Y11" s="18"/>
    </row>
    <row r="12" spans="1:25">
      <c r="B12" s="249" t="s">
        <v>42</v>
      </c>
      <c r="C12" s="250"/>
      <c r="D12" s="251" t="str">
        <f>IF(ISBLANK(Interview!D12),"",Interview!D12)</f>
        <v/>
      </c>
      <c r="E12" s="28"/>
      <c r="F12" s="21"/>
      <c r="G12" s="20"/>
      <c r="H12" s="22"/>
      <c r="I12" s="17"/>
      <c r="J12" s="18"/>
      <c r="K12" s="18"/>
      <c r="L12" s="18"/>
      <c r="M12" s="18"/>
      <c r="N12" s="18"/>
      <c r="O12" s="18"/>
      <c r="P12" s="18"/>
      <c r="Q12" s="18"/>
      <c r="R12" s="18"/>
      <c r="S12" s="18"/>
      <c r="T12" s="18"/>
      <c r="U12" s="18"/>
      <c r="V12" s="18"/>
      <c r="W12" s="18"/>
      <c r="X12" s="18"/>
      <c r="Y12" s="18"/>
    </row>
    <row r="13" spans="1:25">
      <c r="B13" s="249" t="s">
        <v>43</v>
      </c>
      <c r="C13" s="252"/>
      <c r="D13" s="248" t="str">
        <f>IF(ISBLANK(Interview!D13),"",Interview!D13)</f>
        <v/>
      </c>
      <c r="E13" s="20"/>
      <c r="F13" s="21"/>
      <c r="G13" s="20"/>
      <c r="H13" s="22"/>
      <c r="I13" s="17"/>
      <c r="J13" s="18"/>
      <c r="K13" s="18"/>
      <c r="L13" s="18"/>
      <c r="M13" s="18"/>
      <c r="N13" s="18"/>
      <c r="O13" s="18"/>
      <c r="P13" s="18"/>
      <c r="Q13" s="18"/>
      <c r="R13" s="18"/>
      <c r="S13" s="18"/>
      <c r="T13" s="18"/>
      <c r="U13" s="18"/>
      <c r="V13" s="18"/>
      <c r="W13" s="18"/>
      <c r="X13" s="18"/>
      <c r="Y13" s="18"/>
    </row>
    <row r="14" spans="1:25" ht="23">
      <c r="A14" s="29" t="str">
        <f>IF(A15=A16,"OK","Problem")</f>
        <v>OK</v>
      </c>
      <c r="B14" s="253" t="s">
        <v>12</v>
      </c>
      <c r="C14" s="254"/>
      <c r="D14" s="255" t="str">
        <f>IF(ISBLANK(Interview!D14),"",Interview!D14)</f>
        <v>bfea410146cd967b392a87771e690515</v>
      </c>
      <c r="E14" s="20"/>
      <c r="F14" s="21"/>
      <c r="G14" s="20"/>
      <c r="H14" s="22"/>
      <c r="I14" s="17"/>
      <c r="J14" s="18"/>
      <c r="K14" s="18"/>
      <c r="L14" s="18"/>
      <c r="M14" s="18"/>
      <c r="N14" s="18"/>
      <c r="O14" s="18"/>
      <c r="P14" s="18"/>
      <c r="Q14" s="18"/>
      <c r="R14" s="18"/>
      <c r="S14" s="18"/>
      <c r="T14" s="18"/>
      <c r="U14" s="18"/>
      <c r="V14" s="18"/>
      <c r="W14" s="18"/>
      <c r="X14" s="18"/>
      <c r="Y14" s="18"/>
    </row>
    <row r="15" spans="1:25">
      <c r="A15" s="10">
        <f>COUNTA('imp-questions'!A2:A300)</f>
        <v>90</v>
      </c>
      <c r="B15" s="31"/>
      <c r="C15" s="31"/>
      <c r="D15" s="18"/>
      <c r="E15" s="20"/>
      <c r="F15" s="21"/>
      <c r="G15" s="20"/>
      <c r="H15" s="22"/>
      <c r="I15" s="17"/>
      <c r="J15" s="18"/>
      <c r="K15" s="18"/>
      <c r="L15" s="18"/>
      <c r="M15" s="18"/>
      <c r="N15" s="18"/>
      <c r="O15" s="18"/>
      <c r="P15" s="18"/>
      <c r="Q15" s="18"/>
      <c r="R15" s="18"/>
      <c r="S15" s="18"/>
      <c r="T15" s="18"/>
      <c r="U15" s="18"/>
      <c r="V15" s="18"/>
      <c r="W15" s="18"/>
      <c r="X15" s="18"/>
      <c r="Y15" s="18"/>
    </row>
    <row r="16" spans="1:25" ht="12.75" customHeight="1">
      <c r="A16" s="10">
        <f>COUNTA(A18:A175)</f>
        <v>90</v>
      </c>
      <c r="B16" s="256" t="s">
        <v>48</v>
      </c>
      <c r="C16" s="256"/>
      <c r="D16" s="257"/>
      <c r="E16" s="257"/>
      <c r="F16" s="504" t="s">
        <v>199</v>
      </c>
      <c r="G16" s="504"/>
      <c r="H16" s="504"/>
      <c r="I16" s="504"/>
      <c r="J16" s="504" t="s">
        <v>210</v>
      </c>
      <c r="K16" s="504"/>
      <c r="L16" s="504"/>
      <c r="M16" s="504"/>
      <c r="N16" s="504" t="s">
        <v>211</v>
      </c>
      <c r="O16" s="504"/>
      <c r="P16" s="504"/>
      <c r="Q16" s="504"/>
      <c r="R16" s="504" t="s">
        <v>212</v>
      </c>
      <c r="S16" s="504"/>
      <c r="T16" s="504"/>
      <c r="U16" s="504"/>
      <c r="V16" s="504" t="s">
        <v>213</v>
      </c>
      <c r="W16" s="504"/>
      <c r="X16" s="504"/>
      <c r="Y16" s="504"/>
    </row>
    <row r="17" spans="1:25">
      <c r="B17" s="258" t="s">
        <v>49</v>
      </c>
      <c r="C17" s="259" t="s">
        <v>50</v>
      </c>
      <c r="D17" s="41" t="s">
        <v>51</v>
      </c>
      <c r="E17" s="42"/>
      <c r="F17" s="260" t="s">
        <v>52</v>
      </c>
      <c r="G17" s="43"/>
      <c r="H17" s="44"/>
      <c r="I17" s="261" t="s">
        <v>54</v>
      </c>
      <c r="J17" s="43" t="s">
        <v>52</v>
      </c>
      <c r="K17" s="43"/>
      <c r="L17" s="44"/>
      <c r="M17" s="261" t="s">
        <v>54</v>
      </c>
      <c r="N17" s="43" t="s">
        <v>52</v>
      </c>
      <c r="O17" s="43"/>
      <c r="P17" s="44"/>
      <c r="Q17" s="261" t="s">
        <v>54</v>
      </c>
      <c r="R17" s="43" t="s">
        <v>52</v>
      </c>
      <c r="S17" s="43"/>
      <c r="T17" s="44"/>
      <c r="U17" s="261" t="s">
        <v>54</v>
      </c>
      <c r="V17" s="43" t="s">
        <v>52</v>
      </c>
      <c r="W17" s="43"/>
      <c r="X17" s="44"/>
      <c r="Y17" s="261" t="s">
        <v>54</v>
      </c>
    </row>
    <row r="18" spans="1:25">
      <c r="A18" s="47" t="str">
        <f>Interview!A18</f>
        <v>G-SM-A-1-1</v>
      </c>
      <c r="B18" s="500" t="str">
        <f>VLOOKUP(A18,'imp-questions'!A:H,4,0)</f>
        <v>Create and Promote</v>
      </c>
      <c r="C18" s="262">
        <f>VLOOKUP(A18,'imp-questions'!A:H,5,0)</f>
        <v>1</v>
      </c>
      <c r="D18" s="49" t="str">
        <f>VLOOKUP(A18,'imp-questions'!A:H,6,0)</f>
        <v>Do you understand the enterprise-wide risk appetite for your applications ?</v>
      </c>
      <c r="E18" s="50" t="str">
        <f>CHAR(65+VLOOKUP(A18,'imp-questions'!A:H,8,0))</f>
        <v>Y</v>
      </c>
      <c r="F18" s="263" t="str">
        <f>Interview!F18</f>
        <v>Yes, it covers organization-specific risks</v>
      </c>
      <c r="G18" s="52">
        <f>IFERROR(VLOOKUP(F18,AnsYTBL,2,0),0)</f>
        <v>0.5</v>
      </c>
      <c r="H18" s="53">
        <f>IFERROR(AVERAGE(G18,G22),0)</f>
        <v>0.75</v>
      </c>
      <c r="I18" s="505">
        <f>SUM(H18,H19,H20)</f>
        <v>1.25</v>
      </c>
      <c r="J18" s="264" t="str">
        <f>F18</f>
        <v>Yes, it covers organization-specific risks</v>
      </c>
      <c r="K18" s="52">
        <f>IFERROR(VLOOKUP(J18,AnsYTBL,2,0),0)</f>
        <v>0.5</v>
      </c>
      <c r="L18" s="53">
        <f>IFERROR(AVERAGE(K18,K22),0)</f>
        <v>0.75</v>
      </c>
      <c r="M18" s="505">
        <f>SUM(L18,L19,L20)</f>
        <v>1.25</v>
      </c>
      <c r="N18" s="264" t="str">
        <f>J18</f>
        <v>Yes, it covers organization-specific risks</v>
      </c>
      <c r="O18" s="52">
        <f>IFERROR(VLOOKUP(N18,AnsYTBL,2,0),0)</f>
        <v>0.5</v>
      </c>
      <c r="P18" s="53">
        <f>IFERROR(AVERAGE(O18,O22),0)</f>
        <v>0.75</v>
      </c>
      <c r="Q18" s="505">
        <f>SUM(P18,P19,P20)</f>
        <v>1.25</v>
      </c>
      <c r="R18" s="264" t="str">
        <f>N18</f>
        <v>Yes, it covers organization-specific risks</v>
      </c>
      <c r="S18" s="52">
        <f>IFERROR(VLOOKUP(R18,AnsYTBL,2,0),0)</f>
        <v>0.5</v>
      </c>
      <c r="T18" s="53">
        <f>IFERROR(AVERAGE(S18,S22),0)</f>
        <v>0.75</v>
      </c>
      <c r="U18" s="505">
        <f>SUM(T18,T19,T20)</f>
        <v>1.25</v>
      </c>
      <c r="V18" s="264" t="str">
        <f>R18</f>
        <v>Yes, it covers organization-specific risks</v>
      </c>
      <c r="W18" s="52">
        <f>IFERROR(VLOOKUP(V18,AnsYTBL,2,0),0)</f>
        <v>0.5</v>
      </c>
      <c r="X18" s="53">
        <f>IFERROR(AVERAGE(W18,W22),0)</f>
        <v>0.75</v>
      </c>
      <c r="Y18" s="505">
        <f>SUM(X18,X19,X20)</f>
        <v>1.25</v>
      </c>
    </row>
    <row r="19" spans="1:25" ht="28">
      <c r="A19" s="47" t="str">
        <f>Interview!A20</f>
        <v>G-SM-A-2-1</v>
      </c>
      <c r="B19" s="500"/>
      <c r="C19" s="262">
        <f>VLOOKUP(A19,'imp-questions'!A:H,5,0)</f>
        <v>2</v>
      </c>
      <c r="D19" s="49" t="str">
        <f>VLOOKUP(A19,'imp-questions'!A:H,6,0)</f>
        <v>Do you have a strategic plan for application security and use it to make decisions?</v>
      </c>
      <c r="E19" s="60" t="str">
        <f>CHAR(65+VLOOKUP(A19,'imp-questions'!A:H,8,0))</f>
        <v>V</v>
      </c>
      <c r="F19" s="263" t="str">
        <f>Interview!F20</f>
        <v>Yes, we consult the plan before making significant decisions</v>
      </c>
      <c r="G19" s="52">
        <f>IFERROR(VLOOKUP(F19,AnsVTBL,2,0),0)</f>
        <v>0.5</v>
      </c>
      <c r="H19" s="63">
        <f>IFERROR(AVERAGE(G19,G23),0)</f>
        <v>0.25</v>
      </c>
      <c r="I19" s="505"/>
      <c r="J19" s="264" t="str">
        <f>F19</f>
        <v>Yes, we consult the plan before making significant decisions</v>
      </c>
      <c r="K19" s="52">
        <f>IFERROR(VLOOKUP(J19,AnsVTBL,2,0),0)</f>
        <v>0.5</v>
      </c>
      <c r="L19" s="63">
        <f>IFERROR(AVERAGE(K19,K23),0)</f>
        <v>0.25</v>
      </c>
      <c r="M19" s="505"/>
      <c r="N19" s="264" t="str">
        <f>J19</f>
        <v>Yes, we consult the plan before making significant decisions</v>
      </c>
      <c r="O19" s="52">
        <f>IFERROR(VLOOKUP(N19,AnsVTBL,2,0),0)</f>
        <v>0.5</v>
      </c>
      <c r="P19" s="63">
        <f>IFERROR(AVERAGE(O19,O23),0)</f>
        <v>0.25</v>
      </c>
      <c r="Q19" s="505"/>
      <c r="R19" s="264" t="str">
        <f>N19</f>
        <v>Yes, we consult the plan before making significant decisions</v>
      </c>
      <c r="S19" s="52">
        <f>IFERROR(VLOOKUP(R19,AnsVTBL,2,0),0)</f>
        <v>0.5</v>
      </c>
      <c r="T19" s="63">
        <f>IFERROR(AVERAGE(S19,S23),0)</f>
        <v>0.25</v>
      </c>
      <c r="U19" s="505"/>
      <c r="V19" s="264" t="str">
        <f>R19</f>
        <v>Yes, we consult the plan before making significant decisions</v>
      </c>
      <c r="W19" s="52">
        <f>IFERROR(VLOOKUP(V19,AnsVTBL,2,0),0)</f>
        <v>0.5</v>
      </c>
      <c r="X19" s="63">
        <f>IFERROR(AVERAGE(W19,W23),0)</f>
        <v>0.25</v>
      </c>
      <c r="Y19" s="505"/>
    </row>
    <row r="20" spans="1:25">
      <c r="A20" s="47" t="str">
        <f>Interview!A22</f>
        <v>G-SM-A-3-1</v>
      </c>
      <c r="B20" s="500"/>
      <c r="C20" s="262">
        <f>VLOOKUP(A20,'imp-questions'!A:H,5,0)</f>
        <v>3</v>
      </c>
      <c r="D20" s="265" t="str">
        <f>VLOOKUP(A20,'imp-questions'!A:H,6,0)</f>
        <v>Do you regularly review and update the Strategic Plan for Application Security?</v>
      </c>
      <c r="E20" s="60" t="str">
        <f>CHAR(65+VLOOKUP(A20,'imp-questions'!A:H,8,0))</f>
        <v>N</v>
      </c>
      <c r="F20" s="266" t="s">
        <v>60</v>
      </c>
      <c r="G20" s="52">
        <f>IFERROR(VLOOKUP(F20,AnsNTBL,2,0),0)</f>
        <v>0.25</v>
      </c>
      <c r="H20" s="63">
        <f>IFERROR(AVERAGE(G20,G24),0)</f>
        <v>0.25</v>
      </c>
      <c r="I20" s="505"/>
      <c r="J20" s="264" t="str">
        <f>F20</f>
        <v>Yes, but review is ad-hoc</v>
      </c>
      <c r="K20" s="52">
        <f>IFERROR(VLOOKUP(J20,AnsNTBL,2,0),0)</f>
        <v>0.25</v>
      </c>
      <c r="L20" s="63">
        <f>IFERROR(AVERAGE(K20,K24),0)</f>
        <v>0.25</v>
      </c>
      <c r="M20" s="505"/>
      <c r="N20" s="264" t="str">
        <f>J20</f>
        <v>Yes, but review is ad-hoc</v>
      </c>
      <c r="O20" s="52">
        <f>IFERROR(VLOOKUP(N20,AnsNTBL,2,0),0)</f>
        <v>0.25</v>
      </c>
      <c r="P20" s="63">
        <f>IFERROR(AVERAGE(O20,O24),0)</f>
        <v>0.25</v>
      </c>
      <c r="Q20" s="505"/>
      <c r="R20" s="264" t="str">
        <f>N20</f>
        <v>Yes, but review is ad-hoc</v>
      </c>
      <c r="S20" s="52">
        <f>IFERROR(VLOOKUP(R20,AnsNTBL,2,0),0)</f>
        <v>0.25</v>
      </c>
      <c r="T20" s="63">
        <f>IFERROR(AVERAGE(S20,S24),0)</f>
        <v>0.25</v>
      </c>
      <c r="U20" s="505"/>
      <c r="V20" s="264" t="str">
        <f>R20</f>
        <v>Yes, but review is ad-hoc</v>
      </c>
      <c r="W20" s="52">
        <f>IFERROR(VLOOKUP(V20,AnsNTBL,2,0),0)</f>
        <v>0.25</v>
      </c>
      <c r="X20" s="63">
        <f>IFERROR(AVERAGE(W20,W24),0)</f>
        <v>0.25</v>
      </c>
      <c r="Y20" s="505"/>
    </row>
    <row r="21" spans="1:25" ht="13">
      <c r="A21" s="47"/>
      <c r="B21" s="267"/>
      <c r="C21" s="268"/>
      <c r="D21" s="269"/>
      <c r="E21" s="269"/>
      <c r="F21" s="269"/>
      <c r="G21" s="269"/>
      <c r="H21" s="269"/>
      <c r="I21" s="505"/>
      <c r="J21" s="269"/>
      <c r="K21" s="269"/>
      <c r="L21" s="269"/>
      <c r="M21" s="505"/>
      <c r="N21" s="269"/>
      <c r="O21" s="269"/>
      <c r="P21" s="269"/>
      <c r="Q21" s="505"/>
      <c r="R21" s="269"/>
      <c r="S21" s="269"/>
      <c r="T21" s="269"/>
      <c r="U21" s="505"/>
      <c r="V21" s="269"/>
      <c r="W21" s="269"/>
      <c r="X21" s="269"/>
      <c r="Y21" s="505"/>
    </row>
    <row r="22" spans="1:25" ht="28">
      <c r="A22" s="47" t="str">
        <f>Interview!A25</f>
        <v>G-SM-B-1-1</v>
      </c>
      <c r="B22" s="500" t="str">
        <f>VLOOKUP(A22,'imp-questions'!A:H,4,0)</f>
        <v>Measure and Improve</v>
      </c>
      <c r="C22" s="262">
        <f>VLOOKUP(A22,'imp-questions'!A:H,5,0)</f>
        <v>1</v>
      </c>
      <c r="D22" s="49" t="str">
        <f>VLOOKUP(A22,'imp-questions'!A:H,6,0)</f>
        <v>Do you use a set of metrics to measure the effectiveness and efficiency of the application security program across applications?</v>
      </c>
      <c r="E22" s="50" t="str">
        <f>CHAR(65+VLOOKUP(A22,'imp-questions'!A:H,8,0))</f>
        <v>K</v>
      </c>
      <c r="F22" s="270" t="str">
        <f>Interview!F25</f>
        <v>Yes, for all three metrics categories</v>
      </c>
      <c r="G22" s="52">
        <f>IFERROR(VLOOKUP(F22,AnsKTBL,2,0),0)</f>
        <v>1</v>
      </c>
      <c r="H22" s="53"/>
      <c r="I22" s="505"/>
      <c r="J22" s="264" t="str">
        <f>F22</f>
        <v>Yes, for all three metrics categories</v>
      </c>
      <c r="K22" s="52">
        <f>IFERROR(VLOOKUP(J22,AnsKTBL,2,0),0)</f>
        <v>1</v>
      </c>
      <c r="L22" s="53"/>
      <c r="M22" s="505"/>
      <c r="N22" s="264" t="str">
        <f>J22</f>
        <v>Yes, for all three metrics categories</v>
      </c>
      <c r="O22" s="52">
        <f>IFERROR(VLOOKUP(N22,AnsKTBL,2,0),0)</f>
        <v>1</v>
      </c>
      <c r="P22" s="53"/>
      <c r="Q22" s="505"/>
      <c r="R22" s="264" t="str">
        <f>N22</f>
        <v>Yes, for all three metrics categories</v>
      </c>
      <c r="S22" s="52">
        <f>IFERROR(VLOOKUP(R22,AnsKTBL,2,0),0)</f>
        <v>1</v>
      </c>
      <c r="T22" s="53"/>
      <c r="U22" s="505"/>
      <c r="V22" s="264" t="str">
        <f>R22</f>
        <v>Yes, for all three metrics categories</v>
      </c>
      <c r="W22" s="52">
        <f>IFERROR(VLOOKUP(V22,AnsKTBL,2,0),0)</f>
        <v>1</v>
      </c>
      <c r="X22" s="53"/>
      <c r="Y22" s="505"/>
    </row>
    <row r="23" spans="1:25" ht="28">
      <c r="A23" s="47" t="str">
        <f>Interview!A27</f>
        <v>G-SM-B-2-1</v>
      </c>
      <c r="B23" s="500"/>
      <c r="C23" s="262">
        <f>VLOOKUP(A23,'imp-questions'!A:H,5,0)</f>
        <v>2</v>
      </c>
      <c r="D23" s="49" t="str">
        <f>VLOOKUP(A23,'imp-questions'!A:H,6,0)</f>
        <v>Did you define Key Perfomance Indicators (KPI) from available application security metrics?</v>
      </c>
      <c r="E23" s="50" t="str">
        <f>CHAR(65+VLOOKUP(A23,'imp-questions'!A:H,8,0))</f>
        <v>B</v>
      </c>
      <c r="F23" s="263" t="str">
        <f>Interview!F27</f>
        <v>No</v>
      </c>
      <c r="G23" s="52">
        <f>IFERROR(VLOOKUP(F23,AnsBTBL,2,0),0)</f>
        <v>0</v>
      </c>
      <c r="H23" s="63"/>
      <c r="I23" s="505"/>
      <c r="J23" s="264" t="str">
        <f>F23</f>
        <v>No</v>
      </c>
      <c r="K23" s="52">
        <f>IFERROR(VLOOKUP(J23,AnsBTBL,2,0),0)</f>
        <v>0</v>
      </c>
      <c r="L23" s="63"/>
      <c r="M23" s="505"/>
      <c r="N23" s="264" t="str">
        <f>J23</f>
        <v>No</v>
      </c>
      <c r="O23" s="52">
        <f>IFERROR(VLOOKUP(N23,AnsBTBL,2,0),0)</f>
        <v>0</v>
      </c>
      <c r="P23" s="63"/>
      <c r="Q23" s="505"/>
      <c r="R23" s="264" t="str">
        <f>N23</f>
        <v>No</v>
      </c>
      <c r="S23" s="52">
        <f>IFERROR(VLOOKUP(R23,AnsBTBL,2,0),0)</f>
        <v>0</v>
      </c>
      <c r="T23" s="63"/>
      <c r="U23" s="505"/>
      <c r="V23" s="264" t="str">
        <f>R23</f>
        <v>No</v>
      </c>
      <c r="W23" s="52">
        <f>IFERROR(VLOOKUP(V23,AnsBTBL,2,0),0)</f>
        <v>0</v>
      </c>
      <c r="X23" s="63"/>
      <c r="Y23" s="505"/>
    </row>
    <row r="24" spans="1:25" ht="28">
      <c r="A24" s="47" t="str">
        <f>Interview!A29</f>
        <v>G-SM-B-3-1</v>
      </c>
      <c r="B24" s="500"/>
      <c r="C24" s="262">
        <f>VLOOKUP(A24,'imp-questions'!A:H,5,0)</f>
        <v>3</v>
      </c>
      <c r="D24" s="265" t="str">
        <f>VLOOKUP(A24,'imp-questions'!A:H,6,0)</f>
        <v>Do you update the Application Security strategy and roadmap based on application security metrics and KPIs?</v>
      </c>
      <c r="E24" s="50" t="str">
        <f>CHAR(65+VLOOKUP(A24,'imp-questions'!A:H,8,0))</f>
        <v>N</v>
      </c>
      <c r="F24" s="263" t="str">
        <f>Interview!F29</f>
        <v>Yes, but review is ad-hoc</v>
      </c>
      <c r="G24" s="52">
        <f>IFERROR(VLOOKUP(F24,AnsNTBL,2,0),0)</f>
        <v>0.25</v>
      </c>
      <c r="H24" s="63"/>
      <c r="I24" s="505"/>
      <c r="J24" s="264" t="str">
        <f>F24</f>
        <v>Yes, but review is ad-hoc</v>
      </c>
      <c r="K24" s="52">
        <f>IFERROR(VLOOKUP(J24,AnsNTBL,2,0),0)</f>
        <v>0.25</v>
      </c>
      <c r="L24" s="63"/>
      <c r="M24" s="505"/>
      <c r="N24" s="264" t="str">
        <f>J24</f>
        <v>Yes, but review is ad-hoc</v>
      </c>
      <c r="O24" s="52">
        <f>IFERROR(VLOOKUP(N24,AnsNTBL,2,0),0)</f>
        <v>0.25</v>
      </c>
      <c r="P24" s="63"/>
      <c r="Q24" s="505"/>
      <c r="R24" s="264" t="str">
        <f>N24</f>
        <v>Yes, but review is ad-hoc</v>
      </c>
      <c r="S24" s="52">
        <f>IFERROR(VLOOKUP(R24,AnsNTBL,2,0),0)</f>
        <v>0.25</v>
      </c>
      <c r="T24" s="63"/>
      <c r="U24" s="505"/>
      <c r="V24" s="264" t="str">
        <f>R24</f>
        <v>Yes, but review is ad-hoc</v>
      </c>
      <c r="W24" s="52">
        <f>IFERROR(VLOOKUP(V24,AnsNTBL,2,0),0)</f>
        <v>0.25</v>
      </c>
      <c r="X24" s="63"/>
      <c r="Y24" s="505"/>
    </row>
    <row r="25" spans="1:25" ht="13">
      <c r="A25" s="47"/>
      <c r="B25" s="267"/>
      <c r="C25" s="268"/>
      <c r="D25" s="269"/>
      <c r="E25" s="269"/>
      <c r="F25" s="269"/>
      <c r="G25" s="269"/>
      <c r="H25" s="269"/>
      <c r="I25" s="269"/>
      <c r="J25" s="269"/>
      <c r="K25" s="269"/>
      <c r="L25" s="269"/>
      <c r="M25" s="269"/>
      <c r="N25" s="269"/>
      <c r="O25" s="269"/>
      <c r="P25" s="269"/>
      <c r="Q25" s="269"/>
      <c r="R25" s="269"/>
      <c r="S25" s="269"/>
      <c r="T25" s="269"/>
      <c r="U25" s="269"/>
      <c r="V25" s="269"/>
      <c r="W25" s="269"/>
      <c r="X25" s="269"/>
      <c r="Y25" s="269"/>
    </row>
    <row r="26" spans="1:25">
      <c r="A26" s="47"/>
      <c r="B26" s="258" t="s">
        <v>49</v>
      </c>
      <c r="C26" s="259" t="s">
        <v>50</v>
      </c>
      <c r="D26" s="271" t="s">
        <v>66</v>
      </c>
      <c r="E26" s="272"/>
      <c r="F26" s="273" t="s">
        <v>52</v>
      </c>
      <c r="G26" s="273"/>
      <c r="H26" s="274"/>
      <c r="I26" s="261" t="s">
        <v>54</v>
      </c>
      <c r="J26" s="273" t="s">
        <v>52</v>
      </c>
      <c r="K26" s="273"/>
      <c r="L26" s="274"/>
      <c r="M26" s="261" t="s">
        <v>54</v>
      </c>
      <c r="N26" s="273" t="s">
        <v>52</v>
      </c>
      <c r="O26" s="273"/>
      <c r="P26" s="274"/>
      <c r="Q26" s="261" t="s">
        <v>54</v>
      </c>
      <c r="R26" s="273" t="s">
        <v>52</v>
      </c>
      <c r="S26" s="273"/>
      <c r="T26" s="274"/>
      <c r="U26" s="261" t="s">
        <v>54</v>
      </c>
      <c r="V26" s="273" t="s">
        <v>52</v>
      </c>
      <c r="W26" s="273"/>
      <c r="X26" s="274"/>
      <c r="Y26" s="261" t="s">
        <v>54</v>
      </c>
    </row>
    <row r="27" spans="1:25" ht="28">
      <c r="A27" s="47" t="str">
        <f>Interview!A32</f>
        <v>G-PC-A-1-1</v>
      </c>
      <c r="B27" s="500" t="str">
        <f>VLOOKUP(A27,'imp-questions'!A:H,4,0)</f>
        <v>Policy &amp; Standards</v>
      </c>
      <c r="C27" s="262">
        <f>VLOOKUP(A27,'imp-questions'!A:H,5,0)</f>
        <v>1</v>
      </c>
      <c r="D27" s="49" t="str">
        <f>VLOOKUP(A27,'imp-questions'!A:H,6,0)</f>
        <v>Do you have and apply a common set of policies and standards throughout your organization?</v>
      </c>
      <c r="E27" s="50" t="str">
        <f>CHAR(65+VLOOKUP(A27,'imp-questions'!A:H,8,0))</f>
        <v>F</v>
      </c>
      <c r="F27" s="275" t="str">
        <f>Interview!F32</f>
        <v>Yes, for most or all of the applications</v>
      </c>
      <c r="G27" s="52">
        <f>IFERROR(VLOOKUP(F27,AnsFTBL,2,0),0)</f>
        <v>1</v>
      </c>
      <c r="H27" s="276">
        <f>IFERROR(AVERAGE(G27,G31),0)</f>
        <v>0.5</v>
      </c>
      <c r="I27" s="501">
        <f>SUM(H27,H28,H29)</f>
        <v>1.375</v>
      </c>
      <c r="J27" s="264" t="str">
        <f>F27</f>
        <v>Yes, for most or all of the applications</v>
      </c>
      <c r="K27" s="52">
        <f>IFERROR(VLOOKUP(J27,AnsFTBL,2,0),0)</f>
        <v>1</v>
      </c>
      <c r="L27" s="276">
        <f>IFERROR(AVERAGE(K27,K31),0)</f>
        <v>0.5</v>
      </c>
      <c r="M27" s="501">
        <f>SUM(L27,L28,L29)</f>
        <v>1.375</v>
      </c>
      <c r="N27" s="264" t="str">
        <f>J27</f>
        <v>Yes, for most or all of the applications</v>
      </c>
      <c r="O27" s="52">
        <f>IFERROR(VLOOKUP(N27,AnsFTBL,2,0),0)</f>
        <v>1</v>
      </c>
      <c r="P27" s="276">
        <f>IFERROR(AVERAGE(O27,O31),0)</f>
        <v>0.5</v>
      </c>
      <c r="Q27" s="501">
        <f>SUM(P27,P28,P29)</f>
        <v>1.375</v>
      </c>
      <c r="R27" s="264" t="str">
        <f>N27</f>
        <v>Yes, for most or all of the applications</v>
      </c>
      <c r="S27" s="52">
        <f>IFERROR(VLOOKUP(R27,AnsFTBL,2,0),0)</f>
        <v>1</v>
      </c>
      <c r="T27" s="276">
        <f>IFERROR(AVERAGE(S27,S31),0)</f>
        <v>0.5</v>
      </c>
      <c r="U27" s="501">
        <f>SUM(T27,T28,T29)</f>
        <v>1.375</v>
      </c>
      <c r="V27" s="264" t="str">
        <f>R27</f>
        <v>Yes, for most or all of the applications</v>
      </c>
      <c r="W27" s="52">
        <f>IFERROR(VLOOKUP(V27,AnsFTBL,2,0),0)</f>
        <v>1</v>
      </c>
      <c r="X27" s="276">
        <f>IFERROR(AVERAGE(W27,W31),0)</f>
        <v>0.5</v>
      </c>
      <c r="Y27" s="501">
        <f>SUM(X27,X28,X29)</f>
        <v>1.375</v>
      </c>
    </row>
    <row r="28" spans="1:25" ht="28">
      <c r="A28" s="47" t="str">
        <f>Interview!A34</f>
        <v>G-PC-A-2-1</v>
      </c>
      <c r="B28" s="500"/>
      <c r="C28" s="262">
        <f>VLOOKUP(A28,'imp-questions'!A:H,5,0)</f>
        <v>2</v>
      </c>
      <c r="D28" s="49" t="str">
        <f>VLOOKUP(A28,'imp-questions'!A:H,6,0)</f>
        <v>Do you publish the organization's policies as test scripts or run-books for easy interpretation by development teams?</v>
      </c>
      <c r="E28" s="50" t="str">
        <f>CHAR(65+VLOOKUP(A28,'imp-questions'!A:H,8,0))</f>
        <v>A</v>
      </c>
      <c r="F28" s="275" t="str">
        <f>Interview!F34</f>
        <v>Yes, some content</v>
      </c>
      <c r="G28" s="52">
        <f>IFERROR(VLOOKUP(F28,AnsATBL,2,0),0)</f>
        <v>0.25</v>
      </c>
      <c r="H28" s="203">
        <f>IFERROR(AVERAGE(G28,G32),0)</f>
        <v>0.375</v>
      </c>
      <c r="I28" s="501"/>
      <c r="J28" s="264" t="str">
        <f>F28</f>
        <v>Yes, some content</v>
      </c>
      <c r="K28" s="52">
        <f>IFERROR(VLOOKUP(J28,AnsATBL,2,0),0)</f>
        <v>0.25</v>
      </c>
      <c r="L28" s="203">
        <f>IFERROR(AVERAGE(K28,K32),0)</f>
        <v>0.375</v>
      </c>
      <c r="M28" s="501"/>
      <c r="N28" s="264" t="str">
        <f>J28</f>
        <v>Yes, some content</v>
      </c>
      <c r="O28" s="52">
        <f>IFERROR(VLOOKUP(N28,AnsATBL,2,0),0)</f>
        <v>0.25</v>
      </c>
      <c r="P28" s="203">
        <f>IFERROR(AVERAGE(O28,O32),0)</f>
        <v>0.375</v>
      </c>
      <c r="Q28" s="501"/>
      <c r="R28" s="264" t="str">
        <f>N28</f>
        <v>Yes, some content</v>
      </c>
      <c r="S28" s="52">
        <f>IFERROR(VLOOKUP(R28,AnsATBL,2,0),0)</f>
        <v>0.25</v>
      </c>
      <c r="T28" s="203">
        <f>IFERROR(AVERAGE(S28,S32),0)</f>
        <v>0.375</v>
      </c>
      <c r="U28" s="501"/>
      <c r="V28" s="264" t="str">
        <f>R28</f>
        <v>Yes, some content</v>
      </c>
      <c r="W28" s="52">
        <f>IFERROR(VLOOKUP(V28,AnsATBL,2,0),0)</f>
        <v>0.25</v>
      </c>
      <c r="X28" s="203">
        <f>IFERROR(AVERAGE(W28,W32),0)</f>
        <v>0.375</v>
      </c>
      <c r="Y28" s="501"/>
    </row>
    <row r="29" spans="1:25" ht="28">
      <c r="A29" s="47" t="str">
        <f>Interview!A36</f>
        <v>G-PC-A-3-1</v>
      </c>
      <c r="B29" s="500"/>
      <c r="C29" s="262">
        <f>VLOOKUP(A29,'imp-questions'!A:H,5,0)</f>
        <v>3</v>
      </c>
      <c r="D29" s="49" t="str">
        <f>VLOOKUP(A29,'imp-questions'!A:H,6,0)</f>
        <v>Do you regularly report on policy and standard compliance, and use that information to guide compliance improvement efforts?</v>
      </c>
      <c r="E29" s="50" t="str">
        <f>CHAR(65+VLOOKUP(A29,'imp-questions'!A:H,8,0))</f>
        <v>E</v>
      </c>
      <c r="F29" s="275" t="str">
        <f>Interview!F36</f>
        <v>Yes, we report at regular times</v>
      </c>
      <c r="G29" s="52">
        <f>IFERROR(VLOOKUP(F29,AnsETBL,2,0),0)</f>
        <v>0.5</v>
      </c>
      <c r="H29" s="203">
        <f>IFERROR(AVERAGE(G29,G33),0)</f>
        <v>0.5</v>
      </c>
      <c r="I29" s="501"/>
      <c r="J29" s="264" t="str">
        <f>F29</f>
        <v>Yes, we report at regular times</v>
      </c>
      <c r="K29" s="52">
        <f>IFERROR(VLOOKUP(J29,AnsETBL,2,0),0)</f>
        <v>0.5</v>
      </c>
      <c r="L29" s="203">
        <f>IFERROR(AVERAGE(K29,K33),0)</f>
        <v>0.5</v>
      </c>
      <c r="M29" s="501"/>
      <c r="N29" s="264" t="str">
        <f>J29</f>
        <v>Yes, we report at regular times</v>
      </c>
      <c r="O29" s="52">
        <f>IFERROR(VLOOKUP(N29,AnsETBL,2,0),0)</f>
        <v>0.5</v>
      </c>
      <c r="P29" s="203">
        <f>IFERROR(AVERAGE(O29,O33),0)</f>
        <v>0.5</v>
      </c>
      <c r="Q29" s="501"/>
      <c r="R29" s="264" t="str">
        <f>N29</f>
        <v>Yes, we report at regular times</v>
      </c>
      <c r="S29" s="52">
        <f>IFERROR(VLOOKUP(R29,AnsETBL,2,0),0)</f>
        <v>0.5</v>
      </c>
      <c r="T29" s="203">
        <f>IFERROR(AVERAGE(S29,S33),0)</f>
        <v>0.5</v>
      </c>
      <c r="U29" s="501"/>
      <c r="V29" s="264" t="str">
        <f>R29</f>
        <v>Yes, we report at regular times</v>
      </c>
      <c r="W29" s="52">
        <f>IFERROR(VLOOKUP(V29,AnsETBL,2,0),0)</f>
        <v>0.5</v>
      </c>
      <c r="X29" s="203">
        <f>IFERROR(AVERAGE(W29,W33),0)</f>
        <v>0.5</v>
      </c>
      <c r="Y29" s="501"/>
    </row>
    <row r="30" spans="1:25" ht="13">
      <c r="A30" s="47"/>
      <c r="B30" s="277"/>
      <c r="C30" s="278"/>
      <c r="D30" s="74"/>
      <c r="E30" s="74"/>
      <c r="F30" s="74"/>
      <c r="G30" s="74"/>
      <c r="H30" s="74"/>
      <c r="I30" s="501"/>
      <c r="J30" s="74"/>
      <c r="K30" s="74"/>
      <c r="L30" s="74"/>
      <c r="M30" s="501"/>
      <c r="N30" s="74"/>
      <c r="O30" s="74"/>
      <c r="P30" s="74"/>
      <c r="Q30" s="501"/>
      <c r="R30" s="74"/>
      <c r="S30" s="74"/>
      <c r="T30" s="74"/>
      <c r="U30" s="501"/>
      <c r="V30" s="74"/>
      <c r="W30" s="74"/>
      <c r="X30" s="74"/>
      <c r="Y30" s="501"/>
    </row>
    <row r="31" spans="1:25">
      <c r="A31" s="47" t="str">
        <f>Interview!A39</f>
        <v>G-PC-B-1-1</v>
      </c>
      <c r="B31" s="502" t="str">
        <f>VLOOKUP(A31,'imp-questions'!A:H,4,0)</f>
        <v>Compliance Management</v>
      </c>
      <c r="C31" s="262">
        <f>VLOOKUP(A31,'imp-questions'!A:H,5,0)</f>
        <v>1</v>
      </c>
      <c r="D31" s="49" t="str">
        <f>VLOOKUP(A31,'imp-questions'!A:H,6,0)</f>
        <v>Do you have a complete picture of your external compliance obligations?</v>
      </c>
      <c r="E31" s="50" t="str">
        <f>CHAR(65+VLOOKUP(A31,'imp-questions'!A:H,8,0))</f>
        <v>F</v>
      </c>
      <c r="F31" s="263" t="str">
        <f>Interview!F39</f>
        <v>No</v>
      </c>
      <c r="G31" s="52">
        <f>IFERROR(VLOOKUP(F31,AnsFTBL,2,0),0)</f>
        <v>0</v>
      </c>
      <c r="H31" s="279"/>
      <c r="I31" s="501"/>
      <c r="J31" s="264" t="str">
        <f>F31</f>
        <v>No</v>
      </c>
      <c r="K31" s="52">
        <f>IFERROR(VLOOKUP(J31,AnsFTBL,2,0),0)</f>
        <v>0</v>
      </c>
      <c r="L31" s="279"/>
      <c r="M31" s="501"/>
      <c r="N31" s="264" t="str">
        <f>J31</f>
        <v>No</v>
      </c>
      <c r="O31" s="52">
        <f>IFERROR(VLOOKUP(N31,AnsFTBL,2,0),0)</f>
        <v>0</v>
      </c>
      <c r="P31" s="279"/>
      <c r="Q31" s="501"/>
      <c r="R31" s="264" t="str">
        <f>N31</f>
        <v>No</v>
      </c>
      <c r="S31" s="52">
        <f>IFERROR(VLOOKUP(R31,AnsFTBL,2,0),0)</f>
        <v>0</v>
      </c>
      <c r="T31" s="279"/>
      <c r="U31" s="501"/>
      <c r="V31" s="264" t="str">
        <f>R31</f>
        <v>No</v>
      </c>
      <c r="W31" s="52">
        <f>IFERROR(VLOOKUP(V31,AnsFTBL,2,0),0)</f>
        <v>0</v>
      </c>
      <c r="X31" s="279"/>
      <c r="Y31" s="501"/>
    </row>
    <row r="32" spans="1:25" ht="28">
      <c r="A32" s="47" t="str">
        <f>Interview!A41</f>
        <v>G-PC-B-2-1</v>
      </c>
      <c r="B32" s="502"/>
      <c r="C32" s="262">
        <f>VLOOKUP(A32,'imp-questions'!A:H,5,0)</f>
        <v>2</v>
      </c>
      <c r="D32" s="49" t="str">
        <f>VLOOKUP(A32,'imp-questions'!A:H,6,0)</f>
        <v>Do you have a standard set of security requirements and verification procedures addressing the organization's external compliance obligations?</v>
      </c>
      <c r="E32" s="50" t="str">
        <f>CHAR(65+VLOOKUP(A32,'imp-questions'!A:H,8,0))</f>
        <v>D</v>
      </c>
      <c r="F32" s="263" t="str">
        <f>Interview!F41</f>
        <v>Yes, for at least half of the obligations</v>
      </c>
      <c r="G32" s="52">
        <f>IFERROR(VLOOKUP(F32,AnsDTBL,2,0),0)</f>
        <v>0.5</v>
      </c>
      <c r="H32" s="279"/>
      <c r="I32" s="501"/>
      <c r="J32" s="264" t="str">
        <f>F32</f>
        <v>Yes, for at least half of the obligations</v>
      </c>
      <c r="K32" s="52">
        <f>IFERROR(VLOOKUP(J32,AnsDTBL,2,0),0)</f>
        <v>0.5</v>
      </c>
      <c r="L32" s="279"/>
      <c r="M32" s="501"/>
      <c r="N32" s="264" t="str">
        <f>J32</f>
        <v>Yes, for at least half of the obligations</v>
      </c>
      <c r="O32" s="52">
        <f>IFERROR(VLOOKUP(N32,AnsDTBL,2,0),0)</f>
        <v>0.5</v>
      </c>
      <c r="P32" s="279"/>
      <c r="Q32" s="501"/>
      <c r="R32" s="264" t="str">
        <f>N32</f>
        <v>Yes, for at least half of the obligations</v>
      </c>
      <c r="S32" s="52">
        <f>IFERROR(VLOOKUP(R32,AnsDTBL,2,0),0)</f>
        <v>0.5</v>
      </c>
      <c r="T32" s="279"/>
      <c r="U32" s="501"/>
      <c r="V32" s="264" t="str">
        <f>R32</f>
        <v>Yes, for at least half of the obligations</v>
      </c>
      <c r="W32" s="52">
        <f>IFERROR(VLOOKUP(V32,AnsDTBL,2,0),0)</f>
        <v>0.5</v>
      </c>
      <c r="X32" s="279"/>
      <c r="Y32" s="501"/>
    </row>
    <row r="33" spans="1:25" ht="28">
      <c r="A33" s="47" t="str">
        <f>Interview!A43</f>
        <v>G-PC-B-3-1</v>
      </c>
      <c r="B33" s="502"/>
      <c r="C33" s="262">
        <f>VLOOKUP(A33,'imp-questions'!A:H,5,0)</f>
        <v>3</v>
      </c>
      <c r="D33" s="49" t="str">
        <f>VLOOKUP(A33,'imp-questions'!A:H,6,0)</f>
        <v>Do you regularly report on adherence to external compliance obligations and use that information to guide efforts to close compliance gaps?</v>
      </c>
      <c r="E33" s="50" t="str">
        <f>CHAR(65+VLOOKUP(A33,'imp-questions'!A:H,8,0))</f>
        <v>E</v>
      </c>
      <c r="F33" s="263" t="str">
        <f>Interview!F43</f>
        <v>Yes, we report at regular times</v>
      </c>
      <c r="G33" s="52">
        <f>IFERROR(VLOOKUP(F33,AnsETBL,2,0),0)</f>
        <v>0.5</v>
      </c>
      <c r="H33" s="279"/>
      <c r="I33" s="501"/>
      <c r="J33" s="264" t="str">
        <f>F33</f>
        <v>Yes, we report at regular times</v>
      </c>
      <c r="K33" s="52">
        <f>IFERROR(VLOOKUP(J33,AnsETBL,2,0),0)</f>
        <v>0.5</v>
      </c>
      <c r="L33" s="279"/>
      <c r="M33" s="501"/>
      <c r="N33" s="264" t="str">
        <f>J33</f>
        <v>Yes, we report at regular times</v>
      </c>
      <c r="O33" s="52">
        <f>IFERROR(VLOOKUP(N33,AnsETBL,2,0),0)</f>
        <v>0.5</v>
      </c>
      <c r="P33" s="279"/>
      <c r="Q33" s="501"/>
      <c r="R33" s="264" t="str">
        <f>N33</f>
        <v>Yes, we report at regular times</v>
      </c>
      <c r="S33" s="52">
        <f>IFERROR(VLOOKUP(R33,AnsETBL,2,0),0)</f>
        <v>0.5</v>
      </c>
      <c r="T33" s="279"/>
      <c r="U33" s="501"/>
      <c r="V33" s="264" t="str">
        <f>R33</f>
        <v>Yes, we report at regular times</v>
      </c>
      <c r="W33" s="52">
        <f>IFERROR(VLOOKUP(V33,AnsETBL,2,0),0)</f>
        <v>0.5</v>
      </c>
      <c r="X33" s="279"/>
      <c r="Y33" s="501"/>
    </row>
    <row r="34" spans="1:25" ht="13">
      <c r="A34" s="47"/>
      <c r="B34" s="277"/>
      <c r="C34" s="278"/>
      <c r="D34" s="74"/>
      <c r="E34" s="74"/>
      <c r="F34" s="74"/>
      <c r="G34" s="74"/>
      <c r="H34" s="74"/>
      <c r="I34" s="269"/>
      <c r="J34" s="74"/>
      <c r="K34" s="74"/>
      <c r="L34" s="74"/>
      <c r="M34" s="269"/>
      <c r="N34" s="74"/>
      <c r="O34" s="74"/>
      <c r="P34" s="74"/>
      <c r="Q34" s="269"/>
      <c r="R34" s="74"/>
      <c r="S34" s="74"/>
      <c r="T34" s="74"/>
      <c r="U34" s="269"/>
      <c r="V34" s="74"/>
      <c r="W34" s="74"/>
      <c r="X34" s="74"/>
      <c r="Y34" s="269"/>
    </row>
    <row r="35" spans="1:25">
      <c r="A35" s="47"/>
      <c r="B35" s="258" t="s">
        <v>49</v>
      </c>
      <c r="C35" s="259" t="s">
        <v>50</v>
      </c>
      <c r="D35" s="271" t="s">
        <v>77</v>
      </c>
      <c r="E35" s="272"/>
      <c r="F35" s="273" t="s">
        <v>52</v>
      </c>
      <c r="G35" s="273"/>
      <c r="H35" s="274"/>
      <c r="I35" s="261" t="s">
        <v>54</v>
      </c>
      <c r="J35" s="273" t="s">
        <v>52</v>
      </c>
      <c r="K35" s="273"/>
      <c r="L35" s="274"/>
      <c r="M35" s="261" t="s">
        <v>54</v>
      </c>
      <c r="N35" s="273" t="s">
        <v>52</v>
      </c>
      <c r="O35" s="273"/>
      <c r="P35" s="274"/>
      <c r="Q35" s="261" t="s">
        <v>54</v>
      </c>
      <c r="R35" s="273" t="s">
        <v>52</v>
      </c>
      <c r="S35" s="273"/>
      <c r="T35" s="274"/>
      <c r="U35" s="261" t="s">
        <v>54</v>
      </c>
      <c r="V35" s="273" t="s">
        <v>52</v>
      </c>
      <c r="W35" s="273"/>
      <c r="X35" s="274"/>
      <c r="Y35" s="261" t="s">
        <v>54</v>
      </c>
    </row>
    <row r="36" spans="1:25" ht="28">
      <c r="A36" s="47" t="str">
        <f>Interview!A46</f>
        <v>G-EG-A-1-1</v>
      </c>
      <c r="B36" s="500" t="str">
        <f>VLOOKUP(A36,'imp-questions'!A:H,4,0)</f>
        <v>Training and Awareness</v>
      </c>
      <c r="C36" s="262">
        <f>VLOOKUP(A36,'imp-questions'!A:H,5,0)</f>
        <v>1</v>
      </c>
      <c r="D36" s="49" t="str">
        <f>VLOOKUP(A36,'imp-questions'!A:H,6,0)</f>
        <v>Do you require employees involved with application development to take SDLC training?</v>
      </c>
      <c r="E36" s="50" t="str">
        <f>CHAR(65+VLOOKUP(A36,'imp-questions'!A:H,8,0))</f>
        <v>C</v>
      </c>
      <c r="F36" s="270" t="str">
        <f>Interview!F46</f>
        <v>Yes, some of them</v>
      </c>
      <c r="G36" s="52">
        <f>IFERROR(VLOOKUP(F36,AnsCTBL,2,0),0)</f>
        <v>0.25</v>
      </c>
      <c r="H36" s="276">
        <f>IFERROR(AVERAGE(G36,G40),0)</f>
        <v>0.625</v>
      </c>
      <c r="I36" s="503">
        <f>SUM(H36,H37,H38)</f>
        <v>2.125</v>
      </c>
      <c r="J36" s="264" t="str">
        <f>F36</f>
        <v>Yes, some of them</v>
      </c>
      <c r="K36" s="52">
        <f>IFERROR(VLOOKUP(J36,AnsCTBL,2,0),0)</f>
        <v>0.25</v>
      </c>
      <c r="L36" s="276">
        <f>IFERROR(AVERAGE(K36,K40),0)</f>
        <v>0.625</v>
      </c>
      <c r="M36" s="503">
        <f>SUM(L36,L37,L38)</f>
        <v>2.125</v>
      </c>
      <c r="N36" s="264" t="str">
        <f>J36</f>
        <v>Yes, some of them</v>
      </c>
      <c r="O36" s="52">
        <f>IFERROR(VLOOKUP(N36,AnsCTBL,2,0),0)</f>
        <v>0.25</v>
      </c>
      <c r="P36" s="276">
        <f>IFERROR(AVERAGE(O36,O40),0)</f>
        <v>0.625</v>
      </c>
      <c r="Q36" s="503">
        <f>SUM(P36,P37,P38)</f>
        <v>2.125</v>
      </c>
      <c r="R36" s="264" t="str">
        <f>N36</f>
        <v>Yes, some of them</v>
      </c>
      <c r="S36" s="52">
        <f>IFERROR(VLOOKUP(R36,AnsCTBL,2,0),0)</f>
        <v>0.25</v>
      </c>
      <c r="T36" s="276">
        <f>IFERROR(AVERAGE(S36,S40),0)</f>
        <v>0.625</v>
      </c>
      <c r="U36" s="503">
        <f>SUM(T36,T37,T38)</f>
        <v>2.125</v>
      </c>
      <c r="V36" s="264" t="str">
        <f>R36</f>
        <v>Yes, some of them</v>
      </c>
      <c r="W36" s="52">
        <f>IFERROR(VLOOKUP(V36,AnsCTBL,2,0),0)</f>
        <v>0.25</v>
      </c>
      <c r="X36" s="276">
        <f>IFERROR(AVERAGE(W36,W40),0)</f>
        <v>0.625</v>
      </c>
      <c r="Y36" s="503">
        <f>SUM(X36,X37,X38)</f>
        <v>2.125</v>
      </c>
    </row>
    <row r="37" spans="1:25" ht="28">
      <c r="A37" s="47" t="str">
        <f>Interview!A48</f>
        <v>G-EG-A-2-1</v>
      </c>
      <c r="B37" s="500"/>
      <c r="C37" s="262">
        <f>VLOOKUP(A37,'imp-questions'!A:H,5,0)</f>
        <v>2</v>
      </c>
      <c r="D37" s="49" t="str">
        <f>VLOOKUP(A37,'imp-questions'!A:H,6,0)</f>
        <v>Is training customized for individual roles such as developers, testers, or security champions?</v>
      </c>
      <c r="E37" s="60" t="str">
        <f>CHAR(65+VLOOKUP(A37,'imp-questions'!A:H,8,0))</f>
        <v>I</v>
      </c>
      <c r="F37" s="263" t="str">
        <f>Interview!F48</f>
        <v>Yes, for at least half of the training</v>
      </c>
      <c r="G37" s="52">
        <f>IFERROR(VLOOKUP(F37,AnsITBL,2,0),0)</f>
        <v>0.5</v>
      </c>
      <c r="H37" s="203">
        <f>IFERROR(AVERAGE(G37,G41),0)</f>
        <v>0.75</v>
      </c>
      <c r="I37" s="503"/>
      <c r="J37" s="264" t="str">
        <f>F37</f>
        <v>Yes, for at least half of the training</v>
      </c>
      <c r="K37" s="52">
        <f>IFERROR(VLOOKUP(J37,AnsITBL,2,0),0)</f>
        <v>0.5</v>
      </c>
      <c r="L37" s="203">
        <f>IFERROR(AVERAGE(K37,K41),0)</f>
        <v>0.75</v>
      </c>
      <c r="M37" s="503"/>
      <c r="N37" s="264" t="str">
        <f>J37</f>
        <v>Yes, for at least half of the training</v>
      </c>
      <c r="O37" s="52">
        <f>IFERROR(VLOOKUP(N37,AnsITBL,2,0),0)</f>
        <v>0.5</v>
      </c>
      <c r="P37" s="203">
        <f>IFERROR(AVERAGE(O37,O41),0)</f>
        <v>0.75</v>
      </c>
      <c r="Q37" s="503"/>
      <c r="R37" s="264" t="str">
        <f>N37</f>
        <v>Yes, for at least half of the training</v>
      </c>
      <c r="S37" s="52">
        <f>IFERROR(VLOOKUP(R37,AnsITBL,2,0),0)</f>
        <v>0.5</v>
      </c>
      <c r="T37" s="203">
        <f>IFERROR(AVERAGE(S37,S41),0)</f>
        <v>0.75</v>
      </c>
      <c r="U37" s="503"/>
      <c r="V37" s="264" t="str">
        <f>R37</f>
        <v>Yes, for at least half of the training</v>
      </c>
      <c r="W37" s="52">
        <f>IFERROR(VLOOKUP(V37,AnsITBL,2,0),0)</f>
        <v>0.5</v>
      </c>
      <c r="X37" s="203">
        <f>IFERROR(AVERAGE(W37,W41),0)</f>
        <v>0.75</v>
      </c>
      <c r="Y37" s="503"/>
    </row>
    <row r="38" spans="1:25" ht="28">
      <c r="A38" s="47" t="str">
        <f>Interview!A50</f>
        <v>G-EG-A-3-1</v>
      </c>
      <c r="B38" s="500"/>
      <c r="C38" s="262">
        <f>VLOOKUP(A38,'imp-questions'!A:H,5,0)</f>
        <v>3</v>
      </c>
      <c r="D38" s="265" t="str">
        <f>VLOOKUP(A38,'imp-questions'!A:H,6,0)</f>
        <v>Have you implemented a Learning Management System or equivalent to track employee training and certification processes?</v>
      </c>
      <c r="E38" s="60" t="str">
        <f>CHAR(65+VLOOKUP(A38,'imp-questions'!A:H,8,0))</f>
        <v>I</v>
      </c>
      <c r="F38" s="263" t="str">
        <f>Interview!F50</f>
        <v>Yes, for most or all of the training</v>
      </c>
      <c r="G38" s="52">
        <f>IFERROR(VLOOKUP(F38,AnsITBL,2,0),0)</f>
        <v>1</v>
      </c>
      <c r="H38" s="203">
        <f>IFERROR(AVERAGE(G38,G42),0)</f>
        <v>0.75</v>
      </c>
      <c r="I38" s="503"/>
      <c r="J38" s="264" t="str">
        <f>F38</f>
        <v>Yes, for most or all of the training</v>
      </c>
      <c r="K38" s="52">
        <f>IFERROR(VLOOKUP(J38,AnsITBL,2,0),0)</f>
        <v>1</v>
      </c>
      <c r="L38" s="203">
        <f>IFERROR(AVERAGE(K38,K42),0)</f>
        <v>0.75</v>
      </c>
      <c r="M38" s="503"/>
      <c r="N38" s="264" t="str">
        <f>J38</f>
        <v>Yes, for most or all of the training</v>
      </c>
      <c r="O38" s="52">
        <f>IFERROR(VLOOKUP(N38,AnsITBL,2,0),0)</f>
        <v>1</v>
      </c>
      <c r="P38" s="203">
        <f>IFERROR(AVERAGE(O38,O42),0)</f>
        <v>0.75</v>
      </c>
      <c r="Q38" s="503"/>
      <c r="R38" s="264" t="str">
        <f>N38</f>
        <v>Yes, for most or all of the training</v>
      </c>
      <c r="S38" s="52">
        <f>IFERROR(VLOOKUP(R38,AnsITBL,2,0),0)</f>
        <v>1</v>
      </c>
      <c r="T38" s="203">
        <f>IFERROR(AVERAGE(S38,S42),0)</f>
        <v>0.75</v>
      </c>
      <c r="U38" s="503"/>
      <c r="V38" s="264" t="str">
        <f>R38</f>
        <v>Yes, for most or all of the training</v>
      </c>
      <c r="W38" s="52">
        <f>IFERROR(VLOOKUP(V38,AnsITBL,2,0),0)</f>
        <v>1</v>
      </c>
      <c r="X38" s="203">
        <f>IFERROR(AVERAGE(W38,W42),0)</f>
        <v>0.75</v>
      </c>
      <c r="Y38" s="503"/>
    </row>
    <row r="39" spans="1:25" ht="13">
      <c r="A39" s="47"/>
      <c r="B39" s="267"/>
      <c r="C39" s="268"/>
      <c r="D39" s="269"/>
      <c r="E39" s="269"/>
      <c r="F39" s="269"/>
      <c r="G39" s="269"/>
      <c r="H39" s="269"/>
      <c r="I39" s="503"/>
      <c r="J39" s="269"/>
      <c r="K39" s="269"/>
      <c r="L39" s="269"/>
      <c r="M39" s="503"/>
      <c r="N39" s="269"/>
      <c r="O39" s="269"/>
      <c r="P39" s="269"/>
      <c r="Q39" s="503"/>
      <c r="R39" s="269"/>
      <c r="S39" s="269"/>
      <c r="T39" s="269"/>
      <c r="U39" s="503"/>
      <c r="V39" s="269"/>
      <c r="W39" s="269"/>
      <c r="X39" s="269"/>
      <c r="Y39" s="503"/>
    </row>
    <row r="40" spans="1:25">
      <c r="A40" s="47" t="str">
        <f>Interview!A53</f>
        <v>G-EG-B-1-1</v>
      </c>
      <c r="B40" s="500" t="str">
        <f>VLOOKUP(A40,'imp-questions'!A:H,4,0)</f>
        <v>Organization and Culture</v>
      </c>
      <c r="C40" s="262">
        <f>VLOOKUP(A40,'imp-questions'!A:H,5,0)</f>
        <v>1</v>
      </c>
      <c r="D40" s="49" t="str">
        <f>VLOOKUP(A40,'imp-questions'!A:H,6,0)</f>
        <v>Have you identified a Security Champion for each development team?</v>
      </c>
      <c r="E40" s="50" t="str">
        <f>CHAR(65+VLOOKUP(A40,'imp-questions'!A:H,8,0))</f>
        <v>W</v>
      </c>
      <c r="F40" s="270" t="str">
        <f>Interview!F53</f>
        <v>Yes, for most or all of the teams</v>
      </c>
      <c r="G40" s="52">
        <f>IFERROR(VLOOKUP(F40,AnsWTBL,2,0),0)</f>
        <v>1</v>
      </c>
      <c r="H40" s="203"/>
      <c r="I40" s="503"/>
      <c r="J40" s="264" t="str">
        <f>F40</f>
        <v>Yes, for most or all of the teams</v>
      </c>
      <c r="K40" s="52">
        <f>IFERROR(VLOOKUP(J40,AnsWTBL,2,0),0)</f>
        <v>1</v>
      </c>
      <c r="L40" s="203"/>
      <c r="M40" s="503"/>
      <c r="N40" s="264" t="str">
        <f>J40</f>
        <v>Yes, for most or all of the teams</v>
      </c>
      <c r="O40" s="52">
        <f>IFERROR(VLOOKUP(N40,AnsWTBL,2,0),0)</f>
        <v>1</v>
      </c>
      <c r="P40" s="203"/>
      <c r="Q40" s="503"/>
      <c r="R40" s="264" t="str">
        <f>N40</f>
        <v>Yes, for most or all of the teams</v>
      </c>
      <c r="S40" s="52">
        <f>IFERROR(VLOOKUP(R40,AnsWTBL,2,0),0)</f>
        <v>1</v>
      </c>
      <c r="T40" s="203"/>
      <c r="U40" s="503"/>
      <c r="V40" s="264" t="str">
        <f>R40</f>
        <v>Yes, for most or all of the teams</v>
      </c>
      <c r="W40" s="52">
        <f>IFERROR(VLOOKUP(V40,AnsWTBL,2,0),0)</f>
        <v>1</v>
      </c>
      <c r="X40" s="203"/>
      <c r="Y40" s="503"/>
    </row>
    <row r="41" spans="1:25">
      <c r="A41" s="47" t="str">
        <f>Interview!A55</f>
        <v>G-EG-B-2-1</v>
      </c>
      <c r="B41" s="500"/>
      <c r="C41" s="262">
        <f>VLOOKUP(A41,'imp-questions'!A:H,5,0)</f>
        <v>2</v>
      </c>
      <c r="D41" s="49" t="str">
        <f>VLOOKUP(A41,'imp-questions'!A:H,6,0)</f>
        <v>Does the organization have a Secure Software Center of Excellence (SSCE)?</v>
      </c>
      <c r="E41" s="50" t="str">
        <f>CHAR(65+VLOOKUP(A41,'imp-questions'!A:H,8,0))</f>
        <v>L</v>
      </c>
      <c r="F41" s="263" t="str">
        <f>Interview!F55</f>
        <v>Yes, for the entire organization</v>
      </c>
      <c r="G41" s="52">
        <f>IFERROR(VLOOKUP(F41,AnsLTBL,2,0),0)</f>
        <v>1</v>
      </c>
      <c r="H41" s="203"/>
      <c r="I41" s="503"/>
      <c r="J41" s="264" t="str">
        <f>F41</f>
        <v>Yes, for the entire organization</v>
      </c>
      <c r="K41" s="52">
        <f>IFERROR(VLOOKUP(J41,AnsLTBL,2,0),0)</f>
        <v>1</v>
      </c>
      <c r="L41" s="203"/>
      <c r="M41" s="503"/>
      <c r="N41" s="264" t="str">
        <f>J41</f>
        <v>Yes, for the entire organization</v>
      </c>
      <c r="O41" s="52">
        <f>IFERROR(VLOOKUP(N41,AnsLTBL,2,0),0)</f>
        <v>1</v>
      </c>
      <c r="P41" s="203"/>
      <c r="Q41" s="503"/>
      <c r="R41" s="264" t="str">
        <f>N41</f>
        <v>Yes, for the entire organization</v>
      </c>
      <c r="S41" s="52">
        <f>IFERROR(VLOOKUP(R41,AnsLTBL,2,0),0)</f>
        <v>1</v>
      </c>
      <c r="T41" s="203"/>
      <c r="U41" s="503"/>
      <c r="V41" s="264" t="str">
        <f>R41</f>
        <v>Yes, for the entire organization</v>
      </c>
      <c r="W41" s="52">
        <f>IFERROR(VLOOKUP(V41,AnsLTBL,2,0),0)</f>
        <v>1</v>
      </c>
      <c r="X41" s="203"/>
      <c r="Y41" s="503"/>
    </row>
    <row r="42" spans="1:25" ht="42">
      <c r="A42" s="47" t="str">
        <f>Interview!A57</f>
        <v>G-EG-B-3-1</v>
      </c>
      <c r="B42" s="500"/>
      <c r="C42" s="262">
        <f>VLOOKUP(A42,'imp-questions'!A:H,5,0)</f>
        <v>3</v>
      </c>
      <c r="D42" s="265" t="str">
        <f>VLOOKUP(A42,'imp-questions'!A:H,6,0)</f>
        <v>Is there a centralized portal where developers and application security professionals from different teams and business units are able to communicate and share information?</v>
      </c>
      <c r="E42" s="50" t="str">
        <f>CHAR(65+VLOOKUP(A42,'imp-questions'!A:H,8,0))</f>
        <v>L</v>
      </c>
      <c r="F42" s="263" t="str">
        <f>Interview!F57</f>
        <v>Yes, for part of the organization</v>
      </c>
      <c r="G42" s="52">
        <f>IFERROR(VLOOKUP(F42,AnsLTBL,2,0),0)</f>
        <v>0.5</v>
      </c>
      <c r="H42" s="203"/>
      <c r="I42" s="503"/>
      <c r="J42" s="264" t="str">
        <f>F42</f>
        <v>Yes, for part of the organization</v>
      </c>
      <c r="K42" s="52">
        <f>IFERROR(VLOOKUP(J42,AnsLTBL,2,0),0)</f>
        <v>0.5</v>
      </c>
      <c r="L42" s="203"/>
      <c r="M42" s="503"/>
      <c r="N42" s="264" t="str">
        <f>J42</f>
        <v>Yes, for part of the organization</v>
      </c>
      <c r="O42" s="52">
        <f>IFERROR(VLOOKUP(N42,AnsLTBL,2,0),0)</f>
        <v>0.5</v>
      </c>
      <c r="P42" s="203"/>
      <c r="Q42" s="503"/>
      <c r="R42" s="264" t="str">
        <f>N42</f>
        <v>Yes, for part of the organization</v>
      </c>
      <c r="S42" s="52">
        <f>IFERROR(VLOOKUP(R42,AnsLTBL,2,0),0)</f>
        <v>0.5</v>
      </c>
      <c r="T42" s="203"/>
      <c r="U42" s="503"/>
      <c r="V42" s="264" t="str">
        <f>R42</f>
        <v>Yes, for part of the organization</v>
      </c>
      <c r="W42" s="52">
        <f>IFERROR(VLOOKUP(V42,AnsLTBL,2,0),0)</f>
        <v>0.5</v>
      </c>
      <c r="X42" s="203"/>
      <c r="Y42" s="503"/>
    </row>
    <row r="43" spans="1:25" ht="13">
      <c r="A43" s="47"/>
      <c r="B43" s="267"/>
      <c r="C43" s="268"/>
      <c r="D43" s="269"/>
      <c r="E43" s="269"/>
      <c r="F43" s="269"/>
      <c r="G43" s="269"/>
      <c r="H43" s="269"/>
      <c r="I43" s="269"/>
      <c r="J43" s="269"/>
      <c r="K43" s="269"/>
      <c r="L43" s="269"/>
      <c r="M43" s="269"/>
      <c r="N43" s="269"/>
      <c r="O43" s="269"/>
      <c r="P43" s="269"/>
      <c r="Q43" s="269"/>
      <c r="R43" s="269"/>
      <c r="S43" s="269"/>
      <c r="T43" s="269"/>
      <c r="U43" s="269"/>
      <c r="V43" s="269"/>
      <c r="W43" s="269"/>
      <c r="X43" s="269"/>
      <c r="Y43" s="269"/>
    </row>
    <row r="44" spans="1:25" ht="12.75" customHeight="1">
      <c r="A44" s="47"/>
      <c r="B44" s="280" t="s">
        <v>91</v>
      </c>
      <c r="C44" s="280"/>
      <c r="D44" s="97"/>
      <c r="E44" s="97"/>
      <c r="F44" s="498" t="s">
        <v>199</v>
      </c>
      <c r="G44" s="498"/>
      <c r="H44" s="498"/>
      <c r="I44" s="498"/>
      <c r="J44" s="499" t="s">
        <v>210</v>
      </c>
      <c r="K44" s="499"/>
      <c r="L44" s="499"/>
      <c r="M44" s="499"/>
      <c r="N44" s="499" t="s">
        <v>211</v>
      </c>
      <c r="O44" s="499"/>
      <c r="P44" s="499"/>
      <c r="Q44" s="499"/>
      <c r="R44" s="499" t="s">
        <v>212</v>
      </c>
      <c r="S44" s="499"/>
      <c r="T44" s="499"/>
      <c r="U44" s="499"/>
      <c r="V44" s="499" t="s">
        <v>213</v>
      </c>
      <c r="W44" s="499"/>
      <c r="X44" s="499"/>
      <c r="Y44" s="499"/>
    </row>
    <row r="45" spans="1:25">
      <c r="A45" s="47"/>
      <c r="B45" s="106" t="s">
        <v>49</v>
      </c>
      <c r="C45" s="281" t="s">
        <v>50</v>
      </c>
      <c r="D45" s="282" t="s">
        <v>92</v>
      </c>
      <c r="E45" s="99"/>
      <c r="F45" s="98" t="s">
        <v>52</v>
      </c>
      <c r="G45" s="98"/>
      <c r="H45" s="100"/>
      <c r="I45" s="283" t="s">
        <v>54</v>
      </c>
      <c r="J45" s="98" t="s">
        <v>52</v>
      </c>
      <c r="K45" s="98"/>
      <c r="L45" s="100"/>
      <c r="M45" s="283" t="s">
        <v>54</v>
      </c>
      <c r="N45" s="98" t="s">
        <v>52</v>
      </c>
      <c r="O45" s="98"/>
      <c r="P45" s="100"/>
      <c r="Q45" s="283" t="s">
        <v>54</v>
      </c>
      <c r="R45" s="98" t="s">
        <v>52</v>
      </c>
      <c r="S45" s="98"/>
      <c r="T45" s="100"/>
      <c r="U45" s="283" t="s">
        <v>54</v>
      </c>
      <c r="V45" s="98" t="s">
        <v>52</v>
      </c>
      <c r="W45" s="98"/>
      <c r="X45" s="100"/>
      <c r="Y45" s="283" t="s">
        <v>54</v>
      </c>
    </row>
    <row r="46" spans="1:25" ht="28">
      <c r="A46" s="47" t="str">
        <f>Interview!A61</f>
        <v>D-TA-A-1-1</v>
      </c>
      <c r="B46" s="495" t="str">
        <f>VLOOKUP(A46,'imp-questions'!A:H,4,0)</f>
        <v>Application Risk Profile</v>
      </c>
      <c r="C46" s="284">
        <f>VLOOKUP(A46,'imp-questions'!A:H,5,0)</f>
        <v>1</v>
      </c>
      <c r="D46" s="49" t="str">
        <f>VLOOKUP(A46,'imp-questions'!A:H,6,0)</f>
        <v>Do you classify applications according to business risk based on a simple and predefined set of questions?</v>
      </c>
      <c r="E46" s="50" t="str">
        <f>CHAR(65+VLOOKUP(A46,'imp-questions'!A:H,8,0))</f>
        <v>C</v>
      </c>
      <c r="F46" s="275" t="str">
        <f>Interview!F61</f>
        <v>Yes, most or all of them</v>
      </c>
      <c r="G46" s="52">
        <f>IFERROR(VLOOKUP(F46,AnsCTBL,2,0),0)</f>
        <v>1</v>
      </c>
      <c r="H46" s="276">
        <f>IFERROR(AVERAGE(G46,G50),0)</f>
        <v>1</v>
      </c>
      <c r="I46" s="494">
        <f>SUM(H46:H48)</f>
        <v>2.25</v>
      </c>
      <c r="J46" s="264" t="str">
        <f>F46</f>
        <v>Yes, most or all of them</v>
      </c>
      <c r="K46" s="52">
        <f>IFERROR(VLOOKUP(J46,AnsCTBL,2,0),0)</f>
        <v>1</v>
      </c>
      <c r="L46" s="276">
        <f>IFERROR(AVERAGE(K46,K50),0)</f>
        <v>1</v>
      </c>
      <c r="M46" s="494">
        <f>SUM(L46:L48)</f>
        <v>2.25</v>
      </c>
      <c r="N46" s="264" t="str">
        <f>J46</f>
        <v>Yes, most or all of them</v>
      </c>
      <c r="O46" s="52">
        <f>IFERROR(VLOOKUP(N46,AnsCTBL,2,0),0)</f>
        <v>1</v>
      </c>
      <c r="P46" s="276">
        <f>IFERROR(AVERAGE(O46,O50),0)</f>
        <v>1</v>
      </c>
      <c r="Q46" s="494">
        <f>SUM(P46:P48)</f>
        <v>2.25</v>
      </c>
      <c r="R46" s="264" t="str">
        <f>N46</f>
        <v>Yes, most or all of them</v>
      </c>
      <c r="S46" s="52">
        <f>IFERROR(VLOOKUP(R46,AnsCTBL,2,0),0)</f>
        <v>1</v>
      </c>
      <c r="T46" s="276">
        <f>IFERROR(AVERAGE(S46,S50),0)</f>
        <v>1</v>
      </c>
      <c r="U46" s="494">
        <f>SUM(T46:T48)</f>
        <v>2.25</v>
      </c>
      <c r="V46" s="264" t="str">
        <f>R46</f>
        <v>Yes, most or all of them</v>
      </c>
      <c r="W46" s="52">
        <f>IFERROR(VLOOKUP(V46,AnsCTBL,2,0),0)</f>
        <v>1</v>
      </c>
      <c r="X46" s="276">
        <f>IFERROR(AVERAGE(W46,W50),0)</f>
        <v>1</v>
      </c>
      <c r="Y46" s="494">
        <f>SUM(X46:X48)</f>
        <v>2.25</v>
      </c>
    </row>
    <row r="47" spans="1:25" ht="28">
      <c r="A47" s="47" t="str">
        <f>Interview!A63</f>
        <v>D-TA-A-2-1</v>
      </c>
      <c r="B47" s="495"/>
      <c r="C47" s="284">
        <f>VLOOKUP(A47,'imp-questions'!A:H,5,0)</f>
        <v>2</v>
      </c>
      <c r="D47" s="49" t="str">
        <f>VLOOKUP(A47,'imp-questions'!A:H,6,0)</f>
        <v>Do you use centralized and quantified application risk profiles to evaluate business risk?</v>
      </c>
      <c r="E47" s="50" t="str">
        <f>CHAR(65+VLOOKUP(A47,'imp-questions'!A:H,8,0))</f>
        <v>F</v>
      </c>
      <c r="F47" s="270" t="str">
        <f>Interview!F63</f>
        <v>Yes, for most or all of the applications</v>
      </c>
      <c r="G47" s="52">
        <f>IFERROR(VLOOKUP(F47,AnsFTBL,2,0),0)</f>
        <v>1</v>
      </c>
      <c r="H47" s="276">
        <f>IFERROR(AVERAGE(G47,G51),0)</f>
        <v>1</v>
      </c>
      <c r="I47" s="494"/>
      <c r="J47" s="264" t="str">
        <f>F47</f>
        <v>Yes, for most or all of the applications</v>
      </c>
      <c r="K47" s="52">
        <f>IFERROR(VLOOKUP(J47,AnsFTBL,2,0),0)</f>
        <v>1</v>
      </c>
      <c r="L47" s="276">
        <f>IFERROR(AVERAGE(K47,K51),0)</f>
        <v>1</v>
      </c>
      <c r="M47" s="494"/>
      <c r="N47" s="264" t="str">
        <f>J47</f>
        <v>Yes, for most or all of the applications</v>
      </c>
      <c r="O47" s="52">
        <f>IFERROR(VLOOKUP(N47,AnsFTBL,2,0),0)</f>
        <v>1</v>
      </c>
      <c r="P47" s="276">
        <f>IFERROR(AVERAGE(O47,O51),0)</f>
        <v>1</v>
      </c>
      <c r="Q47" s="494"/>
      <c r="R47" s="264" t="str">
        <f>N47</f>
        <v>Yes, for most or all of the applications</v>
      </c>
      <c r="S47" s="52">
        <f>IFERROR(VLOOKUP(R47,AnsFTBL,2,0),0)</f>
        <v>1</v>
      </c>
      <c r="T47" s="276">
        <f>IFERROR(AVERAGE(S47,S51),0)</f>
        <v>1</v>
      </c>
      <c r="U47" s="494"/>
      <c r="V47" s="264" t="str">
        <f>R47</f>
        <v>Yes, for most or all of the applications</v>
      </c>
      <c r="W47" s="52">
        <f>IFERROR(VLOOKUP(V47,AnsFTBL,2,0),0)</f>
        <v>1</v>
      </c>
      <c r="X47" s="276">
        <f>IFERROR(AVERAGE(W47,W51),0)</f>
        <v>1</v>
      </c>
      <c r="Y47" s="494"/>
    </row>
    <row r="48" spans="1:25">
      <c r="A48" s="47" t="str">
        <f>Interview!A65</f>
        <v>D-TA-A-3-1</v>
      </c>
      <c r="B48" s="495"/>
      <c r="C48" s="284">
        <f>VLOOKUP(A48,'imp-questions'!A:H,5,0)</f>
        <v>3</v>
      </c>
      <c r="D48" s="265" t="str">
        <f>VLOOKUP(A48,'imp-questions'!A:H,6,0)</f>
        <v>Do you regularly review and update the risk profiles for your applications?</v>
      </c>
      <c r="E48" s="50" t="str">
        <f>CHAR(65+VLOOKUP(A48,'imp-questions'!A:H,8,0))</f>
        <v>G</v>
      </c>
      <c r="F48" s="270" t="str">
        <f>Interview!F65</f>
        <v>Yes, sporadically</v>
      </c>
      <c r="G48" s="52">
        <f>IFERROR(VLOOKUP(F48,AnsGTBL,2,0),0)</f>
        <v>0.25</v>
      </c>
      <c r="H48" s="276">
        <f>IFERROR(AVERAGE(G48,G52),0)</f>
        <v>0.25</v>
      </c>
      <c r="I48" s="494"/>
      <c r="J48" s="264" t="str">
        <f>F48</f>
        <v>Yes, sporadically</v>
      </c>
      <c r="K48" s="52">
        <f>IFERROR(VLOOKUP(J48,AnsGTBL,2,0),0)</f>
        <v>0.25</v>
      </c>
      <c r="L48" s="276">
        <f>IFERROR(AVERAGE(K48,K52),0)</f>
        <v>0.25</v>
      </c>
      <c r="M48" s="494"/>
      <c r="N48" s="264" t="str">
        <f>J48</f>
        <v>Yes, sporadically</v>
      </c>
      <c r="O48" s="52">
        <f>IFERROR(VLOOKUP(N48,AnsGTBL,2,0),0)</f>
        <v>0.25</v>
      </c>
      <c r="P48" s="276">
        <f>IFERROR(AVERAGE(O48,O52),0)</f>
        <v>0.25</v>
      </c>
      <c r="Q48" s="494"/>
      <c r="R48" s="264" t="str">
        <f>N48</f>
        <v>Yes, sporadically</v>
      </c>
      <c r="S48" s="52">
        <f>IFERROR(VLOOKUP(R48,AnsGTBL,2,0),0)</f>
        <v>0.25</v>
      </c>
      <c r="T48" s="276">
        <f>IFERROR(AVERAGE(S48,S52),0)</f>
        <v>0.25</v>
      </c>
      <c r="U48" s="494"/>
      <c r="V48" s="264" t="str">
        <f>R48</f>
        <v>Yes, sporadically</v>
      </c>
      <c r="W48" s="52">
        <f>IFERROR(VLOOKUP(V48,AnsGTBL,2,0),0)</f>
        <v>0.25</v>
      </c>
      <c r="X48" s="276">
        <f>IFERROR(AVERAGE(W48,W52),0)</f>
        <v>0.25</v>
      </c>
      <c r="Y48" s="494"/>
    </row>
    <row r="49" spans="1:25" ht="13">
      <c r="A49" s="47"/>
      <c r="B49" s="267"/>
      <c r="C49" s="268"/>
      <c r="D49" s="269"/>
      <c r="E49" s="269"/>
      <c r="F49" s="269"/>
      <c r="G49" s="269"/>
      <c r="H49" s="269"/>
      <c r="I49" s="494"/>
      <c r="J49" s="269"/>
      <c r="K49" s="269"/>
      <c r="L49" s="269"/>
      <c r="M49" s="494"/>
      <c r="N49" s="269"/>
      <c r="O49" s="269"/>
      <c r="P49" s="269"/>
      <c r="Q49" s="494"/>
      <c r="R49" s="269"/>
      <c r="S49" s="269"/>
      <c r="T49" s="269"/>
      <c r="U49" s="494"/>
      <c r="V49" s="269"/>
      <c r="W49" s="269"/>
      <c r="X49" s="269"/>
      <c r="Y49" s="494"/>
    </row>
    <row r="50" spans="1:25">
      <c r="A50" s="47" t="str">
        <f>Interview!A68</f>
        <v>D-TA-B-1-1</v>
      </c>
      <c r="B50" s="495" t="str">
        <f>VLOOKUP(A50,'imp-questions'!A:H,4,0)</f>
        <v>Threat Modeling</v>
      </c>
      <c r="C50" s="284">
        <f>VLOOKUP(A50,'imp-questions'!A:H,5,0)</f>
        <v>1</v>
      </c>
      <c r="D50" s="49" t="str">
        <f>VLOOKUP(A50,'imp-questions'!A:H,6,0)</f>
        <v>Do you identify and manage architectural design flaws with threat modeling?</v>
      </c>
      <c r="E50" s="50" t="str">
        <f>CHAR(65+VLOOKUP(A50,'imp-questions'!A:H,8,0))</f>
        <v>C</v>
      </c>
      <c r="F50" s="270" t="str">
        <f>Interview!F68</f>
        <v>Yes, most or all of them</v>
      </c>
      <c r="G50" s="52">
        <f>IFERROR(VLOOKUP(F50,AnsCTBL,2,0),0)</f>
        <v>1</v>
      </c>
      <c r="H50" s="203"/>
      <c r="I50" s="494"/>
      <c r="J50" s="264" t="str">
        <f>F50</f>
        <v>Yes, most or all of them</v>
      </c>
      <c r="K50" s="52">
        <f>IFERROR(VLOOKUP(J50,AnsCTBL,2,0),0)</f>
        <v>1</v>
      </c>
      <c r="L50" s="203"/>
      <c r="M50" s="494"/>
      <c r="N50" s="264" t="str">
        <f>J50</f>
        <v>Yes, most or all of them</v>
      </c>
      <c r="O50" s="52">
        <f>IFERROR(VLOOKUP(N50,AnsCTBL,2,0),0)</f>
        <v>1</v>
      </c>
      <c r="P50" s="203"/>
      <c r="Q50" s="494"/>
      <c r="R50" s="264" t="str">
        <f>N50</f>
        <v>Yes, most or all of them</v>
      </c>
      <c r="S50" s="52">
        <f>IFERROR(VLOOKUP(R50,AnsCTBL,2,0),0)</f>
        <v>1</v>
      </c>
      <c r="T50" s="203"/>
      <c r="U50" s="494"/>
      <c r="V50" s="264" t="str">
        <f>R50</f>
        <v>Yes, most or all of them</v>
      </c>
      <c r="W50" s="52">
        <f>IFERROR(VLOOKUP(V50,AnsCTBL,2,0),0)</f>
        <v>1</v>
      </c>
      <c r="X50" s="203"/>
      <c r="Y50" s="494"/>
    </row>
    <row r="51" spans="1:25">
      <c r="A51" s="47" t="str">
        <f>Interview!A70</f>
        <v>D-TA-B-2-1</v>
      </c>
      <c r="B51" s="495"/>
      <c r="C51" s="284">
        <f>VLOOKUP(A51,'imp-questions'!A:H,5,0)</f>
        <v>2</v>
      </c>
      <c r="D51" s="49" t="str">
        <f>VLOOKUP(A51,'imp-questions'!A:H,6,0)</f>
        <v>Do you use a standard methodology, aligned on your application risk levels?</v>
      </c>
      <c r="E51" s="50" t="str">
        <f>CHAR(65+VLOOKUP(A51,'imp-questions'!A:H,8,0))</f>
        <v>F</v>
      </c>
      <c r="F51" s="263" t="str">
        <f>Interview!F70</f>
        <v>Yes, for most or all of the applications</v>
      </c>
      <c r="G51" s="52">
        <f>IFERROR(VLOOKUP(F51,AnsFTBL,2,0),0)</f>
        <v>1</v>
      </c>
      <c r="H51" s="203"/>
      <c r="I51" s="494"/>
      <c r="J51" s="264" t="str">
        <f>F51</f>
        <v>Yes, for most or all of the applications</v>
      </c>
      <c r="K51" s="52">
        <f>IFERROR(VLOOKUP(J51,AnsFTBL,2,0),0)</f>
        <v>1</v>
      </c>
      <c r="L51" s="203"/>
      <c r="M51" s="494"/>
      <c r="N51" s="264" t="str">
        <f>J51</f>
        <v>Yes, for most or all of the applications</v>
      </c>
      <c r="O51" s="52">
        <f>IFERROR(VLOOKUP(N51,AnsFTBL,2,0),0)</f>
        <v>1</v>
      </c>
      <c r="P51" s="203"/>
      <c r="Q51" s="494"/>
      <c r="R51" s="264" t="str">
        <f>N51</f>
        <v>Yes, for most or all of the applications</v>
      </c>
      <c r="S51" s="52">
        <f>IFERROR(VLOOKUP(R51,AnsFTBL,2,0),0)</f>
        <v>1</v>
      </c>
      <c r="T51" s="203"/>
      <c r="U51" s="494"/>
      <c r="V51" s="264" t="str">
        <f>R51</f>
        <v>Yes, for most or all of the applications</v>
      </c>
      <c r="W51" s="52">
        <f>IFERROR(VLOOKUP(V51,AnsFTBL,2,0),0)</f>
        <v>1</v>
      </c>
      <c r="X51" s="203"/>
      <c r="Y51" s="494"/>
    </row>
    <row r="52" spans="1:25" ht="28">
      <c r="A52" s="47" t="str">
        <f>Interview!A72</f>
        <v>D-TA-B-3-1</v>
      </c>
      <c r="B52" s="495"/>
      <c r="C52" s="284">
        <f>VLOOKUP(A52,'imp-questions'!A:H,5,0)</f>
        <v>3</v>
      </c>
      <c r="D52" s="265" t="str">
        <f>VLOOKUP(A52,'imp-questions'!A:H,6,0)</f>
        <v>Do you regularly review and update the threat modeling methodology for your applications?</v>
      </c>
      <c r="E52" s="50" t="str">
        <f>CHAR(65+VLOOKUP(A52,'imp-questions'!A:H,8,0))</f>
        <v>N</v>
      </c>
      <c r="F52" s="263" t="str">
        <f>Interview!F72</f>
        <v>Yes, but review is ad-hoc</v>
      </c>
      <c r="G52" s="52">
        <f>IFERROR(VLOOKUP(F52,AnsNTBL,2,0),0)</f>
        <v>0.25</v>
      </c>
      <c r="H52" s="203"/>
      <c r="I52" s="494"/>
      <c r="J52" s="264" t="str">
        <f>F52</f>
        <v>Yes, but review is ad-hoc</v>
      </c>
      <c r="K52" s="52">
        <f>IFERROR(VLOOKUP(J52,AnsNTBL,2,0),0)</f>
        <v>0.25</v>
      </c>
      <c r="L52" s="203"/>
      <c r="M52" s="494"/>
      <c r="N52" s="264" t="str">
        <f>J52</f>
        <v>Yes, but review is ad-hoc</v>
      </c>
      <c r="O52" s="52">
        <f>IFERROR(VLOOKUP(N52,AnsNTBL,2,0),0)</f>
        <v>0.25</v>
      </c>
      <c r="P52" s="203"/>
      <c r="Q52" s="494"/>
      <c r="R52" s="264" t="str">
        <f>N52</f>
        <v>Yes, but review is ad-hoc</v>
      </c>
      <c r="S52" s="52">
        <f>IFERROR(VLOOKUP(R52,AnsNTBL,2,0),0)</f>
        <v>0.25</v>
      </c>
      <c r="T52" s="203"/>
      <c r="U52" s="494"/>
      <c r="V52" s="264" t="str">
        <f>R52</f>
        <v>Yes, but review is ad-hoc</v>
      </c>
      <c r="W52" s="52">
        <f>IFERROR(VLOOKUP(V52,AnsNTBL,2,0),0)</f>
        <v>0.25</v>
      </c>
      <c r="X52" s="203"/>
      <c r="Y52" s="494"/>
    </row>
    <row r="53" spans="1:25" ht="13">
      <c r="A53" s="47"/>
      <c r="B53" s="267"/>
      <c r="C53" s="268"/>
      <c r="D53" s="269"/>
      <c r="E53" s="269"/>
      <c r="F53" s="269"/>
      <c r="G53" s="269"/>
      <c r="H53" s="269"/>
      <c r="I53" s="269"/>
      <c r="J53" s="269"/>
      <c r="K53" s="269"/>
      <c r="L53" s="269"/>
      <c r="M53" s="269"/>
      <c r="N53" s="269"/>
      <c r="O53" s="269"/>
      <c r="P53" s="269"/>
      <c r="Q53" s="269"/>
      <c r="R53" s="269"/>
      <c r="S53" s="269"/>
      <c r="T53" s="269"/>
      <c r="U53" s="269"/>
      <c r="V53" s="269"/>
      <c r="W53" s="269"/>
      <c r="X53" s="269"/>
      <c r="Y53" s="269"/>
    </row>
    <row r="54" spans="1:25">
      <c r="A54" s="47"/>
      <c r="B54" s="106" t="s">
        <v>49</v>
      </c>
      <c r="C54" s="281" t="s">
        <v>50</v>
      </c>
      <c r="D54" s="285" t="s">
        <v>102</v>
      </c>
      <c r="E54" s="286"/>
      <c r="F54" s="287" t="s">
        <v>52</v>
      </c>
      <c r="G54" s="287"/>
      <c r="H54" s="288"/>
      <c r="I54" s="283" t="s">
        <v>54</v>
      </c>
      <c r="J54" s="287" t="s">
        <v>52</v>
      </c>
      <c r="K54" s="287"/>
      <c r="L54" s="288"/>
      <c r="M54" s="283" t="s">
        <v>54</v>
      </c>
      <c r="N54" s="287" t="s">
        <v>52</v>
      </c>
      <c r="O54" s="287"/>
      <c r="P54" s="288"/>
      <c r="Q54" s="283" t="s">
        <v>54</v>
      </c>
      <c r="R54" s="287" t="s">
        <v>52</v>
      </c>
      <c r="S54" s="287"/>
      <c r="T54" s="288"/>
      <c r="U54" s="283" t="s">
        <v>54</v>
      </c>
      <c r="V54" s="287" t="s">
        <v>52</v>
      </c>
      <c r="W54" s="287"/>
      <c r="X54" s="288"/>
      <c r="Y54" s="283" t="s">
        <v>54</v>
      </c>
    </row>
    <row r="55" spans="1:25">
      <c r="A55" s="47" t="str">
        <f>Interview!A75</f>
        <v>D-SR-A-1-1</v>
      </c>
      <c r="B55" s="493" t="str">
        <f>VLOOKUP(A55,'imp-questions'!A:H,4,0)</f>
        <v>Software Requirements</v>
      </c>
      <c r="C55" s="284">
        <f>VLOOKUP(A55,'imp-questions'!A:H,5,0)</f>
        <v>1</v>
      </c>
      <c r="D55" s="49" t="str">
        <f>VLOOKUP(A55,'imp-questions'!A:H,6,0)</f>
        <v>Do project teams specify security requirements during development?</v>
      </c>
      <c r="E55" s="50" t="str">
        <f>CHAR(65+VLOOKUP(A55,'imp-questions'!A:H,8,0))</f>
        <v>F</v>
      </c>
      <c r="F55" s="270" t="str">
        <f>Interview!F75</f>
        <v>Yes, for most or all of the applications</v>
      </c>
      <c r="G55" s="52">
        <f>IFERROR(VLOOKUP(F55,AnsFTBL,2,0),0)</f>
        <v>1</v>
      </c>
      <c r="H55" s="276">
        <f>IFERROR(AVERAGE(G55,G59),0)</f>
        <v>1</v>
      </c>
      <c r="I55" s="494">
        <f>SUM(H55:H57)</f>
        <v>2.25</v>
      </c>
      <c r="J55" s="264" t="str">
        <f>F55</f>
        <v>Yes, for most or all of the applications</v>
      </c>
      <c r="K55" s="52">
        <f>IFERROR(VLOOKUP(J55,AnsFTBL,2,0),0)</f>
        <v>1</v>
      </c>
      <c r="L55" s="276">
        <f>IFERROR(AVERAGE(K55,K59),0)</f>
        <v>1</v>
      </c>
      <c r="M55" s="494">
        <f>SUM(L55:L57)</f>
        <v>2.25</v>
      </c>
      <c r="N55" s="264" t="str">
        <f>J55</f>
        <v>Yes, for most or all of the applications</v>
      </c>
      <c r="O55" s="52">
        <f>IFERROR(VLOOKUP(N55,AnsFTBL,2,0),0)</f>
        <v>1</v>
      </c>
      <c r="P55" s="276">
        <f>IFERROR(AVERAGE(O55,O59),0)</f>
        <v>1</v>
      </c>
      <c r="Q55" s="494">
        <f>SUM(P55:P57)</f>
        <v>2.25</v>
      </c>
      <c r="R55" s="264" t="str">
        <f>N55</f>
        <v>Yes, for most or all of the applications</v>
      </c>
      <c r="S55" s="52">
        <f>IFERROR(VLOOKUP(R55,AnsFTBL,2,0),0)</f>
        <v>1</v>
      </c>
      <c r="T55" s="276">
        <f>IFERROR(AVERAGE(S55,S59),0)</f>
        <v>1</v>
      </c>
      <c r="U55" s="494">
        <f>SUM(T55:T57)</f>
        <v>2.25</v>
      </c>
      <c r="V55" s="264" t="str">
        <f>R55</f>
        <v>Yes, for most or all of the applications</v>
      </c>
      <c r="W55" s="52">
        <f>IFERROR(VLOOKUP(V55,AnsFTBL,2,0),0)</f>
        <v>1</v>
      </c>
      <c r="X55" s="276">
        <f>IFERROR(AVERAGE(W55,W59),0)</f>
        <v>1</v>
      </c>
      <c r="Y55" s="494">
        <f>SUM(X55:X57)</f>
        <v>2.25</v>
      </c>
    </row>
    <row r="56" spans="1:25" ht="28">
      <c r="A56" s="47" t="str">
        <f>Interview!A77</f>
        <v>D-SR-A-2-1</v>
      </c>
      <c r="B56" s="493"/>
      <c r="C56" s="284">
        <f>VLOOKUP(A56,'imp-questions'!A:H,5,0)</f>
        <v>2</v>
      </c>
      <c r="D56" s="49" t="str">
        <f>VLOOKUP(A56,'imp-questions'!A:H,6,0)</f>
        <v>Do you define, structure, and include prioritization in the artifacts of the security requirements gathering process?</v>
      </c>
      <c r="E56" s="50" t="str">
        <f>CHAR(65+VLOOKUP(A56,'imp-questions'!A:H,8,0))</f>
        <v>H</v>
      </c>
      <c r="F56" s="266" t="str">
        <f>Interview!F77</f>
        <v>Yes, most or all of the time</v>
      </c>
      <c r="G56" s="52">
        <f>IFERROR(VLOOKUP(F56,AnsHTBL,2,0),0)</f>
        <v>1</v>
      </c>
      <c r="H56" s="276">
        <f>IFERROR(AVERAGE(G56,G60),0)</f>
        <v>0.625</v>
      </c>
      <c r="I56" s="494"/>
      <c r="J56" s="264" t="str">
        <f>F56</f>
        <v>Yes, most or all of the time</v>
      </c>
      <c r="K56" s="52">
        <f>IFERROR(VLOOKUP(J56,AnsHTBL,2,0),0)</f>
        <v>1</v>
      </c>
      <c r="L56" s="276">
        <f>IFERROR(AVERAGE(K56,K60),0)</f>
        <v>0.625</v>
      </c>
      <c r="M56" s="494"/>
      <c r="N56" s="264" t="str">
        <f>J56</f>
        <v>Yes, most or all of the time</v>
      </c>
      <c r="O56" s="52">
        <f>IFERROR(VLOOKUP(N56,AnsHTBL,2,0),0)</f>
        <v>1</v>
      </c>
      <c r="P56" s="276">
        <f>IFERROR(AVERAGE(O56,O60),0)</f>
        <v>0.625</v>
      </c>
      <c r="Q56" s="494"/>
      <c r="R56" s="264" t="str">
        <f>N56</f>
        <v>Yes, most or all of the time</v>
      </c>
      <c r="S56" s="52">
        <f>IFERROR(VLOOKUP(R56,AnsHTBL,2,0),0)</f>
        <v>1</v>
      </c>
      <c r="T56" s="276">
        <f>IFERROR(AVERAGE(S56,S60),0)</f>
        <v>0.625</v>
      </c>
      <c r="U56" s="494"/>
      <c r="V56" s="264" t="str">
        <f>R56</f>
        <v>Yes, most or all of the time</v>
      </c>
      <c r="W56" s="52">
        <f>IFERROR(VLOOKUP(V56,AnsHTBL,2,0),0)</f>
        <v>1</v>
      </c>
      <c r="X56" s="276">
        <f>IFERROR(AVERAGE(W56,W60),0)</f>
        <v>0.625</v>
      </c>
      <c r="Y56" s="494"/>
    </row>
    <row r="57" spans="1:25" ht="28">
      <c r="A57" s="47" t="str">
        <f>Interview!A79</f>
        <v>D-SR-A-3-1</v>
      </c>
      <c r="B57" s="493"/>
      <c r="C57" s="284">
        <f>VLOOKUP(A57,'imp-questions'!A:H,5,0)</f>
        <v>3</v>
      </c>
      <c r="D57" s="49" t="str">
        <f>VLOOKUP(A57,'imp-questions'!A:H,6,0)</f>
        <v>Do you use a standard requirements framework to streamline the elicitation of security requirements?</v>
      </c>
      <c r="E57" s="50" t="str">
        <f>CHAR(65+VLOOKUP(A57,'imp-questions'!A:H,8,0))</f>
        <v>F</v>
      </c>
      <c r="F57" s="270" t="str">
        <f>Interview!F79</f>
        <v>Yes, for most or all of the applications</v>
      </c>
      <c r="G57" s="52">
        <f>IFERROR(VLOOKUP(F57,AnsFTBL,2,0),0)</f>
        <v>1</v>
      </c>
      <c r="H57" s="276">
        <f>IFERROR(AVERAGE(G57,G61),0)</f>
        <v>0.625</v>
      </c>
      <c r="I57" s="494"/>
      <c r="J57" s="264" t="str">
        <f>F57</f>
        <v>Yes, for most or all of the applications</v>
      </c>
      <c r="K57" s="52">
        <f>IFERROR(VLOOKUP(J57,AnsFTBL,2,0),0)</f>
        <v>1</v>
      </c>
      <c r="L57" s="276">
        <f>IFERROR(AVERAGE(K57,K61),0)</f>
        <v>0.625</v>
      </c>
      <c r="M57" s="494"/>
      <c r="N57" s="264" t="str">
        <f>J57</f>
        <v>Yes, for most or all of the applications</v>
      </c>
      <c r="O57" s="52">
        <f>IFERROR(VLOOKUP(N57,AnsFTBL,2,0),0)</f>
        <v>1</v>
      </c>
      <c r="P57" s="276">
        <f>IFERROR(AVERAGE(O57,O61),0)</f>
        <v>0.625</v>
      </c>
      <c r="Q57" s="494"/>
      <c r="R57" s="264" t="str">
        <f>N57</f>
        <v>Yes, for most or all of the applications</v>
      </c>
      <c r="S57" s="52">
        <f>IFERROR(VLOOKUP(R57,AnsFTBL,2,0),0)</f>
        <v>1</v>
      </c>
      <c r="T57" s="276">
        <f>IFERROR(AVERAGE(S57,S61),0)</f>
        <v>0.625</v>
      </c>
      <c r="U57" s="494"/>
      <c r="V57" s="264" t="str">
        <f>R57</f>
        <v>Yes, for most or all of the applications</v>
      </c>
      <c r="W57" s="52">
        <f>IFERROR(VLOOKUP(V57,AnsFTBL,2,0),0)</f>
        <v>1</v>
      </c>
      <c r="X57" s="276">
        <f>IFERROR(AVERAGE(W57,W61),0)</f>
        <v>0.625</v>
      </c>
      <c r="Y57" s="494"/>
    </row>
    <row r="58" spans="1:25" ht="13">
      <c r="A58" s="47"/>
      <c r="B58" s="289"/>
      <c r="C58" s="268"/>
      <c r="D58" s="269"/>
      <c r="E58" s="269"/>
      <c r="F58" s="269"/>
      <c r="G58" s="269"/>
      <c r="H58" s="269"/>
      <c r="I58" s="494"/>
      <c r="J58" s="269"/>
      <c r="K58" s="269"/>
      <c r="L58" s="269"/>
      <c r="M58" s="494"/>
      <c r="N58" s="269"/>
      <c r="O58" s="269"/>
      <c r="P58" s="269"/>
      <c r="Q58" s="494"/>
      <c r="R58" s="269"/>
      <c r="S58" s="269"/>
      <c r="T58" s="269"/>
      <c r="U58" s="494"/>
      <c r="V58" s="269"/>
      <c r="W58" s="269"/>
      <c r="X58" s="269"/>
      <c r="Y58" s="494"/>
    </row>
    <row r="59" spans="1:25" ht="28">
      <c r="A59" s="47" t="str">
        <f>Interview!A82</f>
        <v>D-SR-B-1-1</v>
      </c>
      <c r="B59" s="495" t="str">
        <f>VLOOKUP(A59,'imp-questions'!A:H,4,0)</f>
        <v>Supplier Security</v>
      </c>
      <c r="C59" s="284">
        <f>VLOOKUP(A59,'imp-questions'!A:H,5,0)</f>
        <v>1</v>
      </c>
      <c r="D59" s="49" t="str">
        <f>VLOOKUP(A59,'imp-questions'!A:H,6,0)</f>
        <v>Do stakeholders review vendor collaborations for security requirements and methodology?</v>
      </c>
      <c r="E59" s="50" t="str">
        <f>CHAR(65+VLOOKUP(A59,'imp-questions'!A:H,8,0))</f>
        <v>H</v>
      </c>
      <c r="F59" s="270" t="str">
        <f>Interview!F82</f>
        <v>Yes, most or all of the time</v>
      </c>
      <c r="G59" s="52">
        <f>IFERROR(VLOOKUP(F59,AnsHTBL,2,0),0)</f>
        <v>1</v>
      </c>
      <c r="H59" s="203"/>
      <c r="I59" s="494"/>
      <c r="J59" s="264" t="str">
        <f>F59</f>
        <v>Yes, most or all of the time</v>
      </c>
      <c r="K59" s="52">
        <f>IFERROR(VLOOKUP(J59,AnsHTBL,2,0),0)</f>
        <v>1</v>
      </c>
      <c r="L59" s="203"/>
      <c r="M59" s="494"/>
      <c r="N59" s="264" t="str">
        <f>J59</f>
        <v>Yes, most or all of the time</v>
      </c>
      <c r="O59" s="52">
        <f>IFERROR(VLOOKUP(N59,AnsHTBL,2,0),0)</f>
        <v>1</v>
      </c>
      <c r="P59" s="203"/>
      <c r="Q59" s="494"/>
      <c r="R59" s="264" t="str">
        <f>N59</f>
        <v>Yes, most or all of the time</v>
      </c>
      <c r="S59" s="52">
        <f>IFERROR(VLOOKUP(R59,AnsHTBL,2,0),0)</f>
        <v>1</v>
      </c>
      <c r="T59" s="203"/>
      <c r="U59" s="494"/>
      <c r="V59" s="264" t="str">
        <f>R59</f>
        <v>Yes, most or all of the time</v>
      </c>
      <c r="W59" s="52">
        <f>IFERROR(VLOOKUP(V59,AnsHTBL,2,0),0)</f>
        <v>1</v>
      </c>
      <c r="X59" s="203"/>
      <c r="Y59" s="494"/>
    </row>
    <row r="60" spans="1:25" ht="28">
      <c r="A60" s="47" t="str">
        <f>Interview!A84</f>
        <v>D-SR-B-2-1</v>
      </c>
      <c r="B60" s="495"/>
      <c r="C60" s="284">
        <f>VLOOKUP(A60,'imp-questions'!A:H,5,0)</f>
        <v>2</v>
      </c>
      <c r="D60" s="49" t="str">
        <f>VLOOKUP(A60,'imp-questions'!A:H,6,0)</f>
        <v>Do vendors meet the security responsibilities and quality measures of service level agreements defined by the organization?</v>
      </c>
      <c r="E60" s="50" t="str">
        <f>CHAR(65+VLOOKUP(A60,'imp-questions'!A:H,8,0))</f>
        <v>H</v>
      </c>
      <c r="F60" s="266" t="str">
        <f>Interview!F84</f>
        <v>Yes, some of the time</v>
      </c>
      <c r="G60" s="52">
        <f>IFERROR(VLOOKUP(F60,AnsHTBL,2,0),0)</f>
        <v>0.25</v>
      </c>
      <c r="H60" s="203"/>
      <c r="I60" s="494"/>
      <c r="J60" s="264" t="str">
        <f>F60</f>
        <v>Yes, some of the time</v>
      </c>
      <c r="K60" s="52">
        <f>IFERROR(VLOOKUP(J60,AnsHTBL,2,0),0)</f>
        <v>0.25</v>
      </c>
      <c r="L60" s="203"/>
      <c r="M60" s="494"/>
      <c r="N60" s="264" t="str">
        <f>J60</f>
        <v>Yes, some of the time</v>
      </c>
      <c r="O60" s="52">
        <f>IFERROR(VLOOKUP(N60,AnsHTBL,2,0),0)</f>
        <v>0.25</v>
      </c>
      <c r="P60" s="203"/>
      <c r="Q60" s="494"/>
      <c r="R60" s="264" t="str">
        <f>N60</f>
        <v>Yes, some of the time</v>
      </c>
      <c r="S60" s="52">
        <f>IFERROR(VLOOKUP(R60,AnsHTBL,2,0),0)</f>
        <v>0.25</v>
      </c>
      <c r="T60" s="203"/>
      <c r="U60" s="494"/>
      <c r="V60" s="264" t="str">
        <f>R60</f>
        <v>Yes, some of the time</v>
      </c>
      <c r="W60" s="52">
        <f>IFERROR(VLOOKUP(V60,AnsHTBL,2,0),0)</f>
        <v>0.25</v>
      </c>
      <c r="X60" s="203"/>
      <c r="Y60" s="494"/>
    </row>
    <row r="61" spans="1:25" ht="28">
      <c r="A61" s="47" t="str">
        <f>Interview!A86</f>
        <v>D-SR-B-3-1</v>
      </c>
      <c r="B61" s="495"/>
      <c r="C61" s="284">
        <f>VLOOKUP(A61,'imp-questions'!A:H,5,0)</f>
        <v>3</v>
      </c>
      <c r="D61" s="265" t="str">
        <f>VLOOKUP(A61,'imp-questions'!A:H,6,0)</f>
        <v>Are vendors aligned with standard security controls and software development tools and processes that the organization utilizes?</v>
      </c>
      <c r="E61" s="50" t="str">
        <f>CHAR(65+VLOOKUP(A61,'imp-questions'!A:H,8,0))</f>
        <v>H</v>
      </c>
      <c r="F61" s="266" t="str">
        <f>Interview!F86</f>
        <v>Yes, some of the time</v>
      </c>
      <c r="G61" s="52">
        <f>IFERROR(VLOOKUP(F61,AnsHTBL,2,0),0)</f>
        <v>0.25</v>
      </c>
      <c r="H61" s="203"/>
      <c r="I61" s="494"/>
      <c r="J61" s="264" t="str">
        <f>F61</f>
        <v>Yes, some of the time</v>
      </c>
      <c r="K61" s="52">
        <f>IFERROR(VLOOKUP(J61,AnsHTBL,2,0),0)</f>
        <v>0.25</v>
      </c>
      <c r="L61" s="203"/>
      <c r="M61" s="494"/>
      <c r="N61" s="264" t="str">
        <f>J61</f>
        <v>Yes, some of the time</v>
      </c>
      <c r="O61" s="52">
        <f>IFERROR(VLOOKUP(N61,AnsHTBL,2,0),0)</f>
        <v>0.25</v>
      </c>
      <c r="P61" s="203"/>
      <c r="Q61" s="494"/>
      <c r="R61" s="264" t="str">
        <f>N61</f>
        <v>Yes, some of the time</v>
      </c>
      <c r="S61" s="52">
        <f>IFERROR(VLOOKUP(R61,AnsHTBL,2,0),0)</f>
        <v>0.25</v>
      </c>
      <c r="T61" s="203"/>
      <c r="U61" s="494"/>
      <c r="V61" s="264" t="str">
        <f>R61</f>
        <v>Yes, some of the time</v>
      </c>
      <c r="W61" s="52">
        <f>IFERROR(VLOOKUP(V61,AnsHTBL,2,0),0)</f>
        <v>0.25</v>
      </c>
      <c r="X61" s="203"/>
      <c r="Y61" s="494"/>
    </row>
    <row r="62" spans="1:25" ht="13">
      <c r="A62" s="47"/>
      <c r="B62" s="267"/>
      <c r="C62" s="268"/>
      <c r="D62" s="269"/>
      <c r="E62" s="269"/>
      <c r="F62" s="269"/>
      <c r="G62" s="269"/>
      <c r="H62" s="269"/>
      <c r="I62" s="269"/>
      <c r="J62" s="269"/>
      <c r="K62" s="269"/>
      <c r="L62" s="269"/>
      <c r="M62" s="269"/>
      <c r="N62" s="269"/>
      <c r="O62" s="269"/>
      <c r="P62" s="269"/>
      <c r="Q62" s="269"/>
      <c r="R62" s="269"/>
      <c r="S62" s="269"/>
      <c r="T62" s="269"/>
      <c r="U62" s="269"/>
      <c r="V62" s="269"/>
      <c r="W62" s="269"/>
      <c r="X62" s="269"/>
      <c r="Y62" s="269"/>
    </row>
    <row r="63" spans="1:25">
      <c r="A63" s="47"/>
      <c r="B63" s="106" t="s">
        <v>49</v>
      </c>
      <c r="C63" s="281" t="s">
        <v>50</v>
      </c>
      <c r="D63" s="285" t="s">
        <v>111</v>
      </c>
      <c r="E63" s="286"/>
      <c r="F63" s="287" t="s">
        <v>52</v>
      </c>
      <c r="G63" s="287"/>
      <c r="H63" s="288"/>
      <c r="I63" s="283" t="s">
        <v>54</v>
      </c>
      <c r="J63" s="287" t="s">
        <v>52</v>
      </c>
      <c r="K63" s="287"/>
      <c r="L63" s="288"/>
      <c r="M63" s="283" t="s">
        <v>54</v>
      </c>
      <c r="N63" s="287" t="s">
        <v>52</v>
      </c>
      <c r="O63" s="287"/>
      <c r="P63" s="288"/>
      <c r="Q63" s="283" t="s">
        <v>54</v>
      </c>
      <c r="R63" s="287" t="s">
        <v>52</v>
      </c>
      <c r="S63" s="287"/>
      <c r="T63" s="288"/>
      <c r="U63" s="283" t="s">
        <v>54</v>
      </c>
      <c r="V63" s="287" t="s">
        <v>52</v>
      </c>
      <c r="W63" s="287"/>
      <c r="X63" s="288"/>
      <c r="Y63" s="283" t="s">
        <v>54</v>
      </c>
    </row>
    <row r="64" spans="1:25">
      <c r="A64" s="47" t="str">
        <f>Interview!A89</f>
        <v>D-SA-A-1-1</v>
      </c>
      <c r="B64" s="493" t="str">
        <f>VLOOKUP(A64,'imp-questions'!A:H,4,0)</f>
        <v>Architecture Design</v>
      </c>
      <c r="C64" s="284">
        <f>VLOOKUP(A64,'imp-questions'!A:H,5,0)</f>
        <v>1</v>
      </c>
      <c r="D64" s="49" t="str">
        <f>VLOOKUP(A64,'imp-questions'!A:H,6,0)</f>
        <v>Do teams use security principles during design?</v>
      </c>
      <c r="E64" s="50" t="str">
        <f>CHAR(65+VLOOKUP(A64,'imp-questions'!A:H,8,0))</f>
        <v>F</v>
      </c>
      <c r="F64" s="270" t="str">
        <f>Interview!F89</f>
        <v>Yes, for most or all of the applications</v>
      </c>
      <c r="G64" s="52">
        <f>IFERROR(VLOOKUP(F64,AnsFTBL,2,0),0)</f>
        <v>1</v>
      </c>
      <c r="H64" s="276">
        <f>IFERROR(AVERAGE(G64,G68),0)</f>
        <v>1</v>
      </c>
      <c r="I64" s="496">
        <f>SUM(H64:H66)</f>
        <v>1.875</v>
      </c>
      <c r="J64" s="264" t="str">
        <f>F64</f>
        <v>Yes, for most or all of the applications</v>
      </c>
      <c r="K64" s="52">
        <f>IFERROR(VLOOKUP(J64,AnsFTBL,2,0),0)</f>
        <v>1</v>
      </c>
      <c r="L64" s="276">
        <f>IFERROR(AVERAGE(K64,K68),0)</f>
        <v>1</v>
      </c>
      <c r="M64" s="496">
        <f>SUM(L64:L66)</f>
        <v>1.875</v>
      </c>
      <c r="N64" s="264" t="str">
        <f>J64</f>
        <v>Yes, for most or all of the applications</v>
      </c>
      <c r="O64" s="52">
        <f>IFERROR(VLOOKUP(N64,AnsFTBL,2,0),0)</f>
        <v>1</v>
      </c>
      <c r="P64" s="276">
        <f>IFERROR(AVERAGE(O64,O68),0)</f>
        <v>1</v>
      </c>
      <c r="Q64" s="496">
        <f>SUM(P64:P66)</f>
        <v>1.875</v>
      </c>
      <c r="R64" s="264" t="str">
        <f>N64</f>
        <v>Yes, for most or all of the applications</v>
      </c>
      <c r="S64" s="52">
        <f>IFERROR(VLOOKUP(R64,AnsFTBL,2,0),0)</f>
        <v>1</v>
      </c>
      <c r="T64" s="276">
        <f>IFERROR(AVERAGE(S64,S68),0)</f>
        <v>1</v>
      </c>
      <c r="U64" s="496">
        <f>SUM(T64:T66)</f>
        <v>1.875</v>
      </c>
      <c r="V64" s="264" t="str">
        <f>R64</f>
        <v>Yes, for most or all of the applications</v>
      </c>
      <c r="W64" s="52">
        <f>IFERROR(VLOOKUP(V64,AnsFTBL,2,0),0)</f>
        <v>1</v>
      </c>
      <c r="X64" s="276">
        <f>IFERROR(AVERAGE(W64,W68),0)</f>
        <v>1</v>
      </c>
      <c r="Y64" s="496">
        <f>SUM(X64:X66)</f>
        <v>1.875</v>
      </c>
    </row>
    <row r="65" spans="1:25">
      <c r="A65" s="47" t="str">
        <f>Interview!A91</f>
        <v>D-SA-A-2-1</v>
      </c>
      <c r="B65" s="493"/>
      <c r="C65" s="284">
        <f>VLOOKUP(A65,'imp-questions'!A:H,5,0)</f>
        <v>2</v>
      </c>
      <c r="D65" s="49" t="str">
        <f>VLOOKUP(A65,'imp-questions'!A:H,6,0)</f>
        <v>Do you use shared security services during design?</v>
      </c>
      <c r="E65" s="50" t="str">
        <f>CHAR(65+VLOOKUP(A65,'imp-questions'!A:H,8,0))</f>
        <v>F</v>
      </c>
      <c r="F65" s="270" t="str">
        <f>Interview!F91</f>
        <v>Yes, for some applications</v>
      </c>
      <c r="G65" s="52">
        <f>IFERROR(VLOOKUP(F65,AnsFTBL,2,0),0)</f>
        <v>0.25</v>
      </c>
      <c r="H65" s="276">
        <f>IFERROR(AVERAGE(G65,G69),0)</f>
        <v>0.375</v>
      </c>
      <c r="I65" s="496"/>
      <c r="J65" s="264" t="str">
        <f>F65</f>
        <v>Yes, for some applications</v>
      </c>
      <c r="K65" s="52">
        <f>IFERROR(VLOOKUP(J65,AnsFTBL,2,0),0)</f>
        <v>0.25</v>
      </c>
      <c r="L65" s="276">
        <f>IFERROR(AVERAGE(K65,K69),0)</f>
        <v>0.375</v>
      </c>
      <c r="M65" s="496"/>
      <c r="N65" s="264" t="str">
        <f>J65</f>
        <v>Yes, for some applications</v>
      </c>
      <c r="O65" s="52">
        <f>IFERROR(VLOOKUP(N65,AnsFTBL,2,0),0)</f>
        <v>0.25</v>
      </c>
      <c r="P65" s="276">
        <f>IFERROR(AVERAGE(O65,O69),0)</f>
        <v>0.375</v>
      </c>
      <c r="Q65" s="496"/>
      <c r="R65" s="264" t="str">
        <f>N65</f>
        <v>Yes, for some applications</v>
      </c>
      <c r="S65" s="52">
        <f>IFERROR(VLOOKUP(R65,AnsFTBL,2,0),0)</f>
        <v>0.25</v>
      </c>
      <c r="T65" s="276">
        <f>IFERROR(AVERAGE(S65,S69),0)</f>
        <v>0.375</v>
      </c>
      <c r="U65" s="496"/>
      <c r="V65" s="264" t="str">
        <f>R65</f>
        <v>Yes, for some applications</v>
      </c>
      <c r="W65" s="52">
        <f>IFERROR(VLOOKUP(V65,AnsFTBL,2,0),0)</f>
        <v>0.25</v>
      </c>
      <c r="X65" s="276">
        <f>IFERROR(AVERAGE(W65,W69),0)</f>
        <v>0.375</v>
      </c>
      <c r="Y65" s="496"/>
    </row>
    <row r="66" spans="1:25">
      <c r="A66" s="47" t="str">
        <f>Interview!A93</f>
        <v>D-SA-A-3-1</v>
      </c>
      <c r="B66" s="493"/>
      <c r="C66" s="284">
        <f>VLOOKUP(A66,'imp-questions'!A:H,5,0)</f>
        <v>3</v>
      </c>
      <c r="D66" s="265" t="str">
        <f>VLOOKUP(A66,'imp-questions'!A:H,6,0)</f>
        <v>Do you base your design on available reference architectures?</v>
      </c>
      <c r="E66" s="50" t="str">
        <f>CHAR(65+VLOOKUP(A66,'imp-questions'!A:H,8,0))</f>
        <v>F</v>
      </c>
      <c r="F66" s="270" t="str">
        <f>Interview!F93</f>
        <v>No</v>
      </c>
      <c r="G66" s="52">
        <f>IFERROR(VLOOKUP(F66,AnsFTBL,2,0),0)</f>
        <v>0</v>
      </c>
      <c r="H66" s="276">
        <f>IFERROR(AVERAGE(G66,G70),0)</f>
        <v>0.5</v>
      </c>
      <c r="I66" s="496"/>
      <c r="J66" s="264" t="str">
        <f>F66</f>
        <v>No</v>
      </c>
      <c r="K66" s="52">
        <f>IFERROR(VLOOKUP(J66,AnsFTBL,2,0),0)</f>
        <v>0</v>
      </c>
      <c r="L66" s="276">
        <f>IFERROR(AVERAGE(K66,K70),0)</f>
        <v>0.5</v>
      </c>
      <c r="M66" s="496"/>
      <c r="N66" s="264" t="str">
        <f>J66</f>
        <v>No</v>
      </c>
      <c r="O66" s="52">
        <f>IFERROR(VLOOKUP(N66,AnsFTBL,2,0),0)</f>
        <v>0</v>
      </c>
      <c r="P66" s="276">
        <f>IFERROR(AVERAGE(O66,O70),0)</f>
        <v>0.5</v>
      </c>
      <c r="Q66" s="496"/>
      <c r="R66" s="264" t="str">
        <f>N66</f>
        <v>No</v>
      </c>
      <c r="S66" s="52">
        <f>IFERROR(VLOOKUP(R66,AnsFTBL,2,0),0)</f>
        <v>0</v>
      </c>
      <c r="T66" s="276">
        <f>IFERROR(AVERAGE(S66,S70),0)</f>
        <v>0.5</v>
      </c>
      <c r="U66" s="496"/>
      <c r="V66" s="264" t="str">
        <f>R66</f>
        <v>No</v>
      </c>
      <c r="W66" s="52">
        <f>IFERROR(VLOOKUP(V66,AnsFTBL,2,0),0)</f>
        <v>0</v>
      </c>
      <c r="X66" s="276">
        <f>IFERROR(AVERAGE(W66,W70),0)</f>
        <v>0.5</v>
      </c>
      <c r="Y66" s="496"/>
    </row>
    <row r="67" spans="1:25" ht="13">
      <c r="A67" s="47"/>
      <c r="B67" s="289"/>
      <c r="C67" s="268"/>
      <c r="D67" s="269"/>
      <c r="E67" s="269"/>
      <c r="F67" s="269"/>
      <c r="G67" s="269"/>
      <c r="H67" s="269"/>
      <c r="I67" s="496"/>
      <c r="J67" s="269"/>
      <c r="K67" s="269"/>
      <c r="L67" s="269"/>
      <c r="M67" s="496"/>
      <c r="N67" s="269"/>
      <c r="O67" s="269"/>
      <c r="P67" s="269"/>
      <c r="Q67" s="496"/>
      <c r="R67" s="269"/>
      <c r="S67" s="269"/>
      <c r="T67" s="269"/>
      <c r="U67" s="496"/>
      <c r="V67" s="269"/>
      <c r="W67" s="269"/>
      <c r="X67" s="269"/>
      <c r="Y67" s="496"/>
    </row>
    <row r="68" spans="1:25" ht="28">
      <c r="A68" s="47" t="str">
        <f>Interview!A96</f>
        <v>D-SA-B-1-1</v>
      </c>
      <c r="B68" s="497" t="str">
        <f>VLOOKUP(A68,'imp-questions'!A:H,4,0)</f>
        <v>Technology Management</v>
      </c>
      <c r="C68" s="284">
        <f>VLOOKUP(A68,'imp-questions'!A:H,5,0)</f>
        <v>1</v>
      </c>
      <c r="D68" s="49" t="str">
        <f>VLOOKUP(A68,'imp-questions'!A:H,6,0)</f>
        <v>Do you evaluate the security quality of important technologies used for development?</v>
      </c>
      <c r="E68" s="50" t="str">
        <f>CHAR(65+VLOOKUP(A68,'imp-questions'!A:H,8,0))</f>
        <v>F</v>
      </c>
      <c r="F68" s="270" t="str">
        <f>Interview!F96</f>
        <v>Yes, for most or all of the applications</v>
      </c>
      <c r="G68" s="52">
        <f>IFERROR(VLOOKUP(F68,AnsFTBL,2,0),0)</f>
        <v>1</v>
      </c>
      <c r="H68" s="203"/>
      <c r="I68" s="496"/>
      <c r="J68" s="264" t="str">
        <f>F68</f>
        <v>Yes, for most or all of the applications</v>
      </c>
      <c r="K68" s="52">
        <f>IFERROR(VLOOKUP(J68,AnsFTBL,2,0),0)</f>
        <v>1</v>
      </c>
      <c r="L68" s="203"/>
      <c r="M68" s="496"/>
      <c r="N68" s="264" t="str">
        <f>J68</f>
        <v>Yes, for most or all of the applications</v>
      </c>
      <c r="O68" s="52">
        <f>IFERROR(VLOOKUP(N68,AnsFTBL,2,0),0)</f>
        <v>1</v>
      </c>
      <c r="P68" s="203"/>
      <c r="Q68" s="496"/>
      <c r="R68" s="264" t="str">
        <f>N68</f>
        <v>Yes, for most or all of the applications</v>
      </c>
      <c r="S68" s="52">
        <f>IFERROR(VLOOKUP(R68,AnsFTBL,2,0),0)</f>
        <v>1</v>
      </c>
      <c r="T68" s="203"/>
      <c r="U68" s="496"/>
      <c r="V68" s="264" t="str">
        <f>R68</f>
        <v>Yes, for most or all of the applications</v>
      </c>
      <c r="W68" s="52">
        <f>IFERROR(VLOOKUP(V68,AnsFTBL,2,0),0)</f>
        <v>1</v>
      </c>
      <c r="X68" s="203"/>
      <c r="Y68" s="496"/>
    </row>
    <row r="69" spans="1:25" ht="28">
      <c r="A69" s="47" t="str">
        <f>Interview!A98</f>
        <v>D-SA-B-2-1</v>
      </c>
      <c r="B69" s="497"/>
      <c r="C69" s="284">
        <f>VLOOKUP(A69,'imp-questions'!A:H,5,0)</f>
        <v>2</v>
      </c>
      <c r="D69" s="49" t="str">
        <f>VLOOKUP(A69,'imp-questions'!A:H,6,0)</f>
        <v>Do you have a list of recommended technologies for the organization?</v>
      </c>
      <c r="E69" s="50" t="str">
        <f>CHAR(65+VLOOKUP(A69,'imp-questions'!A:H,8,0))</f>
        <v>U</v>
      </c>
      <c r="F69" s="266" t="str">
        <f>Interview!F98</f>
        <v>Yes, for at least half of the technology domains</v>
      </c>
      <c r="G69" s="52">
        <f>IFERROR(VLOOKUP(F69,AnsUTBL,2,0),0)</f>
        <v>0.5</v>
      </c>
      <c r="H69" s="203"/>
      <c r="I69" s="496"/>
      <c r="J69" s="264" t="str">
        <f>F69</f>
        <v>Yes, for at least half of the technology domains</v>
      </c>
      <c r="K69" s="52">
        <f>IFERROR(VLOOKUP(J69,AnsUTBL,2,0),0)</f>
        <v>0.5</v>
      </c>
      <c r="L69" s="203"/>
      <c r="M69" s="496"/>
      <c r="N69" s="264" t="str">
        <f>J69</f>
        <v>Yes, for at least half of the technology domains</v>
      </c>
      <c r="O69" s="52">
        <f>IFERROR(VLOOKUP(N69,AnsUTBL,2,0),0)</f>
        <v>0.5</v>
      </c>
      <c r="P69" s="203"/>
      <c r="Q69" s="496"/>
      <c r="R69" s="264" t="str">
        <f>N69</f>
        <v>Yes, for at least half of the technology domains</v>
      </c>
      <c r="S69" s="52">
        <f>IFERROR(VLOOKUP(R69,AnsUTBL,2,0),0)</f>
        <v>0.5</v>
      </c>
      <c r="T69" s="203"/>
      <c r="U69" s="496"/>
      <c r="V69" s="264" t="str">
        <f>R69</f>
        <v>Yes, for at least half of the technology domains</v>
      </c>
      <c r="W69" s="52">
        <f>IFERROR(VLOOKUP(V69,AnsUTBL,2,0),0)</f>
        <v>0.5</v>
      </c>
      <c r="X69" s="203"/>
      <c r="Y69" s="496"/>
    </row>
    <row r="70" spans="1:25">
      <c r="A70" s="47" t="str">
        <f>Interview!A100</f>
        <v>D-SA-B-3-1</v>
      </c>
      <c r="B70" s="497"/>
      <c r="C70" s="284">
        <f>VLOOKUP(A70,'imp-questions'!A:H,5,0)</f>
        <v>3</v>
      </c>
      <c r="D70" s="265" t="str">
        <f>VLOOKUP(A70,'imp-questions'!A:H,6,0)</f>
        <v>Do you enforce the use of recommended technologies within the organization?</v>
      </c>
      <c r="E70" s="50" t="str">
        <f>CHAR(65+VLOOKUP(A70,'imp-questions'!A:H,8,0))</f>
        <v>F</v>
      </c>
      <c r="F70" s="270" t="str">
        <f>Interview!F100</f>
        <v>Yes, for most or all of the applications</v>
      </c>
      <c r="G70" s="52">
        <f>IFERROR(VLOOKUP(F70,AnsFTBL,2,0),0)</f>
        <v>1</v>
      </c>
      <c r="H70" s="203"/>
      <c r="I70" s="496"/>
      <c r="J70" s="264" t="str">
        <f>F70</f>
        <v>Yes, for most or all of the applications</v>
      </c>
      <c r="K70" s="52">
        <f>IFERROR(VLOOKUP(J70,AnsFTBL,2,0),0)</f>
        <v>1</v>
      </c>
      <c r="L70" s="203"/>
      <c r="M70" s="496"/>
      <c r="N70" s="264" t="str">
        <f>J70</f>
        <v>Yes, for most or all of the applications</v>
      </c>
      <c r="O70" s="52">
        <f>IFERROR(VLOOKUP(N70,AnsFTBL,2,0),0)</f>
        <v>1</v>
      </c>
      <c r="P70" s="203"/>
      <c r="Q70" s="496"/>
      <c r="R70" s="264" t="str">
        <f>N70</f>
        <v>Yes, for most or all of the applications</v>
      </c>
      <c r="S70" s="52">
        <f>IFERROR(VLOOKUP(R70,AnsFTBL,2,0),0)</f>
        <v>1</v>
      </c>
      <c r="T70" s="203"/>
      <c r="U70" s="496"/>
      <c r="V70" s="264" t="str">
        <f>R70</f>
        <v>Yes, for most or all of the applications</v>
      </c>
      <c r="W70" s="52">
        <f>IFERROR(VLOOKUP(V70,AnsFTBL,2,0),0)</f>
        <v>1</v>
      </c>
      <c r="X70" s="203"/>
      <c r="Y70" s="496"/>
    </row>
    <row r="71" spans="1:25" ht="13">
      <c r="A71" s="47"/>
      <c r="B71" s="289"/>
      <c r="C71" s="268"/>
      <c r="D71" s="269"/>
      <c r="E71" s="269"/>
      <c r="F71" s="269"/>
      <c r="G71" s="269"/>
      <c r="H71" s="269"/>
      <c r="I71" s="269"/>
      <c r="J71" s="269"/>
      <c r="K71" s="269"/>
      <c r="L71" s="269"/>
      <c r="M71" s="269"/>
      <c r="N71" s="269"/>
      <c r="O71" s="269"/>
      <c r="P71" s="269"/>
      <c r="Q71" s="269"/>
      <c r="R71" s="269"/>
      <c r="S71" s="269"/>
      <c r="T71" s="269"/>
      <c r="U71" s="269"/>
      <c r="V71" s="269"/>
      <c r="W71" s="269"/>
      <c r="X71" s="269"/>
      <c r="Y71" s="269"/>
    </row>
    <row r="72" spans="1:25" ht="25.5" customHeight="1">
      <c r="A72" s="47"/>
      <c r="B72" s="290" t="s">
        <v>120</v>
      </c>
      <c r="C72" s="290"/>
      <c r="D72" s="291"/>
      <c r="E72" s="291"/>
      <c r="F72" s="491" t="s">
        <v>199</v>
      </c>
      <c r="G72" s="491"/>
      <c r="H72" s="491"/>
      <c r="I72" s="491"/>
      <c r="J72" s="492" t="s">
        <v>210</v>
      </c>
      <c r="K72" s="492"/>
      <c r="L72" s="492"/>
      <c r="M72" s="492"/>
      <c r="N72" s="492" t="s">
        <v>211</v>
      </c>
      <c r="O72" s="492"/>
      <c r="P72" s="492"/>
      <c r="Q72" s="492"/>
      <c r="R72" s="492" t="s">
        <v>212</v>
      </c>
      <c r="S72" s="492"/>
      <c r="T72" s="492"/>
      <c r="U72" s="492"/>
      <c r="V72" s="492" t="s">
        <v>213</v>
      </c>
      <c r="W72" s="492"/>
      <c r="X72" s="492"/>
      <c r="Y72" s="492"/>
    </row>
    <row r="73" spans="1:25">
      <c r="A73" s="47"/>
      <c r="B73" s="132" t="s">
        <v>49</v>
      </c>
      <c r="C73" s="292" t="s">
        <v>50</v>
      </c>
      <c r="D73" s="132" t="s">
        <v>121</v>
      </c>
      <c r="E73" s="293"/>
      <c r="F73" s="294" t="s">
        <v>52</v>
      </c>
      <c r="G73" s="294"/>
      <c r="H73" s="295"/>
      <c r="I73" s="296" t="s">
        <v>54</v>
      </c>
      <c r="J73" s="294" t="s">
        <v>52</v>
      </c>
      <c r="K73" s="294"/>
      <c r="L73" s="295"/>
      <c r="M73" s="296" t="s">
        <v>54</v>
      </c>
      <c r="N73" s="294" t="s">
        <v>52</v>
      </c>
      <c r="O73" s="294"/>
      <c r="P73" s="295"/>
      <c r="Q73" s="296" t="s">
        <v>54</v>
      </c>
      <c r="R73" s="294" t="s">
        <v>52</v>
      </c>
      <c r="S73" s="294"/>
      <c r="T73" s="295"/>
      <c r="U73" s="296" t="s">
        <v>54</v>
      </c>
      <c r="V73" s="294" t="s">
        <v>52</v>
      </c>
      <c r="W73" s="294"/>
      <c r="X73" s="295"/>
      <c r="Y73" s="296" t="s">
        <v>54</v>
      </c>
    </row>
    <row r="74" spans="1:25">
      <c r="A74" s="47" t="str">
        <f>Interview!A104</f>
        <v>I-SB-A-1-1</v>
      </c>
      <c r="B74" s="488" t="str">
        <f>VLOOKUP(A74,'imp-questions'!A:H,4,0)</f>
        <v>Build Process</v>
      </c>
      <c r="C74" s="297">
        <f>VLOOKUP(A74,'imp-questions'!A:H,5,0)</f>
        <v>1</v>
      </c>
      <c r="D74" s="49" t="str">
        <f>VLOOKUP(A74,'imp-questions'!A:H,6,0)</f>
        <v>Is your full build process formally described?</v>
      </c>
      <c r="E74" s="50" t="str">
        <f>CHAR(65+VLOOKUP(A74,'imp-questions'!A:H,8,0))</f>
        <v>F</v>
      </c>
      <c r="F74" s="270" t="str">
        <f>Interview!F104</f>
        <v>Yes, for most or all of the applications</v>
      </c>
      <c r="G74" s="52">
        <f>IFERROR(VLOOKUP(F74,AnsFTBL,2,0),0)</f>
        <v>1</v>
      </c>
      <c r="H74" s="276">
        <f>IFERROR(AVERAGE(G74,G78),0)</f>
        <v>0.625</v>
      </c>
      <c r="I74" s="489">
        <f>SUM(H74:H76)</f>
        <v>1.5</v>
      </c>
      <c r="J74" s="270">
        <f>Interview!J104</f>
        <v>1.5</v>
      </c>
      <c r="K74" s="52">
        <f>IFERROR(VLOOKUP(J74,AnsFTBL,2,0),0)</f>
        <v>0</v>
      </c>
      <c r="L74" s="276">
        <f>IFERROR(AVERAGE(K74,K78),0)</f>
        <v>0</v>
      </c>
      <c r="M74" s="489">
        <f>SUM(L74:L76)</f>
        <v>0</v>
      </c>
      <c r="N74" s="270">
        <f>Interview!M104</f>
        <v>0</v>
      </c>
      <c r="O74" s="52">
        <f>IFERROR(VLOOKUP(N74,AnsFTBL,2,0),0)</f>
        <v>0</v>
      </c>
      <c r="P74" s="276">
        <f>IFERROR(AVERAGE(O74,O78),0)</f>
        <v>0</v>
      </c>
      <c r="Q74" s="489">
        <f>SUM(P74:P76)</f>
        <v>0</v>
      </c>
      <c r="R74" s="264">
        <f>N74</f>
        <v>0</v>
      </c>
      <c r="S74" s="52">
        <f>IFERROR(VLOOKUP(R74,AnsFTBL,2,0),0)</f>
        <v>0</v>
      </c>
      <c r="T74" s="276">
        <f>IFERROR(AVERAGE(S74,S78),0)</f>
        <v>0</v>
      </c>
      <c r="U74" s="489">
        <f>SUM(T74:T76)</f>
        <v>0</v>
      </c>
      <c r="V74" s="264">
        <f>R74</f>
        <v>0</v>
      </c>
      <c r="W74" s="52">
        <f>IFERROR(VLOOKUP(V74,AnsFTBL,2,0),0)</f>
        <v>0</v>
      </c>
      <c r="X74" s="276">
        <f>IFERROR(AVERAGE(W74,W78),0)</f>
        <v>0</v>
      </c>
      <c r="Y74" s="489">
        <f>SUM(X74:X76)</f>
        <v>0</v>
      </c>
    </row>
    <row r="75" spans="1:25">
      <c r="A75" s="47" t="str">
        <f>Interview!A106</f>
        <v>I-SB-A-2-1</v>
      </c>
      <c r="B75" s="488"/>
      <c r="C75" s="297">
        <f>VLOOKUP(A75,'imp-questions'!A:H,5,0)</f>
        <v>2</v>
      </c>
      <c r="D75" s="49" t="str">
        <f>VLOOKUP(A75,'imp-questions'!A:H,6,0)</f>
        <v>Is the build process fully automated?</v>
      </c>
      <c r="E75" s="50" t="str">
        <f>CHAR(65+VLOOKUP(A75,'imp-questions'!A:H,8,0))</f>
        <v>F</v>
      </c>
      <c r="F75" s="270" t="str">
        <f>Interview!F106</f>
        <v>Yes, for at least half of the applications</v>
      </c>
      <c r="G75" s="52">
        <f>IFERROR(VLOOKUP(F75,AnsFTBL,2,0),0)</f>
        <v>0.5</v>
      </c>
      <c r="H75" s="276">
        <f>IFERROR(AVERAGE(G75,G79),0)</f>
        <v>0.75</v>
      </c>
      <c r="I75" s="489"/>
      <c r="J75" s="270">
        <f>Interview!J106</f>
        <v>0</v>
      </c>
      <c r="K75" s="52">
        <f>IFERROR(VLOOKUP(J75,AnsFTBL,2,0),0)</f>
        <v>0</v>
      </c>
      <c r="L75" s="276">
        <f>IFERROR(AVERAGE(K75,K79),0)</f>
        <v>0</v>
      </c>
      <c r="M75" s="489"/>
      <c r="N75" s="270">
        <f>Interview!M106</f>
        <v>0</v>
      </c>
      <c r="O75" s="52">
        <f>IFERROR(VLOOKUP(N75,AnsFTBL,2,0),0)</f>
        <v>0</v>
      </c>
      <c r="P75" s="276">
        <f>IFERROR(AVERAGE(O75,O79),0)</f>
        <v>0</v>
      </c>
      <c r="Q75" s="489"/>
      <c r="R75" s="264">
        <f>N75</f>
        <v>0</v>
      </c>
      <c r="S75" s="52">
        <f>IFERROR(VLOOKUP(R75,AnsFTBL,2,0),0)</f>
        <v>0</v>
      </c>
      <c r="T75" s="276">
        <f>IFERROR(AVERAGE(S75,S79),0)</f>
        <v>0</v>
      </c>
      <c r="U75" s="489"/>
      <c r="V75" s="264">
        <f>R75</f>
        <v>0</v>
      </c>
      <c r="W75" s="52">
        <f>IFERROR(VLOOKUP(V75,AnsFTBL,2,0),0)</f>
        <v>0</v>
      </c>
      <c r="X75" s="276">
        <f>IFERROR(AVERAGE(W75,W79),0)</f>
        <v>0</v>
      </c>
      <c r="Y75" s="489"/>
    </row>
    <row r="76" spans="1:25">
      <c r="A76" s="47" t="str">
        <f>Interview!A108</f>
        <v>I-SB-A-3-1</v>
      </c>
      <c r="B76" s="488"/>
      <c r="C76" s="297">
        <f>VLOOKUP(A76,'imp-questions'!A:H,5,0)</f>
        <v>3</v>
      </c>
      <c r="D76" s="265" t="str">
        <f>VLOOKUP(A76,'imp-questions'!A:H,6,0)</f>
        <v>Do you enforce automated security checks in your build processes?</v>
      </c>
      <c r="E76" s="50" t="str">
        <f>CHAR(65+VLOOKUP(A76,'imp-questions'!A:H,8,0))</f>
        <v>F</v>
      </c>
      <c r="F76" s="270" t="str">
        <f>Interview!F108</f>
        <v>Yes, for some applications</v>
      </c>
      <c r="G76" s="52">
        <f>IFERROR(VLOOKUP(F76,AnsFTBL,2,0),0)</f>
        <v>0.25</v>
      </c>
      <c r="H76" s="276">
        <f>IFERROR(AVERAGE(G76,G80),0)</f>
        <v>0.125</v>
      </c>
      <c r="I76" s="489"/>
      <c r="J76" s="270">
        <f>Interview!J108</f>
        <v>0</v>
      </c>
      <c r="K76" s="52">
        <f>IFERROR(VLOOKUP(J76,AnsFTBL,2,0),0)</f>
        <v>0</v>
      </c>
      <c r="L76" s="276">
        <f>IFERROR(AVERAGE(K76,K80),0)</f>
        <v>0</v>
      </c>
      <c r="M76" s="489"/>
      <c r="N76" s="270">
        <f>Interview!M108</f>
        <v>0</v>
      </c>
      <c r="O76" s="52">
        <f>IFERROR(VLOOKUP(N76,AnsFTBL,2,0),0)</f>
        <v>0</v>
      </c>
      <c r="P76" s="276">
        <f>IFERROR(AVERAGE(O76,O80),0)</f>
        <v>0</v>
      </c>
      <c r="Q76" s="489"/>
      <c r="R76" s="264">
        <f>N76</f>
        <v>0</v>
      </c>
      <c r="S76" s="52">
        <f>IFERROR(VLOOKUP(R76,AnsFTBL,2,0),0)</f>
        <v>0</v>
      </c>
      <c r="T76" s="276">
        <f>IFERROR(AVERAGE(S76,S80),0)</f>
        <v>0</v>
      </c>
      <c r="U76" s="489"/>
      <c r="V76" s="264">
        <f>R76</f>
        <v>0</v>
      </c>
      <c r="W76" s="52">
        <f>IFERROR(VLOOKUP(V76,AnsFTBL,2,0),0)</f>
        <v>0</v>
      </c>
      <c r="X76" s="276">
        <f>IFERROR(AVERAGE(W76,W80),0)</f>
        <v>0</v>
      </c>
      <c r="Y76" s="489"/>
    </row>
    <row r="77" spans="1:25" ht="13">
      <c r="A77" s="47"/>
      <c r="B77" s="267"/>
      <c r="C77" s="268"/>
      <c r="D77" s="269"/>
      <c r="E77" s="269"/>
      <c r="F77" s="269"/>
      <c r="G77" s="269"/>
      <c r="H77" s="269"/>
      <c r="I77" s="489"/>
      <c r="J77" s="269"/>
      <c r="K77" s="269"/>
      <c r="L77" s="269"/>
      <c r="M77" s="489"/>
      <c r="N77" s="269"/>
      <c r="O77" s="269"/>
      <c r="P77" s="269"/>
      <c r="Q77" s="489"/>
      <c r="R77" s="269"/>
      <c r="S77" s="269"/>
      <c r="T77" s="269"/>
      <c r="U77" s="489"/>
      <c r="V77" s="269"/>
      <c r="W77" s="269"/>
      <c r="X77" s="269"/>
      <c r="Y77" s="489"/>
    </row>
    <row r="78" spans="1:25">
      <c r="A78" s="47" t="str">
        <f>Interview!A111</f>
        <v>I-SB-B-1-1</v>
      </c>
      <c r="B78" s="488" t="str">
        <f>VLOOKUP(A78,'imp-questions'!A:H,4,0)</f>
        <v>Software Dependencies</v>
      </c>
      <c r="C78" s="297">
        <f>VLOOKUP(A78,'imp-questions'!A:H,5,0)</f>
        <v>1</v>
      </c>
      <c r="D78" s="49" t="str">
        <f>VLOOKUP(A78,'imp-questions'!A:H,6,0)</f>
        <v>Do you have solid knowledge about dependencies you're relying on?</v>
      </c>
      <c r="E78" s="50" t="str">
        <f>CHAR(65+VLOOKUP(A78,'imp-questions'!A:H,8,0))</f>
        <v>F</v>
      </c>
      <c r="F78" s="270" t="str">
        <f>Interview!F111</f>
        <v>Yes, for some applications</v>
      </c>
      <c r="G78" s="52">
        <f>IFERROR(VLOOKUP(F78,AnsFTBL,2,0),0)</f>
        <v>0.25</v>
      </c>
      <c r="H78" s="203"/>
      <c r="I78" s="489"/>
      <c r="J78" s="270">
        <f>Interview!J111</f>
        <v>0</v>
      </c>
      <c r="K78" s="52">
        <f>IFERROR(VLOOKUP(J78,AnsFTBL,2,0),0)</f>
        <v>0</v>
      </c>
      <c r="L78" s="203"/>
      <c r="M78" s="489"/>
      <c r="N78" s="270">
        <f>Interview!M111</f>
        <v>0</v>
      </c>
      <c r="O78" s="52">
        <f>IFERROR(VLOOKUP(N78,AnsFTBL,2,0),0)</f>
        <v>0</v>
      </c>
      <c r="P78" s="203"/>
      <c r="Q78" s="489"/>
      <c r="R78" s="264">
        <f>N78</f>
        <v>0</v>
      </c>
      <c r="S78" s="52">
        <f>IFERROR(VLOOKUP(R78,AnsFTBL,2,0),0)</f>
        <v>0</v>
      </c>
      <c r="T78" s="203"/>
      <c r="U78" s="489"/>
      <c r="V78" s="264">
        <f>R78</f>
        <v>0</v>
      </c>
      <c r="W78" s="52">
        <f>IFERROR(VLOOKUP(V78,AnsFTBL,2,0),0)</f>
        <v>0</v>
      </c>
      <c r="X78" s="203"/>
      <c r="Y78" s="489"/>
    </row>
    <row r="79" spans="1:25">
      <c r="A79" s="47" t="str">
        <f>Interview!A113</f>
        <v>I-SB-B-2-1</v>
      </c>
      <c r="B79" s="488"/>
      <c r="C79" s="297">
        <f>VLOOKUP(A79,'imp-questions'!A:H,5,0)</f>
        <v>2</v>
      </c>
      <c r="D79" s="49" t="str">
        <f>VLOOKUP(A79,'imp-questions'!A:H,6,0)</f>
        <v>Do you handle 3rd party dependency risk by a formal process?</v>
      </c>
      <c r="E79" s="50" t="str">
        <f>CHAR(65+VLOOKUP(A79,'imp-questions'!A:H,8,0))</f>
        <v>F</v>
      </c>
      <c r="F79" s="270" t="str">
        <f>Interview!F113</f>
        <v>Yes, for most or all of the applications</v>
      </c>
      <c r="G79" s="52">
        <f>IFERROR(VLOOKUP(F79,AnsFTBL,2,0),0)</f>
        <v>1</v>
      </c>
      <c r="H79" s="203"/>
      <c r="I79" s="489"/>
      <c r="J79" s="270">
        <f>Interview!J113</f>
        <v>0</v>
      </c>
      <c r="K79" s="52">
        <f>IFERROR(VLOOKUP(J79,AnsFTBL,2,0),0)</f>
        <v>0</v>
      </c>
      <c r="L79" s="203"/>
      <c r="M79" s="489"/>
      <c r="N79" s="270">
        <f>Interview!M113</f>
        <v>0</v>
      </c>
      <c r="O79" s="52">
        <f>IFERROR(VLOOKUP(N79,AnsFTBL,2,0),0)</f>
        <v>0</v>
      </c>
      <c r="P79" s="203"/>
      <c r="Q79" s="489"/>
      <c r="R79" s="264">
        <f>N79</f>
        <v>0</v>
      </c>
      <c r="S79" s="52">
        <f>IFERROR(VLOOKUP(R79,AnsFTBL,2,0),0)</f>
        <v>0</v>
      </c>
      <c r="T79" s="203"/>
      <c r="U79" s="489"/>
      <c r="V79" s="264">
        <f>R79</f>
        <v>0</v>
      </c>
      <c r="W79" s="52">
        <f>IFERROR(VLOOKUP(V79,AnsFTBL,2,0),0)</f>
        <v>0</v>
      </c>
      <c r="X79" s="203"/>
      <c r="Y79" s="489"/>
    </row>
    <row r="80" spans="1:25" ht="28">
      <c r="A80" s="47" t="str">
        <f>Interview!A115</f>
        <v>I-SB-B-3-1</v>
      </c>
      <c r="B80" s="488"/>
      <c r="C80" s="297">
        <f>VLOOKUP(A80,'imp-questions'!A:H,5,0)</f>
        <v>3</v>
      </c>
      <c r="D80" s="265" t="str">
        <f>VLOOKUP(A80,'imp-questions'!A:H,6,0)</f>
        <v>Do you prevent build of software if it's affected by vulnerabilities in dependencies?</v>
      </c>
      <c r="E80" s="50" t="str">
        <f>CHAR(65+VLOOKUP(A80,'imp-questions'!A:H,8,0))</f>
        <v>F</v>
      </c>
      <c r="F80" s="270" t="str">
        <f>Interview!F115</f>
        <v>No</v>
      </c>
      <c r="G80" s="52">
        <f>IFERROR(VLOOKUP(F80,AnsFTBL,2,0),0)</f>
        <v>0</v>
      </c>
      <c r="H80" s="203"/>
      <c r="I80" s="489"/>
      <c r="J80" s="270">
        <f>Interview!J115</f>
        <v>0</v>
      </c>
      <c r="K80" s="52">
        <f>IFERROR(VLOOKUP(J80,AnsFTBL,2,0),0)</f>
        <v>0</v>
      </c>
      <c r="L80" s="203"/>
      <c r="M80" s="489"/>
      <c r="N80" s="270">
        <f>Interview!M115</f>
        <v>0</v>
      </c>
      <c r="O80" s="52">
        <f>IFERROR(VLOOKUP(N80,AnsFTBL,2,0),0)</f>
        <v>0</v>
      </c>
      <c r="P80" s="203"/>
      <c r="Q80" s="489"/>
      <c r="R80" s="264">
        <f>N80</f>
        <v>0</v>
      </c>
      <c r="S80" s="52">
        <f>IFERROR(VLOOKUP(R80,AnsFTBL,2,0),0)</f>
        <v>0</v>
      </c>
      <c r="T80" s="203"/>
      <c r="U80" s="489"/>
      <c r="V80" s="264">
        <f>R80</f>
        <v>0</v>
      </c>
      <c r="W80" s="52">
        <f>IFERROR(VLOOKUP(V80,AnsFTBL,2,0),0)</f>
        <v>0</v>
      </c>
      <c r="X80" s="203"/>
      <c r="Y80" s="489"/>
    </row>
    <row r="81" spans="1:25" ht="13">
      <c r="A81" s="47"/>
      <c r="B81" s="267"/>
      <c r="C81" s="268"/>
      <c r="D81" s="269"/>
      <c r="E81" s="269"/>
      <c r="F81" s="269"/>
      <c r="G81" s="269"/>
      <c r="H81" s="269"/>
      <c r="I81" s="269"/>
      <c r="J81" s="269"/>
      <c r="K81" s="269"/>
      <c r="L81" s="269"/>
      <c r="M81" s="269"/>
      <c r="N81" s="269"/>
      <c r="O81" s="269"/>
      <c r="P81" s="269"/>
      <c r="Q81" s="269"/>
      <c r="R81" s="269"/>
      <c r="S81" s="269"/>
      <c r="T81" s="269"/>
      <c r="U81" s="269"/>
      <c r="V81" s="269"/>
      <c r="W81" s="269"/>
      <c r="X81" s="269"/>
      <c r="Y81" s="269"/>
    </row>
    <row r="82" spans="1:25">
      <c r="A82" s="47"/>
      <c r="B82" s="132" t="s">
        <v>49</v>
      </c>
      <c r="C82" s="292" t="s">
        <v>50</v>
      </c>
      <c r="D82" s="143" t="s">
        <v>129</v>
      </c>
      <c r="E82" s="125"/>
      <c r="F82" s="124" t="s">
        <v>52</v>
      </c>
      <c r="G82" s="124"/>
      <c r="H82" s="126"/>
      <c r="I82" s="296" t="s">
        <v>54</v>
      </c>
      <c r="J82" s="124" t="s">
        <v>52</v>
      </c>
      <c r="K82" s="124"/>
      <c r="L82" s="126"/>
      <c r="M82" s="296" t="s">
        <v>54</v>
      </c>
      <c r="N82" s="124" t="s">
        <v>52</v>
      </c>
      <c r="O82" s="124"/>
      <c r="P82" s="126"/>
      <c r="Q82" s="296" t="s">
        <v>54</v>
      </c>
      <c r="R82" s="124" t="s">
        <v>52</v>
      </c>
      <c r="S82" s="124"/>
      <c r="T82" s="126"/>
      <c r="U82" s="296" t="s">
        <v>54</v>
      </c>
      <c r="V82" s="124" t="s">
        <v>52</v>
      </c>
      <c r="W82" s="124"/>
      <c r="X82" s="126"/>
      <c r="Y82" s="296" t="s">
        <v>54</v>
      </c>
    </row>
    <row r="83" spans="1:25">
      <c r="A83" s="47" t="str">
        <f>Interview!A118</f>
        <v>I-SD-A-1-1</v>
      </c>
      <c r="B83" s="488" t="str">
        <f>VLOOKUP(A83,'imp-questions'!A:H,4,0)</f>
        <v>Deployment Process</v>
      </c>
      <c r="C83" s="297">
        <f>VLOOKUP(A83,'imp-questions'!A:H,5,0)</f>
        <v>1</v>
      </c>
      <c r="D83" s="49" t="str">
        <f>VLOOKUP(A83,'imp-questions'!A:H,6,0)</f>
        <v>Do you use repeatable deployment processes?</v>
      </c>
      <c r="E83" s="50" t="str">
        <f>CHAR(65+VLOOKUP(A83,'imp-questions'!A:H,8,0))</f>
        <v>F</v>
      </c>
      <c r="F83" s="270" t="str">
        <f>Interview!F118</f>
        <v>Yes, for most or all of the applications</v>
      </c>
      <c r="G83" s="52">
        <f>IFERROR(VLOOKUP(F83,AnsFTBL,2,0),0)</f>
        <v>1</v>
      </c>
      <c r="H83" s="276">
        <f>IFERROR(AVERAGE(G83,G87),0)</f>
        <v>1</v>
      </c>
      <c r="I83" s="489">
        <f>SUM(H83:H85)</f>
        <v>1.875</v>
      </c>
      <c r="J83" s="270">
        <f>Interview!J118</f>
        <v>1.875</v>
      </c>
      <c r="K83" s="52">
        <f>IFERROR(VLOOKUP(J83,AnsFTBL,2,0),0)</f>
        <v>0</v>
      </c>
      <c r="L83" s="276">
        <f>IFERROR(AVERAGE(K83,K87),0)</f>
        <v>0</v>
      </c>
      <c r="M83" s="489">
        <f>SUM(L83:L85)</f>
        <v>0</v>
      </c>
      <c r="N83" s="270">
        <f>Interview!M118</f>
        <v>0</v>
      </c>
      <c r="O83" s="52">
        <f>IFERROR(VLOOKUP(N83,AnsFTBL,2,0),0)</f>
        <v>0</v>
      </c>
      <c r="P83" s="276">
        <f>IFERROR(AVERAGE(O83,O87),0)</f>
        <v>0</v>
      </c>
      <c r="Q83" s="489">
        <f>SUM(P83:P85)</f>
        <v>0</v>
      </c>
      <c r="R83" s="264">
        <f>N83</f>
        <v>0</v>
      </c>
      <c r="S83" s="52">
        <f>IFERROR(VLOOKUP(R83,AnsFTBL,2,0),0)</f>
        <v>0</v>
      </c>
      <c r="T83" s="276">
        <f>IFERROR(AVERAGE(S83,S87),0)</f>
        <v>0</v>
      </c>
      <c r="U83" s="489">
        <f>SUM(T83:T85)</f>
        <v>0</v>
      </c>
      <c r="V83" s="264">
        <f>R83</f>
        <v>0</v>
      </c>
      <c r="W83" s="52">
        <f>IFERROR(VLOOKUP(V83,AnsFTBL,2,0),0)</f>
        <v>0</v>
      </c>
      <c r="X83" s="276">
        <f>IFERROR(AVERAGE(W83,W87),0)</f>
        <v>0</v>
      </c>
      <c r="Y83" s="489">
        <f>SUM(X83:X85)</f>
        <v>0</v>
      </c>
    </row>
    <row r="84" spans="1:25">
      <c r="A84" s="47" t="str">
        <f>Interview!A120</f>
        <v>I-SD-A-2-1</v>
      </c>
      <c r="B84" s="488"/>
      <c r="C84" s="297">
        <f>VLOOKUP(A84,'imp-questions'!A:H,5,0)</f>
        <v>2</v>
      </c>
      <c r="D84" s="49" t="str">
        <f>VLOOKUP(A84,'imp-questions'!A:H,6,0)</f>
        <v>Are deployment processes automated and employing security checks?</v>
      </c>
      <c r="E84" s="50" t="str">
        <f>CHAR(65+VLOOKUP(A84,'imp-questions'!A:H,8,0))</f>
        <v>F</v>
      </c>
      <c r="F84" s="270" t="str">
        <f>Interview!F120</f>
        <v>No</v>
      </c>
      <c r="G84" s="52">
        <f>IFERROR(VLOOKUP(F84,AnsFTBL,2,0),0)</f>
        <v>0</v>
      </c>
      <c r="H84" s="276">
        <f>IFERROR(AVERAGE(G84,G88),0)</f>
        <v>0.125</v>
      </c>
      <c r="I84" s="489"/>
      <c r="J84" s="270">
        <f>Interview!J120</f>
        <v>0</v>
      </c>
      <c r="K84" s="52">
        <f>IFERROR(VLOOKUP(J84,AnsFTBL,2,0),0)</f>
        <v>0</v>
      </c>
      <c r="L84" s="276">
        <f>IFERROR(AVERAGE(K84,K88),0)</f>
        <v>0</v>
      </c>
      <c r="M84" s="489"/>
      <c r="N84" s="270">
        <f>Interview!M120</f>
        <v>0</v>
      </c>
      <c r="O84" s="52">
        <f>IFERROR(VLOOKUP(N84,AnsFTBL,2,0),0)</f>
        <v>0</v>
      </c>
      <c r="P84" s="276">
        <f>IFERROR(AVERAGE(O84,O88),0)</f>
        <v>0</v>
      </c>
      <c r="Q84" s="489"/>
      <c r="R84" s="264">
        <f>N84</f>
        <v>0</v>
      </c>
      <c r="S84" s="52">
        <f>IFERROR(VLOOKUP(R84,AnsFTBL,2,0),0)</f>
        <v>0</v>
      </c>
      <c r="T84" s="276">
        <f>IFERROR(AVERAGE(S84,S88),0)</f>
        <v>0</v>
      </c>
      <c r="U84" s="489"/>
      <c r="V84" s="264">
        <f>R84</f>
        <v>0</v>
      </c>
      <c r="W84" s="52">
        <f>IFERROR(VLOOKUP(V84,AnsFTBL,2,0),0)</f>
        <v>0</v>
      </c>
      <c r="X84" s="276">
        <f>IFERROR(AVERAGE(W84,W88),0)</f>
        <v>0</v>
      </c>
      <c r="Y84" s="489"/>
    </row>
    <row r="85" spans="1:25">
      <c r="A85" s="47" t="str">
        <f>Interview!A122</f>
        <v>I-SD-A-3-1</v>
      </c>
      <c r="B85" s="488"/>
      <c r="C85" s="297">
        <f>VLOOKUP(A85,'imp-questions'!A:H,5,0)</f>
        <v>3</v>
      </c>
      <c r="D85" s="265" t="str">
        <f>VLOOKUP(A85,'imp-questions'!A:H,6,0)</f>
        <v>Do you consistently validate the integrity of deployed artifacts?</v>
      </c>
      <c r="E85" s="50" t="str">
        <f>CHAR(65+VLOOKUP(A85,'imp-questions'!A:H,8,0))</f>
        <v>F</v>
      </c>
      <c r="F85" s="270" t="str">
        <f>Interview!F122</f>
        <v>Yes, for most or all of the applications</v>
      </c>
      <c r="G85" s="52">
        <f>IFERROR(VLOOKUP(F85,AnsFTBL,2,0),0)</f>
        <v>1</v>
      </c>
      <c r="H85" s="276">
        <f>IFERROR(AVERAGE(G85,G89),0)</f>
        <v>0.75</v>
      </c>
      <c r="I85" s="489"/>
      <c r="J85" s="270">
        <f>Interview!J122</f>
        <v>0</v>
      </c>
      <c r="K85" s="52">
        <f>IFERROR(VLOOKUP(J85,AnsFTBL,2,0),0)</f>
        <v>0</v>
      </c>
      <c r="L85" s="276">
        <f>IFERROR(AVERAGE(K85,K89),0)</f>
        <v>0</v>
      </c>
      <c r="M85" s="489"/>
      <c r="N85" s="270">
        <f>Interview!M122</f>
        <v>0</v>
      </c>
      <c r="O85" s="52">
        <f>IFERROR(VLOOKUP(N85,AnsFTBL,2,0),0)</f>
        <v>0</v>
      </c>
      <c r="P85" s="276">
        <f>IFERROR(AVERAGE(O85,O89),0)</f>
        <v>0</v>
      </c>
      <c r="Q85" s="489"/>
      <c r="R85" s="264">
        <f>N85</f>
        <v>0</v>
      </c>
      <c r="S85" s="52">
        <f>IFERROR(VLOOKUP(R85,AnsFTBL,2,0),0)</f>
        <v>0</v>
      </c>
      <c r="T85" s="276">
        <f>IFERROR(AVERAGE(S85,S89),0)</f>
        <v>0</v>
      </c>
      <c r="U85" s="489"/>
      <c r="V85" s="264">
        <f>R85</f>
        <v>0</v>
      </c>
      <c r="W85" s="52">
        <f>IFERROR(VLOOKUP(V85,AnsFTBL,2,0),0)</f>
        <v>0</v>
      </c>
      <c r="X85" s="276">
        <f>IFERROR(AVERAGE(W85,W89),0)</f>
        <v>0</v>
      </c>
      <c r="Y85" s="489"/>
    </row>
    <row r="86" spans="1:25" ht="13">
      <c r="A86" s="47"/>
      <c r="B86" s="267"/>
      <c r="C86" s="268"/>
      <c r="D86" s="269"/>
      <c r="E86" s="269"/>
      <c r="F86" s="269"/>
      <c r="G86" s="269"/>
      <c r="H86" s="269"/>
      <c r="I86" s="489"/>
      <c r="J86" s="269"/>
      <c r="K86" s="269"/>
      <c r="L86" s="269"/>
      <c r="M86" s="489"/>
      <c r="N86" s="269"/>
      <c r="O86" s="269"/>
      <c r="P86" s="269"/>
      <c r="Q86" s="489"/>
      <c r="R86" s="269"/>
      <c r="S86" s="269"/>
      <c r="T86" s="269"/>
      <c r="U86" s="489"/>
      <c r="V86" s="269"/>
      <c r="W86" s="269"/>
      <c r="X86" s="269"/>
      <c r="Y86" s="489"/>
    </row>
    <row r="87" spans="1:25" ht="28">
      <c r="A87" s="47" t="str">
        <f>Interview!A125</f>
        <v>I-SD-B-1-1</v>
      </c>
      <c r="B87" s="488" t="str">
        <f>VLOOKUP(A87,'imp-questions'!A:H,4,0)</f>
        <v>Secret Management</v>
      </c>
      <c r="C87" s="297">
        <f>VLOOKUP(A87,'imp-questions'!A:H,5,0)</f>
        <v>1</v>
      </c>
      <c r="D87" s="49" t="str">
        <f>VLOOKUP(A87,'imp-questions'!A:H,6,0)</f>
        <v>Do you limit access to application secrets according to the least privilege principle?</v>
      </c>
      <c r="E87" s="50" t="str">
        <f>CHAR(65+VLOOKUP(A87,'imp-questions'!A:H,8,0))</f>
        <v>F</v>
      </c>
      <c r="F87" s="270" t="str">
        <f>Interview!F125</f>
        <v>Yes, for most or all of the applications</v>
      </c>
      <c r="G87" s="52">
        <f>IFERROR(VLOOKUP(F87,AnsFTBL,2,0),0)</f>
        <v>1</v>
      </c>
      <c r="H87" s="203"/>
      <c r="I87" s="489"/>
      <c r="J87" s="270">
        <f>Interview!J125</f>
        <v>0</v>
      </c>
      <c r="K87" s="52">
        <f>IFERROR(VLOOKUP(J87,AnsFTBL,2,0),0)</f>
        <v>0</v>
      </c>
      <c r="L87" s="203"/>
      <c r="M87" s="489"/>
      <c r="N87" s="270">
        <f>Interview!M125</f>
        <v>0</v>
      </c>
      <c r="O87" s="52">
        <f>IFERROR(VLOOKUP(N87,AnsFTBL,2,0),0)</f>
        <v>0</v>
      </c>
      <c r="P87" s="203"/>
      <c r="Q87" s="489"/>
      <c r="R87" s="264">
        <f>N87</f>
        <v>0</v>
      </c>
      <c r="S87" s="52">
        <f>IFERROR(VLOOKUP(R87,AnsFTBL,2,0),0)</f>
        <v>0</v>
      </c>
      <c r="T87" s="203"/>
      <c r="U87" s="489"/>
      <c r="V87" s="264">
        <f>R87</f>
        <v>0</v>
      </c>
      <c r="W87" s="52">
        <f>IFERROR(VLOOKUP(V87,AnsFTBL,2,0),0)</f>
        <v>0</v>
      </c>
      <c r="X87" s="203"/>
      <c r="Y87" s="489"/>
    </row>
    <row r="88" spans="1:25">
      <c r="A88" s="47" t="str">
        <f>Interview!A127</f>
        <v>I-SD-B-2-1</v>
      </c>
      <c r="B88" s="488"/>
      <c r="C88" s="297">
        <f>VLOOKUP(A88,'imp-questions'!A:H,5,0)</f>
        <v>2</v>
      </c>
      <c r="D88" s="49" t="str">
        <f>VLOOKUP(A88,'imp-questions'!A:H,6,0)</f>
        <v>Do you inject production secrets into configuration files during deployment?</v>
      </c>
      <c r="E88" s="50" t="str">
        <f>CHAR(65+VLOOKUP(A88,'imp-questions'!A:H,8,0))</f>
        <v>F</v>
      </c>
      <c r="F88" s="270" t="str">
        <f>Interview!F127</f>
        <v>Yes, for some applications</v>
      </c>
      <c r="G88" s="52">
        <f>IFERROR(VLOOKUP(F88,AnsFTBL,2,0),0)</f>
        <v>0.25</v>
      </c>
      <c r="H88" s="203"/>
      <c r="I88" s="489"/>
      <c r="J88" s="270">
        <f>Interview!J127</f>
        <v>0</v>
      </c>
      <c r="K88" s="52">
        <f>IFERROR(VLOOKUP(J88,AnsFTBL,2,0),0)</f>
        <v>0</v>
      </c>
      <c r="L88" s="203"/>
      <c r="M88" s="489"/>
      <c r="N88" s="270">
        <f>Interview!M127</f>
        <v>0</v>
      </c>
      <c r="O88" s="52">
        <f>IFERROR(VLOOKUP(N88,AnsFTBL,2,0),0)</f>
        <v>0</v>
      </c>
      <c r="P88" s="203"/>
      <c r="Q88" s="489"/>
      <c r="R88" s="264">
        <f>N88</f>
        <v>0</v>
      </c>
      <c r="S88" s="52">
        <f>IFERROR(VLOOKUP(R88,AnsFTBL,2,0),0)</f>
        <v>0</v>
      </c>
      <c r="T88" s="203"/>
      <c r="U88" s="489"/>
      <c r="V88" s="264">
        <f>R88</f>
        <v>0</v>
      </c>
      <c r="W88" s="52">
        <f>IFERROR(VLOOKUP(V88,AnsFTBL,2,0),0)</f>
        <v>0</v>
      </c>
      <c r="X88" s="203"/>
      <c r="Y88" s="489"/>
    </row>
    <row r="89" spans="1:25">
      <c r="A89" s="47" t="str">
        <f>Interview!A129</f>
        <v>I-SD-B-3-1</v>
      </c>
      <c r="B89" s="488"/>
      <c r="C89" s="297">
        <f>VLOOKUP(A89,'imp-questions'!A:H,5,0)</f>
        <v>3</v>
      </c>
      <c r="D89" s="265" t="str">
        <f>VLOOKUP(A89,'imp-questions'!A:H,6,0)</f>
        <v>Do you practice proper lifecycle management for application secrets?</v>
      </c>
      <c r="E89" s="50" t="str">
        <f>CHAR(65+VLOOKUP(A89,'imp-questions'!A:H,8,0))</f>
        <v>F</v>
      </c>
      <c r="F89" s="270" t="str">
        <f>Interview!F129</f>
        <v>Yes, for at least half of the applications</v>
      </c>
      <c r="G89" s="52">
        <f>IFERROR(VLOOKUP(F89,AnsFTBL,2,0),0)</f>
        <v>0.5</v>
      </c>
      <c r="H89" s="203"/>
      <c r="I89" s="489"/>
      <c r="J89" s="270">
        <f>Interview!J129</f>
        <v>0</v>
      </c>
      <c r="K89" s="52">
        <f>IFERROR(VLOOKUP(J89,AnsFTBL,2,0),0)</f>
        <v>0</v>
      </c>
      <c r="L89" s="203"/>
      <c r="M89" s="489"/>
      <c r="N89" s="270">
        <f>Interview!M129</f>
        <v>0</v>
      </c>
      <c r="O89" s="52">
        <f>IFERROR(VLOOKUP(N89,AnsFTBL,2,0),0)</f>
        <v>0</v>
      </c>
      <c r="P89" s="203"/>
      <c r="Q89" s="489"/>
      <c r="R89" s="264">
        <f>N89</f>
        <v>0</v>
      </c>
      <c r="S89" s="52">
        <f>IFERROR(VLOOKUP(R89,AnsFTBL,2,0),0)</f>
        <v>0</v>
      </c>
      <c r="T89" s="203"/>
      <c r="U89" s="489"/>
      <c r="V89" s="264">
        <f>R89</f>
        <v>0</v>
      </c>
      <c r="W89" s="52">
        <f>IFERROR(VLOOKUP(V89,AnsFTBL,2,0),0)</f>
        <v>0</v>
      </c>
      <c r="X89" s="203"/>
      <c r="Y89" s="489"/>
    </row>
    <row r="90" spans="1:25" ht="13">
      <c r="A90" s="47"/>
      <c r="B90" s="267"/>
      <c r="C90" s="268"/>
      <c r="D90" s="269"/>
      <c r="E90" s="269"/>
      <c r="F90" s="269"/>
      <c r="G90" s="269"/>
      <c r="H90" s="269"/>
      <c r="I90" s="269"/>
      <c r="J90" s="269"/>
      <c r="K90" s="269"/>
      <c r="L90" s="269"/>
      <c r="M90" s="269"/>
      <c r="N90" s="269"/>
      <c r="O90" s="269"/>
      <c r="P90" s="269"/>
      <c r="Q90" s="269"/>
      <c r="R90" s="269"/>
      <c r="S90" s="269"/>
      <c r="T90" s="269"/>
      <c r="U90" s="269"/>
      <c r="V90" s="269"/>
      <c r="W90" s="269"/>
      <c r="X90" s="269"/>
      <c r="Y90" s="269"/>
    </row>
    <row r="91" spans="1:25">
      <c r="A91" s="47"/>
      <c r="B91" s="132" t="s">
        <v>49</v>
      </c>
      <c r="C91" s="292" t="s">
        <v>50</v>
      </c>
      <c r="D91" s="143" t="s">
        <v>137</v>
      </c>
      <c r="E91" s="125"/>
      <c r="F91" s="124" t="s">
        <v>52</v>
      </c>
      <c r="G91" s="124"/>
      <c r="H91" s="126"/>
      <c r="I91" s="296" t="s">
        <v>54</v>
      </c>
      <c r="J91" s="124" t="s">
        <v>52</v>
      </c>
      <c r="K91" s="124"/>
      <c r="L91" s="126"/>
      <c r="M91" s="296" t="s">
        <v>54</v>
      </c>
      <c r="N91" s="124" t="s">
        <v>52</v>
      </c>
      <c r="O91" s="124"/>
      <c r="P91" s="126"/>
      <c r="Q91" s="296" t="s">
        <v>54</v>
      </c>
      <c r="R91" s="124" t="s">
        <v>52</v>
      </c>
      <c r="S91" s="124"/>
      <c r="T91" s="126"/>
      <c r="U91" s="296" t="s">
        <v>54</v>
      </c>
      <c r="V91" s="124" t="s">
        <v>52</v>
      </c>
      <c r="W91" s="124"/>
      <c r="X91" s="126"/>
      <c r="Y91" s="296" t="s">
        <v>54</v>
      </c>
    </row>
    <row r="92" spans="1:25">
      <c r="A92" s="47" t="str">
        <f>Interview!A132</f>
        <v>I-DM-A-1-1</v>
      </c>
      <c r="B92" s="488" t="str">
        <f>VLOOKUP(A92,'imp-questions'!A:H,4,0)</f>
        <v>Defect Tracking</v>
      </c>
      <c r="C92" s="297">
        <f>VLOOKUP(A92,'imp-questions'!A:H,5,0)</f>
        <v>1</v>
      </c>
      <c r="D92" s="49" t="str">
        <f>VLOOKUP(A92,'imp-questions'!A:H,6,0)</f>
        <v>Do you track all known security defects in accessible locations?</v>
      </c>
      <c r="E92" s="50" t="str">
        <f>CHAR(65+VLOOKUP(A92,'imp-questions'!A:H,8,0))</f>
        <v>F</v>
      </c>
      <c r="F92" s="270" t="str">
        <f>Interview!F132</f>
        <v>Yes, for most or all of the applications</v>
      </c>
      <c r="G92" s="52">
        <f>IFERROR(VLOOKUP(F92,AnsFTBL,2,0),0)</f>
        <v>1</v>
      </c>
      <c r="H92" s="276">
        <f>IFERROR(AVERAGE(G92,G96),0)</f>
        <v>1</v>
      </c>
      <c r="I92" s="490">
        <f>SUM(H92:H94)</f>
        <v>2.5</v>
      </c>
      <c r="J92" s="270">
        <f>Interview!J132</f>
        <v>2.5</v>
      </c>
      <c r="K92" s="52">
        <f>IFERROR(VLOOKUP(J92,AnsFTBL,2,0),0)</f>
        <v>0</v>
      </c>
      <c r="L92" s="276">
        <f>IFERROR(AVERAGE(K92,K96),0)</f>
        <v>0</v>
      </c>
      <c r="M92" s="490">
        <f>SUM(L92:L94)</f>
        <v>0</v>
      </c>
      <c r="N92" s="270">
        <f>Interview!M132</f>
        <v>0</v>
      </c>
      <c r="O92" s="52">
        <f>IFERROR(VLOOKUP(N92,AnsFTBL,2,0),0)</f>
        <v>0</v>
      </c>
      <c r="P92" s="276">
        <f>IFERROR(AVERAGE(O92,O96),0)</f>
        <v>0</v>
      </c>
      <c r="Q92" s="490">
        <f>SUM(P92:P94)</f>
        <v>0</v>
      </c>
      <c r="R92" s="264">
        <f>N92</f>
        <v>0</v>
      </c>
      <c r="S92" s="52">
        <f>IFERROR(VLOOKUP(R92,AnsFTBL,2,0),0)</f>
        <v>0</v>
      </c>
      <c r="T92" s="276">
        <f>IFERROR(AVERAGE(S92,S96),0)</f>
        <v>0</v>
      </c>
      <c r="U92" s="490">
        <f>SUM(T92:T94)</f>
        <v>0</v>
      </c>
      <c r="V92" s="264">
        <f>R92</f>
        <v>0</v>
      </c>
      <c r="W92" s="52">
        <f>IFERROR(VLOOKUP(V92,AnsFTBL,2,0),0)</f>
        <v>0</v>
      </c>
      <c r="X92" s="276">
        <f>IFERROR(AVERAGE(W92,W96),0)</f>
        <v>0</v>
      </c>
      <c r="Y92" s="490">
        <f>SUM(X92:X94)</f>
        <v>0</v>
      </c>
    </row>
    <row r="93" spans="1:25" ht="28">
      <c r="A93" s="47" t="str">
        <f>Interview!A134</f>
        <v>I-DM-A-2-1</v>
      </c>
      <c r="B93" s="488"/>
      <c r="C93" s="297">
        <f>VLOOKUP(A93,'imp-questions'!A:H,5,0)</f>
        <v>2</v>
      </c>
      <c r="D93" s="49" t="str">
        <f>VLOOKUP(A93,'imp-questions'!A:H,6,0)</f>
        <v>Do you keep an overview of the state of security defects across the organization?</v>
      </c>
      <c r="E93" s="50" t="str">
        <f>CHAR(65+VLOOKUP(A93,'imp-questions'!A:H,8,0))</f>
        <v>F</v>
      </c>
      <c r="F93" s="270">
        <f>Interview!F134</f>
        <v>0</v>
      </c>
      <c r="G93" s="52">
        <f>IFERROR(VLOOKUP(F93,AnsFTBL,2,0),0)</f>
        <v>0</v>
      </c>
      <c r="H93" s="276">
        <f>IFERROR(AVERAGE(G93,G97),0)</f>
        <v>0.5</v>
      </c>
      <c r="I93" s="490"/>
      <c r="J93" s="270">
        <f>Interview!J134</f>
        <v>0</v>
      </c>
      <c r="K93" s="52">
        <f>IFERROR(VLOOKUP(J93,AnsFTBL,2,0),0)</f>
        <v>0</v>
      </c>
      <c r="L93" s="276">
        <f>IFERROR(AVERAGE(K93,K97),0)</f>
        <v>0</v>
      </c>
      <c r="M93" s="490"/>
      <c r="N93" s="270">
        <f>Interview!M134</f>
        <v>0</v>
      </c>
      <c r="O93" s="52">
        <f>IFERROR(VLOOKUP(N93,AnsFTBL,2,0),0)</f>
        <v>0</v>
      </c>
      <c r="P93" s="276">
        <f>IFERROR(AVERAGE(O93,O97),0)</f>
        <v>0</v>
      </c>
      <c r="Q93" s="490"/>
      <c r="R93" s="264">
        <f>N93</f>
        <v>0</v>
      </c>
      <c r="S93" s="52">
        <f>IFERROR(VLOOKUP(R93,AnsFTBL,2,0),0)</f>
        <v>0</v>
      </c>
      <c r="T93" s="276">
        <f>IFERROR(AVERAGE(S93,S97),0)</f>
        <v>0</v>
      </c>
      <c r="U93" s="490"/>
      <c r="V93" s="264">
        <f>R93</f>
        <v>0</v>
      </c>
      <c r="W93" s="52">
        <f>IFERROR(VLOOKUP(V93,AnsFTBL,2,0),0)</f>
        <v>0</v>
      </c>
      <c r="X93" s="276">
        <f>IFERROR(AVERAGE(W93,W97),0)</f>
        <v>0</v>
      </c>
      <c r="Y93" s="490"/>
    </row>
    <row r="94" spans="1:25">
      <c r="A94" s="47" t="str">
        <f>Interview!A136</f>
        <v>I-DM-A-3-1</v>
      </c>
      <c r="B94" s="488"/>
      <c r="C94" s="297">
        <f>VLOOKUP(A94,'imp-questions'!A:H,5,0)</f>
        <v>3</v>
      </c>
      <c r="D94" s="265" t="str">
        <f>VLOOKUP(A94,'imp-questions'!A:H,6,0)</f>
        <v>Do you enforce SLAs for fixing security defects?</v>
      </c>
      <c r="E94" s="50" t="str">
        <f>CHAR(65+VLOOKUP(A94,'imp-questions'!A:H,8,0))</f>
        <v>F</v>
      </c>
      <c r="F94" s="270" t="str">
        <f>Interview!F136</f>
        <v>Yes, for most or all of the applications</v>
      </c>
      <c r="G94" s="52">
        <f>IFERROR(VLOOKUP(F94,AnsFTBL,2,0),0)</f>
        <v>1</v>
      </c>
      <c r="H94" s="276">
        <f>IFERROR(AVERAGE(G94,G98),0)</f>
        <v>1</v>
      </c>
      <c r="I94" s="490"/>
      <c r="J94" s="270">
        <f>Interview!J136</f>
        <v>0</v>
      </c>
      <c r="K94" s="52">
        <f>IFERROR(VLOOKUP(J94,AnsFTBL,2,0),0)</f>
        <v>0</v>
      </c>
      <c r="L94" s="276">
        <f>IFERROR(AVERAGE(K94,K98),0)</f>
        <v>0</v>
      </c>
      <c r="M94" s="490"/>
      <c r="N94" s="270">
        <f>Interview!M136</f>
        <v>0</v>
      </c>
      <c r="O94" s="52">
        <f>IFERROR(VLOOKUP(N94,AnsFTBL,2,0),0)</f>
        <v>0</v>
      </c>
      <c r="P94" s="276">
        <f>IFERROR(AVERAGE(O94,O98),0)</f>
        <v>0</v>
      </c>
      <c r="Q94" s="490"/>
      <c r="R94" s="264">
        <f>N94</f>
        <v>0</v>
      </c>
      <c r="S94" s="52">
        <f>IFERROR(VLOOKUP(R94,AnsFTBL,2,0),0)</f>
        <v>0</v>
      </c>
      <c r="T94" s="276">
        <f>IFERROR(AVERAGE(S94,S98),0)</f>
        <v>0</v>
      </c>
      <c r="U94" s="490"/>
      <c r="V94" s="264">
        <f>R94</f>
        <v>0</v>
      </c>
      <c r="W94" s="52">
        <f>IFERROR(VLOOKUP(V94,AnsFTBL,2,0),0)</f>
        <v>0</v>
      </c>
      <c r="X94" s="276">
        <f>IFERROR(AVERAGE(W94,W98),0)</f>
        <v>0</v>
      </c>
      <c r="Y94" s="490"/>
    </row>
    <row r="95" spans="1:25" ht="13">
      <c r="A95" s="47"/>
      <c r="B95" s="267"/>
      <c r="C95" s="268"/>
      <c r="D95" s="269"/>
      <c r="E95" s="269"/>
      <c r="F95" s="269"/>
      <c r="G95" s="269"/>
      <c r="H95" s="269"/>
      <c r="I95" s="490"/>
      <c r="J95" s="269"/>
      <c r="K95" s="269"/>
      <c r="L95" s="269"/>
      <c r="M95" s="490"/>
      <c r="N95" s="269"/>
      <c r="O95" s="269"/>
      <c r="P95" s="269"/>
      <c r="Q95" s="490"/>
      <c r="R95" s="269"/>
      <c r="S95" s="269"/>
      <c r="T95" s="269"/>
      <c r="U95" s="490"/>
      <c r="V95" s="269"/>
      <c r="W95" s="269"/>
      <c r="X95" s="269"/>
      <c r="Y95" s="490"/>
    </row>
    <row r="96" spans="1:25" ht="28">
      <c r="A96" s="47" t="str">
        <f>Interview!A139</f>
        <v>I-DM-B-1-1</v>
      </c>
      <c r="B96" s="488" t="str">
        <f>VLOOKUP(A96,'imp-questions'!A:H,4,0)</f>
        <v>Metrics and Feedback</v>
      </c>
      <c r="C96" s="297">
        <f>VLOOKUP(A96,'imp-questions'!A:H,5,0)</f>
        <v>1</v>
      </c>
      <c r="D96" s="49" t="str">
        <f>VLOOKUP(A96,'imp-questions'!A:H,6,0)</f>
        <v>Do you use basic metrics about recorded security defects to carry out quick win improvement activities?</v>
      </c>
      <c r="E96" s="50" t="str">
        <f>CHAR(65+VLOOKUP(A96,'imp-questions'!A:H,8,0))</f>
        <v>F</v>
      </c>
      <c r="F96" s="270" t="str">
        <f>Interview!F139</f>
        <v>Yes, for most or all of the applications</v>
      </c>
      <c r="G96" s="52">
        <f>IFERROR(VLOOKUP(F96,AnsFTBL,2,0),0)</f>
        <v>1</v>
      </c>
      <c r="H96" s="203"/>
      <c r="I96" s="490"/>
      <c r="J96" s="270">
        <f>Interview!J139</f>
        <v>0</v>
      </c>
      <c r="K96" s="52">
        <f>IFERROR(VLOOKUP(J96,AnsFTBL,2,0),0)</f>
        <v>0</v>
      </c>
      <c r="L96" s="203"/>
      <c r="M96" s="490"/>
      <c r="N96" s="270">
        <f>Interview!M139</f>
        <v>0</v>
      </c>
      <c r="O96" s="52">
        <f>IFERROR(VLOOKUP(N96,AnsFTBL,2,0),0)</f>
        <v>0</v>
      </c>
      <c r="P96" s="203"/>
      <c r="Q96" s="490"/>
      <c r="R96" s="264">
        <f>N96</f>
        <v>0</v>
      </c>
      <c r="S96" s="52">
        <f>IFERROR(VLOOKUP(R96,AnsFTBL,2,0),0)</f>
        <v>0</v>
      </c>
      <c r="T96" s="203"/>
      <c r="U96" s="490"/>
      <c r="V96" s="264">
        <f>R96</f>
        <v>0</v>
      </c>
      <c r="W96" s="52">
        <f>IFERROR(VLOOKUP(V96,AnsFTBL,2,0),0)</f>
        <v>0</v>
      </c>
      <c r="X96" s="203"/>
      <c r="Y96" s="490"/>
    </row>
    <row r="97" spans="1:25">
      <c r="A97" s="47" t="str">
        <f>Interview!A141</f>
        <v>I-DM-B-2-1</v>
      </c>
      <c r="B97" s="488"/>
      <c r="C97" s="297">
        <f>VLOOKUP(A97,'imp-questions'!A:H,5,0)</f>
        <v>2</v>
      </c>
      <c r="D97" s="49" t="str">
        <f>VLOOKUP(A97,'imp-questions'!A:H,6,0)</f>
        <v>Do you improve your security assurance program upon standardized metrics?</v>
      </c>
      <c r="E97" s="50" t="str">
        <f>CHAR(65+VLOOKUP(A97,'imp-questions'!A:H,8,0))</f>
        <v>F</v>
      </c>
      <c r="F97" s="270" t="str">
        <f>Interview!F141</f>
        <v>Yes, for most or all of the applications</v>
      </c>
      <c r="G97" s="52">
        <f>IFERROR(VLOOKUP(F97,AnsFTBL,2,0),0)</f>
        <v>1</v>
      </c>
      <c r="H97" s="203"/>
      <c r="I97" s="490"/>
      <c r="J97" s="270">
        <f>Interview!J141</f>
        <v>0</v>
      </c>
      <c r="K97" s="52">
        <f>IFERROR(VLOOKUP(J97,AnsFTBL,2,0),0)</f>
        <v>0</v>
      </c>
      <c r="L97" s="203"/>
      <c r="M97" s="490"/>
      <c r="N97" s="270">
        <f>Interview!M141</f>
        <v>0</v>
      </c>
      <c r="O97" s="52">
        <f>IFERROR(VLOOKUP(N97,AnsFTBL,2,0),0)</f>
        <v>0</v>
      </c>
      <c r="P97" s="203"/>
      <c r="Q97" s="490"/>
      <c r="R97" s="264">
        <f>N97</f>
        <v>0</v>
      </c>
      <c r="S97" s="52">
        <f>IFERROR(VLOOKUP(R97,AnsFTBL,2,0),0)</f>
        <v>0</v>
      </c>
      <c r="T97" s="203"/>
      <c r="U97" s="490"/>
      <c r="V97" s="264">
        <f>R97</f>
        <v>0</v>
      </c>
      <c r="W97" s="52">
        <f>IFERROR(VLOOKUP(V97,AnsFTBL,2,0),0)</f>
        <v>0</v>
      </c>
      <c r="X97" s="203"/>
      <c r="Y97" s="490"/>
    </row>
    <row r="98" spans="1:25" ht="28">
      <c r="A98" s="47" t="str">
        <f>Interview!A143</f>
        <v>I-DM-B-3-1</v>
      </c>
      <c r="B98" s="488"/>
      <c r="C98" s="297">
        <f>VLOOKUP(A98,'imp-questions'!A:H,5,0)</f>
        <v>3</v>
      </c>
      <c r="D98" s="265" t="str">
        <f>VLOOKUP(A98,'imp-questions'!A:H,6,0)</f>
        <v>Do you regularly evaluate the effectiveness of your security metrics so that its input helps drive your security strategy?</v>
      </c>
      <c r="E98" s="50" t="str">
        <f>CHAR(65+VLOOKUP(A98,'imp-questions'!A:H,8,0))</f>
        <v>F</v>
      </c>
      <c r="F98" s="270" t="str">
        <f>Interview!F143</f>
        <v>Yes, for most or all of the applications</v>
      </c>
      <c r="G98" s="52">
        <f>IFERROR(VLOOKUP(F98,AnsFTBL,2,0),0)</f>
        <v>1</v>
      </c>
      <c r="H98" s="203"/>
      <c r="I98" s="490"/>
      <c r="J98" s="270">
        <f>Interview!J143</f>
        <v>0</v>
      </c>
      <c r="K98" s="52">
        <f>IFERROR(VLOOKUP(J98,AnsFTBL,2,0),0)</f>
        <v>0</v>
      </c>
      <c r="L98" s="203"/>
      <c r="M98" s="490"/>
      <c r="N98" s="270">
        <f>Interview!M143</f>
        <v>0</v>
      </c>
      <c r="O98" s="52">
        <f>IFERROR(VLOOKUP(N98,AnsFTBL,2,0),0)</f>
        <v>0</v>
      </c>
      <c r="P98" s="203"/>
      <c r="Q98" s="490"/>
      <c r="R98" s="264">
        <f>N98</f>
        <v>0</v>
      </c>
      <c r="S98" s="52">
        <f>IFERROR(VLOOKUP(R98,AnsFTBL,2,0),0)</f>
        <v>0</v>
      </c>
      <c r="T98" s="203"/>
      <c r="U98" s="490"/>
      <c r="V98" s="264">
        <f>R98</f>
        <v>0</v>
      </c>
      <c r="W98" s="52">
        <f>IFERROR(VLOOKUP(V98,AnsFTBL,2,0),0)</f>
        <v>0</v>
      </c>
      <c r="X98" s="203"/>
      <c r="Y98" s="490"/>
    </row>
    <row r="99" spans="1:25" ht="13">
      <c r="A99" s="47"/>
      <c r="B99" s="267"/>
      <c r="C99" s="268"/>
      <c r="D99" s="269"/>
      <c r="E99" s="269"/>
      <c r="F99" s="269"/>
      <c r="G99" s="269"/>
      <c r="H99" s="269"/>
      <c r="I99" s="269"/>
      <c r="J99" s="269"/>
      <c r="K99" s="269"/>
      <c r="L99" s="269"/>
      <c r="M99" s="269"/>
      <c r="N99" s="269"/>
      <c r="O99" s="269"/>
      <c r="P99" s="269"/>
      <c r="Q99" s="269"/>
      <c r="R99" s="269"/>
      <c r="S99" s="269"/>
      <c r="T99" s="269"/>
      <c r="U99" s="269"/>
      <c r="V99" s="269"/>
      <c r="W99" s="269"/>
      <c r="X99" s="269"/>
      <c r="Y99" s="269"/>
    </row>
    <row r="100" spans="1:25" ht="12.75" customHeight="1">
      <c r="A100" s="47"/>
      <c r="B100" s="298" t="s">
        <v>144</v>
      </c>
      <c r="C100" s="298"/>
      <c r="D100" s="150"/>
      <c r="E100" s="150"/>
      <c r="F100" s="486" t="s">
        <v>199</v>
      </c>
      <c r="G100" s="486"/>
      <c r="H100" s="486"/>
      <c r="I100" s="486"/>
      <c r="J100" s="487" t="s">
        <v>210</v>
      </c>
      <c r="K100" s="487"/>
      <c r="L100" s="487"/>
      <c r="M100" s="487"/>
      <c r="N100" s="487" t="s">
        <v>211</v>
      </c>
      <c r="O100" s="487"/>
      <c r="P100" s="487"/>
      <c r="Q100" s="487"/>
      <c r="R100" s="487" t="s">
        <v>212</v>
      </c>
      <c r="S100" s="487"/>
      <c r="T100" s="487"/>
      <c r="U100" s="487"/>
      <c r="V100" s="487" t="s">
        <v>213</v>
      </c>
      <c r="W100" s="487"/>
      <c r="X100" s="487"/>
      <c r="Y100" s="487"/>
    </row>
    <row r="101" spans="1:25">
      <c r="A101" s="47"/>
      <c r="B101" s="299" t="s">
        <v>49</v>
      </c>
      <c r="C101" s="300" t="s">
        <v>50</v>
      </c>
      <c r="D101" s="301" t="s">
        <v>145</v>
      </c>
      <c r="E101" s="152"/>
      <c r="F101" s="151" t="s">
        <v>52</v>
      </c>
      <c r="G101" s="151"/>
      <c r="H101" s="153"/>
      <c r="I101" s="302" t="s">
        <v>54</v>
      </c>
      <c r="J101" s="151" t="s">
        <v>52</v>
      </c>
      <c r="K101" s="151"/>
      <c r="L101" s="153"/>
      <c r="M101" s="302" t="s">
        <v>54</v>
      </c>
      <c r="N101" s="151" t="s">
        <v>52</v>
      </c>
      <c r="O101" s="151"/>
      <c r="P101" s="153"/>
      <c r="Q101" s="302" t="s">
        <v>54</v>
      </c>
      <c r="R101" s="151" t="s">
        <v>52</v>
      </c>
      <c r="S101" s="151"/>
      <c r="T101" s="153"/>
      <c r="U101" s="302" t="s">
        <v>54</v>
      </c>
      <c r="V101" s="151" t="s">
        <v>52</v>
      </c>
      <c r="W101" s="151"/>
      <c r="X101" s="153"/>
      <c r="Y101" s="302" t="s">
        <v>54</v>
      </c>
    </row>
    <row r="102" spans="1:25" ht="28">
      <c r="A102" s="47" t="str">
        <f>Interview!A147</f>
        <v>V-AA-A-1-1</v>
      </c>
      <c r="B102" s="483" t="str">
        <f>VLOOKUP(A102,'imp-questions'!A:H,4,0)</f>
        <v>Architecture Validation</v>
      </c>
      <c r="C102" s="303">
        <f>VLOOKUP(A102,'imp-questions'!A:H,5,0)</f>
        <v>1</v>
      </c>
      <c r="D102" s="49" t="str">
        <f>VLOOKUP(A102,'imp-questions'!A:H,6,0)</f>
        <v>Do you review the application architecture for key security objectives on an ad-hoc basis?</v>
      </c>
      <c r="E102" s="160" t="str">
        <f>CHAR(65+VLOOKUP(A102,'imp-questions'!A:H,8,0))</f>
        <v>F</v>
      </c>
      <c r="F102" s="270">
        <f>Interview!F147</f>
        <v>0</v>
      </c>
      <c r="G102" s="52">
        <f>IFERROR(VLOOKUP(F102,AnsFTBL,2,0),0)</f>
        <v>0</v>
      </c>
      <c r="H102" s="276">
        <f>IFERROR(AVERAGE(G102,G106),0)</f>
        <v>0.25</v>
      </c>
      <c r="I102" s="484">
        <f>SUM(H102:H104)</f>
        <v>0.75</v>
      </c>
      <c r="J102" s="264">
        <f>F102</f>
        <v>0</v>
      </c>
      <c r="K102" s="52">
        <f>IFERROR(VLOOKUP(J102,AnsFTBL,2,0),0)</f>
        <v>0</v>
      </c>
      <c r="L102" s="276">
        <f>IFERROR(AVERAGE(K102,K106),0)</f>
        <v>0.25</v>
      </c>
      <c r="M102" s="484">
        <f>SUM(L102:L104)</f>
        <v>0.75</v>
      </c>
      <c r="N102" s="264">
        <f>J102</f>
        <v>0</v>
      </c>
      <c r="O102" s="52">
        <f>IFERROR(VLOOKUP(N102,AnsFTBL,2,0),0)</f>
        <v>0</v>
      </c>
      <c r="P102" s="276">
        <f>IFERROR(AVERAGE(O102,O106),0)</f>
        <v>0.25</v>
      </c>
      <c r="Q102" s="484">
        <f>SUM(P102:P104)</f>
        <v>0.75</v>
      </c>
      <c r="R102" s="264">
        <f>N102</f>
        <v>0</v>
      </c>
      <c r="S102" s="52">
        <f>IFERROR(VLOOKUP(R102,AnsFTBL,2,0),0)</f>
        <v>0</v>
      </c>
      <c r="T102" s="276">
        <f>IFERROR(AVERAGE(S102,S106),0)</f>
        <v>0.25</v>
      </c>
      <c r="U102" s="484">
        <f>SUM(T102:T104)</f>
        <v>0.75</v>
      </c>
      <c r="V102" s="264">
        <f>R102</f>
        <v>0</v>
      </c>
      <c r="W102" s="52">
        <f>IFERROR(VLOOKUP(V102,AnsFTBL,2,0),0)</f>
        <v>0</v>
      </c>
      <c r="X102" s="276">
        <f>IFERROR(AVERAGE(W102,W106),0)</f>
        <v>0.25</v>
      </c>
      <c r="Y102" s="484">
        <f>SUM(X102:X104)</f>
        <v>0.75</v>
      </c>
    </row>
    <row r="103" spans="1:25">
      <c r="A103" s="47" t="str">
        <f>Interview!A149</f>
        <v>V-AA-A-2-1</v>
      </c>
      <c r="B103" s="483"/>
      <c r="C103" s="303">
        <f>VLOOKUP(A103,'imp-questions'!A:H,5,0)</f>
        <v>2</v>
      </c>
      <c r="D103" s="49" t="str">
        <f>VLOOKUP(A103,'imp-questions'!A:H,6,0)</f>
        <v>Do you regularly review the security mechanisms of your architecture?</v>
      </c>
      <c r="E103" s="160" t="str">
        <f>CHAR(65+VLOOKUP(A103,'imp-questions'!A:H,8,0))</f>
        <v>F</v>
      </c>
      <c r="F103" s="270">
        <f>Interview!F149</f>
        <v>0</v>
      </c>
      <c r="G103" s="52">
        <f>IFERROR(VLOOKUP(F103,AnsFTBL,2,0),0)</f>
        <v>0</v>
      </c>
      <c r="H103" s="276">
        <f>IFERROR(AVERAGE(G103,G107),0)</f>
        <v>0.5</v>
      </c>
      <c r="I103" s="484"/>
      <c r="J103" s="264">
        <f>F103</f>
        <v>0</v>
      </c>
      <c r="K103" s="52">
        <f>IFERROR(VLOOKUP(J103,AnsFTBL,2,0),0)</f>
        <v>0</v>
      </c>
      <c r="L103" s="276">
        <f>IFERROR(AVERAGE(K103,K107),0)</f>
        <v>0.5</v>
      </c>
      <c r="M103" s="484"/>
      <c r="N103" s="264">
        <f>J103</f>
        <v>0</v>
      </c>
      <c r="O103" s="52">
        <f>IFERROR(VLOOKUP(N103,AnsFTBL,2,0),0)</f>
        <v>0</v>
      </c>
      <c r="P103" s="276">
        <f>IFERROR(AVERAGE(O103,O107),0)</f>
        <v>0.5</v>
      </c>
      <c r="Q103" s="484"/>
      <c r="R103" s="264">
        <f>N103</f>
        <v>0</v>
      </c>
      <c r="S103" s="52">
        <f>IFERROR(VLOOKUP(R103,AnsFTBL,2,0),0)</f>
        <v>0</v>
      </c>
      <c r="T103" s="276">
        <f>IFERROR(AVERAGE(S103,S107),0)</f>
        <v>0.5</v>
      </c>
      <c r="U103" s="484"/>
      <c r="V103" s="264">
        <f>R103</f>
        <v>0</v>
      </c>
      <c r="W103" s="52">
        <f>IFERROR(VLOOKUP(V103,AnsFTBL,2,0),0)</f>
        <v>0</v>
      </c>
      <c r="X103" s="276">
        <f>IFERROR(AVERAGE(W103,W107),0)</f>
        <v>0.5</v>
      </c>
      <c r="Y103" s="484"/>
    </row>
    <row r="104" spans="1:25">
      <c r="A104" s="47" t="str">
        <f>Interview!A151</f>
        <v>V-AA-A-3-1</v>
      </c>
      <c r="B104" s="483"/>
      <c r="C104" s="303">
        <f>VLOOKUP(A104,'imp-questions'!A:H,5,0)</f>
        <v>3</v>
      </c>
      <c r="D104" s="265" t="str">
        <f>VLOOKUP(A104,'imp-questions'!A:H,6,0)</f>
        <v>Do you regularly review the effectiveness of the security controls?</v>
      </c>
      <c r="E104" s="160" t="str">
        <f>CHAR(65+VLOOKUP(A104,'imp-questions'!A:H,8,0))</f>
        <v>F</v>
      </c>
      <c r="F104" s="270">
        <f>Interview!F151</f>
        <v>0</v>
      </c>
      <c r="G104" s="52">
        <f>IFERROR(VLOOKUP(F104,AnsFTBL,2,0),0)</f>
        <v>0</v>
      </c>
      <c r="H104" s="276">
        <f>IFERROR(AVERAGE(G104,G108),0)</f>
        <v>0</v>
      </c>
      <c r="I104" s="484"/>
      <c r="J104" s="264">
        <f>F104</f>
        <v>0</v>
      </c>
      <c r="K104" s="52">
        <f>IFERROR(VLOOKUP(J104,AnsFTBL,2,0),0)</f>
        <v>0</v>
      </c>
      <c r="L104" s="276">
        <f>IFERROR(AVERAGE(K104,K108),0)</f>
        <v>0</v>
      </c>
      <c r="M104" s="484"/>
      <c r="N104" s="264">
        <f>J104</f>
        <v>0</v>
      </c>
      <c r="O104" s="52">
        <f>IFERROR(VLOOKUP(N104,AnsFTBL,2,0),0)</f>
        <v>0</v>
      </c>
      <c r="P104" s="276">
        <f>IFERROR(AVERAGE(O104,O108),0)</f>
        <v>0</v>
      </c>
      <c r="Q104" s="484"/>
      <c r="R104" s="264">
        <f>N104</f>
        <v>0</v>
      </c>
      <c r="S104" s="52">
        <f>IFERROR(VLOOKUP(R104,AnsFTBL,2,0),0)</f>
        <v>0</v>
      </c>
      <c r="T104" s="276">
        <f>IFERROR(AVERAGE(S104,S108),0)</f>
        <v>0</v>
      </c>
      <c r="U104" s="484"/>
      <c r="V104" s="264">
        <f>R104</f>
        <v>0</v>
      </c>
      <c r="W104" s="52">
        <f>IFERROR(VLOOKUP(V104,AnsFTBL,2,0),0)</f>
        <v>0</v>
      </c>
      <c r="X104" s="276">
        <f>IFERROR(AVERAGE(W104,W108),0)</f>
        <v>0</v>
      </c>
      <c r="Y104" s="484"/>
    </row>
    <row r="105" spans="1:25" ht="13">
      <c r="A105" s="47"/>
      <c r="B105" s="267"/>
      <c r="C105" s="268"/>
      <c r="D105" s="304"/>
      <c r="E105" s="304"/>
      <c r="F105" s="304"/>
      <c r="G105" s="304"/>
      <c r="H105" s="304"/>
      <c r="I105" s="484"/>
      <c r="J105" s="304"/>
      <c r="K105" s="304"/>
      <c r="L105" s="304"/>
      <c r="M105" s="484"/>
      <c r="N105" s="304"/>
      <c r="O105" s="304"/>
      <c r="P105" s="304"/>
      <c r="Q105" s="484"/>
      <c r="R105" s="304"/>
      <c r="S105" s="304"/>
      <c r="T105" s="304"/>
      <c r="U105" s="484"/>
      <c r="V105" s="304"/>
      <c r="W105" s="304"/>
      <c r="X105" s="304"/>
      <c r="Y105" s="484"/>
    </row>
    <row r="106" spans="1:25" ht="28">
      <c r="A106" s="47" t="str">
        <f>Interview!A154</f>
        <v>V-AA-B-1-1</v>
      </c>
      <c r="B106" s="483" t="str">
        <f>VLOOKUP(A106,'imp-questions'!A:H,4,0)</f>
        <v>Architecture Mitigation</v>
      </c>
      <c r="C106" s="303">
        <f>VLOOKUP(A106,'imp-questions'!A:H,5,0)</f>
        <v>1</v>
      </c>
      <c r="D106" s="49" t="str">
        <f>VLOOKUP(A106,'imp-questions'!A:H,6,0)</f>
        <v>Do you review the application architecture for mitigations of typical threats on an ad-hoc basis?</v>
      </c>
      <c r="E106" s="160" t="str">
        <f>CHAR(65+VLOOKUP(A106,'imp-questions'!A:H,8,0))</f>
        <v>F</v>
      </c>
      <c r="F106" s="305" t="str">
        <f>Interview!F154</f>
        <v>Yes, for at least half of the applications</v>
      </c>
      <c r="G106" s="52">
        <f>IFERROR(VLOOKUP(F106,AnsFTBL,2,0),0)</f>
        <v>0.5</v>
      </c>
      <c r="H106" s="306"/>
      <c r="I106" s="484"/>
      <c r="J106" s="264" t="str">
        <f>F106</f>
        <v>Yes, for at least half of the applications</v>
      </c>
      <c r="K106" s="52">
        <f>IFERROR(VLOOKUP(J106,AnsFTBL,2,0),0)</f>
        <v>0.5</v>
      </c>
      <c r="L106" s="306"/>
      <c r="M106" s="484"/>
      <c r="N106" s="264" t="str">
        <f>J106</f>
        <v>Yes, for at least half of the applications</v>
      </c>
      <c r="O106" s="52">
        <f>IFERROR(VLOOKUP(N106,AnsFTBL,2,0),0)</f>
        <v>0.5</v>
      </c>
      <c r="P106" s="306"/>
      <c r="Q106" s="484"/>
      <c r="R106" s="264" t="str">
        <f>N106</f>
        <v>Yes, for at least half of the applications</v>
      </c>
      <c r="S106" s="52">
        <f>IFERROR(VLOOKUP(R106,AnsFTBL,2,0),0)</f>
        <v>0.5</v>
      </c>
      <c r="T106" s="306"/>
      <c r="U106" s="484"/>
      <c r="V106" s="264" t="str">
        <f>R106</f>
        <v>Yes, for at least half of the applications</v>
      </c>
      <c r="W106" s="52">
        <f>IFERROR(VLOOKUP(V106,AnsFTBL,2,0),0)</f>
        <v>0.5</v>
      </c>
      <c r="X106" s="306"/>
      <c r="Y106" s="484"/>
    </row>
    <row r="107" spans="1:25">
      <c r="A107" s="47" t="str">
        <f>Interview!A156</f>
        <v>V-AA-B-2-1</v>
      </c>
      <c r="B107" s="483"/>
      <c r="C107" s="303">
        <f>VLOOKUP(A107,'imp-questions'!A:H,5,0)</f>
        <v>2</v>
      </c>
      <c r="D107" s="49" t="str">
        <f>VLOOKUP(A107,'imp-questions'!A:H,6,0)</f>
        <v>Do you regularly evaluate the threats to your architecture?</v>
      </c>
      <c r="E107" s="160" t="str">
        <f>CHAR(65+VLOOKUP(A107,'imp-questions'!A:H,8,0))</f>
        <v>F</v>
      </c>
      <c r="F107" s="307" t="str">
        <f>Interview!F156</f>
        <v>Yes, for most or all of the applications</v>
      </c>
      <c r="G107" s="52">
        <f>IFERROR(VLOOKUP(F107,AnsFTBL,2,0),0)</f>
        <v>1</v>
      </c>
      <c r="H107" s="306"/>
      <c r="I107" s="484"/>
      <c r="J107" s="264" t="str">
        <f>F107</f>
        <v>Yes, for most or all of the applications</v>
      </c>
      <c r="K107" s="52">
        <f>IFERROR(VLOOKUP(J107,AnsFTBL,2,0),0)</f>
        <v>1</v>
      </c>
      <c r="L107" s="306"/>
      <c r="M107" s="484"/>
      <c r="N107" s="264" t="str">
        <f>J107</f>
        <v>Yes, for most or all of the applications</v>
      </c>
      <c r="O107" s="52">
        <f>IFERROR(VLOOKUP(N107,AnsFTBL,2,0),0)</f>
        <v>1</v>
      </c>
      <c r="P107" s="306"/>
      <c r="Q107" s="484"/>
      <c r="R107" s="264" t="str">
        <f>N107</f>
        <v>Yes, for most or all of the applications</v>
      </c>
      <c r="S107" s="52">
        <f>IFERROR(VLOOKUP(R107,AnsFTBL,2,0),0)</f>
        <v>1</v>
      </c>
      <c r="T107" s="306"/>
      <c r="U107" s="484"/>
      <c r="V107" s="264" t="str">
        <f>R107</f>
        <v>Yes, for most or all of the applications</v>
      </c>
      <c r="W107" s="52">
        <f>IFERROR(VLOOKUP(V107,AnsFTBL,2,0),0)</f>
        <v>1</v>
      </c>
      <c r="X107" s="306"/>
      <c r="Y107" s="484"/>
    </row>
    <row r="108" spans="1:25" ht="28">
      <c r="A108" s="47" t="str">
        <f>Interview!A158</f>
        <v>V-AA-B-3-1</v>
      </c>
      <c r="B108" s="483"/>
      <c r="C108" s="303">
        <f>VLOOKUP(A108,'imp-questions'!A:H,5,0)</f>
        <v>3</v>
      </c>
      <c r="D108" s="265" t="str">
        <f>VLOOKUP(A108,'imp-questions'!A:H,6,0)</f>
        <v>Do you regularly update your reference architectures based on architecture assessment findings?</v>
      </c>
      <c r="E108" s="160" t="str">
        <f>CHAR(65+VLOOKUP(A108,'imp-questions'!A:H,8,0))</f>
        <v>F</v>
      </c>
      <c r="F108" s="307">
        <f>Interview!F158</f>
        <v>0</v>
      </c>
      <c r="G108" s="52">
        <f>IFERROR(VLOOKUP(F108,AnsFTBL,2,0),0)</f>
        <v>0</v>
      </c>
      <c r="H108" s="306"/>
      <c r="I108" s="484"/>
      <c r="J108" s="264">
        <f>F108</f>
        <v>0</v>
      </c>
      <c r="K108" s="52">
        <f>IFERROR(VLOOKUP(J108,AnsFTBL,2,0),0)</f>
        <v>0</v>
      </c>
      <c r="L108" s="306"/>
      <c r="M108" s="484"/>
      <c r="N108" s="264">
        <f>J108</f>
        <v>0</v>
      </c>
      <c r="O108" s="52">
        <f>IFERROR(VLOOKUP(N108,AnsFTBL,2,0),0)</f>
        <v>0</v>
      </c>
      <c r="P108" s="306"/>
      <c r="Q108" s="484"/>
      <c r="R108" s="264">
        <f>N108</f>
        <v>0</v>
      </c>
      <c r="S108" s="52">
        <f>IFERROR(VLOOKUP(R108,AnsFTBL,2,0),0)</f>
        <v>0</v>
      </c>
      <c r="T108" s="306"/>
      <c r="U108" s="484"/>
      <c r="V108" s="264">
        <f>R108</f>
        <v>0</v>
      </c>
      <c r="W108" s="52">
        <f>IFERROR(VLOOKUP(V108,AnsFTBL,2,0),0)</f>
        <v>0</v>
      </c>
      <c r="X108" s="306"/>
      <c r="Y108" s="484"/>
    </row>
    <row r="109" spans="1:25" ht="13">
      <c r="A109" s="47"/>
      <c r="B109" s="267"/>
      <c r="C109" s="268"/>
      <c r="D109" s="304"/>
      <c r="E109" s="304"/>
      <c r="F109" s="304"/>
      <c r="G109" s="304"/>
      <c r="H109" s="304"/>
      <c r="I109" s="304"/>
      <c r="J109" s="304"/>
      <c r="K109" s="304"/>
      <c r="L109" s="304"/>
      <c r="M109" s="269"/>
      <c r="N109" s="304"/>
      <c r="O109" s="304"/>
      <c r="P109" s="304"/>
      <c r="Q109" s="269"/>
      <c r="R109" s="304"/>
      <c r="S109" s="304"/>
      <c r="T109" s="304"/>
      <c r="U109" s="269"/>
      <c r="V109" s="304"/>
      <c r="W109" s="304"/>
      <c r="X109" s="304"/>
      <c r="Y109" s="269"/>
    </row>
    <row r="110" spans="1:25">
      <c r="A110" s="47"/>
      <c r="B110" s="299" t="s">
        <v>49</v>
      </c>
      <c r="C110" s="300" t="s">
        <v>50</v>
      </c>
      <c r="D110" s="308" t="s">
        <v>152</v>
      </c>
      <c r="E110" s="309"/>
      <c r="F110" s="310" t="s">
        <v>52</v>
      </c>
      <c r="G110" s="310"/>
      <c r="H110" s="311"/>
      <c r="I110" s="302" t="s">
        <v>54</v>
      </c>
      <c r="J110" s="310" t="s">
        <v>52</v>
      </c>
      <c r="K110" s="310"/>
      <c r="L110" s="311"/>
      <c r="M110" s="302" t="s">
        <v>54</v>
      </c>
      <c r="N110" s="310" t="s">
        <v>52</v>
      </c>
      <c r="O110" s="310"/>
      <c r="P110" s="311"/>
      <c r="Q110" s="302" t="s">
        <v>54</v>
      </c>
      <c r="R110" s="310" t="s">
        <v>52</v>
      </c>
      <c r="S110" s="310"/>
      <c r="T110" s="311"/>
      <c r="U110" s="302" t="s">
        <v>54</v>
      </c>
      <c r="V110" s="310" t="s">
        <v>52</v>
      </c>
      <c r="W110" s="310"/>
      <c r="X110" s="311"/>
      <c r="Y110" s="302" t="s">
        <v>54</v>
      </c>
    </row>
    <row r="111" spans="1:25" ht="28">
      <c r="A111" s="47" t="str">
        <f>Interview!A161</f>
        <v>V-RT-A-1-1</v>
      </c>
      <c r="B111" s="483" t="str">
        <f>VLOOKUP(A111,'imp-questions'!A:H,4,0)</f>
        <v>Control Verification</v>
      </c>
      <c r="C111" s="303">
        <f>VLOOKUP(A111,'imp-questions'!A:H,5,0)</f>
        <v>1</v>
      </c>
      <c r="D111" s="49" t="str">
        <f>VLOOKUP(A111,'imp-questions'!A:H,6,0)</f>
        <v>Do you test applications for the correct functioning of standard security controls?</v>
      </c>
      <c r="E111" s="50" t="str">
        <f>CHAR(65+VLOOKUP(A111,'imp-questions'!A:H,8,0))</f>
        <v>C</v>
      </c>
      <c r="F111" s="270">
        <f>Interview!F161</f>
        <v>0</v>
      </c>
      <c r="G111" s="52">
        <f>IFERROR(VLOOKUP(F111,AnsCTBL,2,0),0)</f>
        <v>0</v>
      </c>
      <c r="H111" s="276">
        <f>IFERROR(AVERAGE(G111,G115),0)</f>
        <v>0</v>
      </c>
      <c r="I111" s="484">
        <f>SUM(H111:H113)</f>
        <v>0</v>
      </c>
      <c r="J111" s="264">
        <f>F111</f>
        <v>0</v>
      </c>
      <c r="K111" s="52">
        <f>IFERROR(VLOOKUP(J111,AnsCTBL,2,0),0)</f>
        <v>0</v>
      </c>
      <c r="L111" s="276">
        <f>IFERROR(AVERAGE(K111,K115),0)</f>
        <v>0</v>
      </c>
      <c r="M111" s="484">
        <f>SUM(L111:L113)</f>
        <v>0</v>
      </c>
      <c r="N111" s="264">
        <f>J111</f>
        <v>0</v>
      </c>
      <c r="O111" s="52">
        <f>IFERROR(VLOOKUP(N111,AnsCTBL,2,0),0)</f>
        <v>0</v>
      </c>
      <c r="P111" s="276">
        <f>IFERROR(AVERAGE(O111,O115),0)</f>
        <v>0</v>
      </c>
      <c r="Q111" s="484">
        <f>SUM(P111:P113)</f>
        <v>0</v>
      </c>
      <c r="R111" s="264">
        <f>N111</f>
        <v>0</v>
      </c>
      <c r="S111" s="52">
        <f>IFERROR(VLOOKUP(R111,AnsCTBL,2,0),0)</f>
        <v>0</v>
      </c>
      <c r="T111" s="276">
        <f>IFERROR(AVERAGE(S111,S115),0)</f>
        <v>0</v>
      </c>
      <c r="U111" s="484">
        <f>SUM(T111:T113)</f>
        <v>0</v>
      </c>
      <c r="V111" s="264">
        <f>R111</f>
        <v>0</v>
      </c>
      <c r="W111" s="52">
        <f>IFERROR(VLOOKUP(V111,AnsCTBL,2,0),0)</f>
        <v>0</v>
      </c>
      <c r="X111" s="276">
        <f>IFERROR(AVERAGE(W111,W115),0)</f>
        <v>0</v>
      </c>
      <c r="Y111" s="484">
        <f>SUM(X111:X113)</f>
        <v>0</v>
      </c>
    </row>
    <row r="112" spans="1:25" ht="28">
      <c r="A112" s="47" t="str">
        <f>Interview!A163</f>
        <v>V-RT-A-2-1</v>
      </c>
      <c r="B112" s="483"/>
      <c r="C112" s="303">
        <f>VLOOKUP(A112,'imp-questions'!A:H,5,0)</f>
        <v>2</v>
      </c>
      <c r="D112" s="49" t="str">
        <f>VLOOKUP(A112,'imp-questions'!A:H,6,0)</f>
        <v>Do you consistently write and execute test scripts to verify the functionality of security requirements?</v>
      </c>
      <c r="E112" s="50" t="str">
        <f>CHAR(65+VLOOKUP(A112,'imp-questions'!A:H,8,0))</f>
        <v>C</v>
      </c>
      <c r="F112" s="266">
        <f>Interview!F163</f>
        <v>0</v>
      </c>
      <c r="G112" s="52">
        <f>IFERROR(VLOOKUP(F112,AnsCTBL,2,0),0)</f>
        <v>0</v>
      </c>
      <c r="H112" s="276">
        <f>IFERROR(AVERAGE(G112,G116),0)</f>
        <v>0</v>
      </c>
      <c r="I112" s="484"/>
      <c r="J112" s="264">
        <f>F112</f>
        <v>0</v>
      </c>
      <c r="K112" s="52">
        <f>IFERROR(VLOOKUP(J112,AnsCTBL,2,0),0)</f>
        <v>0</v>
      </c>
      <c r="L112" s="276">
        <f>IFERROR(AVERAGE(K112,K116),0)</f>
        <v>0</v>
      </c>
      <c r="M112" s="484"/>
      <c r="N112" s="264">
        <f>J112</f>
        <v>0</v>
      </c>
      <c r="O112" s="52">
        <f>IFERROR(VLOOKUP(N112,AnsCTBL,2,0),0)</f>
        <v>0</v>
      </c>
      <c r="P112" s="276">
        <f>IFERROR(AVERAGE(O112,O116),0)</f>
        <v>0</v>
      </c>
      <c r="Q112" s="484"/>
      <c r="R112" s="264">
        <f>N112</f>
        <v>0</v>
      </c>
      <c r="S112" s="52">
        <f>IFERROR(VLOOKUP(R112,AnsCTBL,2,0),0)</f>
        <v>0</v>
      </c>
      <c r="T112" s="276">
        <f>IFERROR(AVERAGE(S112,S116),0)</f>
        <v>0</v>
      </c>
      <c r="U112" s="484"/>
      <c r="V112" s="264">
        <f>R112</f>
        <v>0</v>
      </c>
      <c r="W112" s="52">
        <f>IFERROR(VLOOKUP(V112,AnsCTBL,2,0),0)</f>
        <v>0</v>
      </c>
      <c r="X112" s="276">
        <f>IFERROR(AVERAGE(W112,W116),0)</f>
        <v>0</v>
      </c>
      <c r="Y112" s="484"/>
    </row>
    <row r="113" spans="1:25">
      <c r="A113" s="47" t="str">
        <f>Interview!A165</f>
        <v>V-RT-A-3-1</v>
      </c>
      <c r="B113" s="483"/>
      <c r="C113" s="303">
        <f>VLOOKUP(A113,'imp-questions'!A:H,5,0)</f>
        <v>3</v>
      </c>
      <c r="D113" s="265" t="str">
        <f>VLOOKUP(A113,'imp-questions'!A:H,6,0)</f>
        <v>Do you automatically test applications for security regressions?</v>
      </c>
      <c r="E113" s="50" t="str">
        <f>CHAR(65+VLOOKUP(A113,'imp-questions'!A:H,8,0))</f>
        <v>F</v>
      </c>
      <c r="F113" s="266">
        <f>Interview!F165</f>
        <v>0</v>
      </c>
      <c r="G113" s="52">
        <f>IFERROR(VLOOKUP(F113,AnsFTBL,2,0),0)</f>
        <v>0</v>
      </c>
      <c r="H113" s="276">
        <f>IFERROR(AVERAGE(G113,G117),0)</f>
        <v>0</v>
      </c>
      <c r="I113" s="484"/>
      <c r="J113" s="264">
        <f>F113</f>
        <v>0</v>
      </c>
      <c r="K113" s="52">
        <f>IFERROR(VLOOKUP(J113,AnsFTBL,2,0),0)</f>
        <v>0</v>
      </c>
      <c r="L113" s="276">
        <f>IFERROR(AVERAGE(K113,K117),0)</f>
        <v>0</v>
      </c>
      <c r="M113" s="484"/>
      <c r="N113" s="264">
        <f>J113</f>
        <v>0</v>
      </c>
      <c r="O113" s="52">
        <f>IFERROR(VLOOKUP(N113,AnsFTBL,2,0),0)</f>
        <v>0</v>
      </c>
      <c r="P113" s="276">
        <f>IFERROR(AVERAGE(O113,O117),0)</f>
        <v>0</v>
      </c>
      <c r="Q113" s="484"/>
      <c r="R113" s="264">
        <f>N113</f>
        <v>0</v>
      </c>
      <c r="S113" s="52">
        <f>IFERROR(VLOOKUP(R113,AnsFTBL,2,0),0)</f>
        <v>0</v>
      </c>
      <c r="T113" s="276">
        <f>IFERROR(AVERAGE(S113,S117),0)</f>
        <v>0</v>
      </c>
      <c r="U113" s="484"/>
      <c r="V113" s="264">
        <f>R113</f>
        <v>0</v>
      </c>
      <c r="W113" s="52">
        <f>IFERROR(VLOOKUP(V113,AnsFTBL,2,0),0)</f>
        <v>0</v>
      </c>
      <c r="X113" s="276">
        <f>IFERROR(AVERAGE(W113,W117),0)</f>
        <v>0</v>
      </c>
      <c r="Y113" s="484"/>
    </row>
    <row r="114" spans="1:25" ht="13">
      <c r="A114" s="47"/>
      <c r="B114" s="267"/>
      <c r="C114" s="268"/>
      <c r="D114" s="269"/>
      <c r="E114" s="269"/>
      <c r="F114" s="269"/>
      <c r="G114" s="269"/>
      <c r="H114" s="269"/>
      <c r="I114" s="484"/>
      <c r="J114" s="269"/>
      <c r="K114" s="269"/>
      <c r="L114" s="269"/>
      <c r="M114" s="484"/>
      <c r="N114" s="269"/>
      <c r="O114" s="269"/>
      <c r="P114" s="269"/>
      <c r="Q114" s="484"/>
      <c r="R114" s="269"/>
      <c r="S114" s="269"/>
      <c r="T114" s="269"/>
      <c r="U114" s="484"/>
      <c r="V114" s="269"/>
      <c r="W114" s="269"/>
      <c r="X114" s="269"/>
      <c r="Y114" s="484"/>
    </row>
    <row r="115" spans="1:25">
      <c r="A115" s="47" t="str">
        <f>Interview!A168</f>
        <v>V-RT-B-1-1</v>
      </c>
      <c r="B115" s="483" t="str">
        <f>VLOOKUP(A115,'imp-questions'!A:H,4,0)</f>
        <v>Misuse/Abuse Testing</v>
      </c>
      <c r="C115" s="303">
        <f>VLOOKUP(A115,'imp-questions'!A:H,5,0)</f>
        <v>1</v>
      </c>
      <c r="D115" s="49" t="str">
        <f>VLOOKUP(A115,'imp-questions'!A:H,6,0)</f>
        <v>Do you test applications using randomization or fuzzing techniques?</v>
      </c>
      <c r="E115" s="50" t="str">
        <f>CHAR(65+VLOOKUP(A115,'imp-questions'!A:H,8,0))</f>
        <v>F</v>
      </c>
      <c r="F115" s="270">
        <f>Interview!F168</f>
        <v>0</v>
      </c>
      <c r="G115" s="52">
        <f>IFERROR(VLOOKUP(F115,AnsFTBL,2,0),0)</f>
        <v>0</v>
      </c>
      <c r="H115" s="203"/>
      <c r="I115" s="484"/>
      <c r="J115" s="264">
        <f>F115</f>
        <v>0</v>
      </c>
      <c r="K115" s="52">
        <f>IFERROR(VLOOKUP(J115,AnsFTBL,2,0),0)</f>
        <v>0</v>
      </c>
      <c r="L115" s="203"/>
      <c r="M115" s="484"/>
      <c r="N115" s="264">
        <f>J115</f>
        <v>0</v>
      </c>
      <c r="O115" s="52">
        <f>IFERROR(VLOOKUP(N115,AnsFTBL,2,0),0)</f>
        <v>0</v>
      </c>
      <c r="P115" s="203"/>
      <c r="Q115" s="484"/>
      <c r="R115" s="264">
        <f>N115</f>
        <v>0</v>
      </c>
      <c r="S115" s="52">
        <f>IFERROR(VLOOKUP(R115,AnsFTBL,2,0),0)</f>
        <v>0</v>
      </c>
      <c r="T115" s="203"/>
      <c r="U115" s="484"/>
      <c r="V115" s="264">
        <f>R115</f>
        <v>0</v>
      </c>
      <c r="W115" s="52">
        <f>IFERROR(VLOOKUP(V115,AnsFTBL,2,0),0)</f>
        <v>0</v>
      </c>
      <c r="X115" s="203"/>
      <c r="Y115" s="484"/>
    </row>
    <row r="116" spans="1:25" ht="28">
      <c r="A116" s="47" t="str">
        <f>Interview!A170</f>
        <v>V-RT-B-2-1</v>
      </c>
      <c r="B116" s="483"/>
      <c r="C116" s="303">
        <f>VLOOKUP(A116,'imp-questions'!A:H,5,0)</f>
        <v>2</v>
      </c>
      <c r="D116" s="49" t="str">
        <f>VLOOKUP(A116,'imp-questions'!A:H,6,0)</f>
        <v>Do you create abuse cases from functional requirements and use them to drive security tests?</v>
      </c>
      <c r="E116" s="50" t="str">
        <f>CHAR(65+VLOOKUP(A116,'imp-questions'!A:H,8,0))</f>
        <v>H</v>
      </c>
      <c r="F116" s="266">
        <f>Interview!F170</f>
        <v>0</v>
      </c>
      <c r="G116" s="52">
        <f>IFERROR(VLOOKUP(F116,AnsHTBL,2,0),0)</f>
        <v>0</v>
      </c>
      <c r="H116" s="203"/>
      <c r="I116" s="484"/>
      <c r="J116" s="264">
        <f>F116</f>
        <v>0</v>
      </c>
      <c r="K116" s="52">
        <f>IFERROR(VLOOKUP(J116,AnsHTBL,2,0),0)</f>
        <v>0</v>
      </c>
      <c r="L116" s="203"/>
      <c r="M116" s="484"/>
      <c r="N116" s="264">
        <f>J116</f>
        <v>0</v>
      </c>
      <c r="O116" s="52">
        <f>IFERROR(VLOOKUP(N116,AnsHTBL,2,0),0)</f>
        <v>0</v>
      </c>
      <c r="P116" s="203"/>
      <c r="Q116" s="484"/>
      <c r="R116" s="264">
        <f>N116</f>
        <v>0</v>
      </c>
      <c r="S116" s="52">
        <f>IFERROR(VLOOKUP(R116,AnsHTBL,2,0),0)</f>
        <v>0</v>
      </c>
      <c r="T116" s="203"/>
      <c r="U116" s="484"/>
      <c r="V116" s="264">
        <f>R116</f>
        <v>0</v>
      </c>
      <c r="W116" s="52">
        <f>IFERROR(VLOOKUP(V116,AnsHTBL,2,0),0)</f>
        <v>0</v>
      </c>
      <c r="X116" s="203"/>
      <c r="Y116" s="484"/>
    </row>
    <row r="117" spans="1:25">
      <c r="A117" s="47" t="str">
        <f>Interview!A172</f>
        <v>V-RT-B-3-1</v>
      </c>
      <c r="B117" s="483"/>
      <c r="C117" s="303">
        <f>VLOOKUP(A117,'imp-questions'!A:H,5,0)</f>
        <v>3</v>
      </c>
      <c r="D117" s="265" t="str">
        <f>VLOOKUP(A117,'imp-questions'!A:H,6,0)</f>
        <v>Do you perform denial of service and security stress testing?</v>
      </c>
      <c r="E117" s="50" t="str">
        <f>CHAR(65+VLOOKUP(A117,'imp-questions'!A:H,8,0))</f>
        <v>H</v>
      </c>
      <c r="F117" s="266">
        <f>Interview!F172</f>
        <v>0</v>
      </c>
      <c r="G117" s="52">
        <f>IFERROR(VLOOKUP(F117,AnsHTBL,2,0),0)</f>
        <v>0</v>
      </c>
      <c r="H117" s="203"/>
      <c r="I117" s="484"/>
      <c r="J117" s="264">
        <f>F117</f>
        <v>0</v>
      </c>
      <c r="K117" s="52">
        <f>IFERROR(VLOOKUP(J117,AnsHTBL,2,0),0)</f>
        <v>0</v>
      </c>
      <c r="L117" s="203"/>
      <c r="M117" s="484"/>
      <c r="N117" s="264">
        <f>J117</f>
        <v>0</v>
      </c>
      <c r="O117" s="52">
        <f>IFERROR(VLOOKUP(N117,AnsHTBL,2,0),0)</f>
        <v>0</v>
      </c>
      <c r="P117" s="203"/>
      <c r="Q117" s="484"/>
      <c r="R117" s="264">
        <f>N117</f>
        <v>0</v>
      </c>
      <c r="S117" s="52">
        <f>IFERROR(VLOOKUP(R117,AnsHTBL,2,0),0)</f>
        <v>0</v>
      </c>
      <c r="T117" s="203"/>
      <c r="U117" s="484"/>
      <c r="V117" s="264">
        <f>R117</f>
        <v>0</v>
      </c>
      <c r="W117" s="52">
        <f>IFERROR(VLOOKUP(V117,AnsHTBL,2,0),0)</f>
        <v>0</v>
      </c>
      <c r="X117" s="203"/>
      <c r="Y117" s="484"/>
    </row>
    <row r="118" spans="1:25" ht="13">
      <c r="A118" s="47"/>
      <c r="B118" s="267"/>
      <c r="C118" s="268"/>
      <c r="D118" s="304"/>
      <c r="E118" s="304"/>
      <c r="F118" s="304"/>
      <c r="G118" s="304"/>
      <c r="H118" s="304"/>
      <c r="I118" s="269"/>
      <c r="J118" s="304"/>
      <c r="K118" s="304"/>
      <c r="L118" s="304"/>
      <c r="M118" s="269"/>
      <c r="N118" s="304"/>
      <c r="O118" s="304"/>
      <c r="P118" s="304"/>
      <c r="Q118" s="269"/>
      <c r="R118" s="304"/>
      <c r="S118" s="304"/>
      <c r="T118" s="304"/>
      <c r="U118" s="269"/>
      <c r="V118" s="304"/>
      <c r="W118" s="304"/>
      <c r="X118" s="304"/>
      <c r="Y118" s="269"/>
    </row>
    <row r="119" spans="1:25">
      <c r="A119" s="47"/>
      <c r="B119" s="299" t="s">
        <v>49</v>
      </c>
      <c r="C119" s="300" t="s">
        <v>50</v>
      </c>
      <c r="D119" s="308" t="s">
        <v>159</v>
      </c>
      <c r="E119" s="309"/>
      <c r="F119" s="310" t="s">
        <v>52</v>
      </c>
      <c r="G119" s="310"/>
      <c r="H119" s="311"/>
      <c r="I119" s="302" t="s">
        <v>54</v>
      </c>
      <c r="J119" s="310" t="s">
        <v>52</v>
      </c>
      <c r="K119" s="310"/>
      <c r="L119" s="311"/>
      <c r="M119" s="302" t="s">
        <v>54</v>
      </c>
      <c r="N119" s="310" t="s">
        <v>52</v>
      </c>
      <c r="O119" s="310"/>
      <c r="P119" s="311"/>
      <c r="Q119" s="302" t="s">
        <v>54</v>
      </c>
      <c r="R119" s="310" t="s">
        <v>52</v>
      </c>
      <c r="S119" s="310"/>
      <c r="T119" s="311"/>
      <c r="U119" s="302" t="s">
        <v>54</v>
      </c>
      <c r="V119" s="310" t="s">
        <v>52</v>
      </c>
      <c r="W119" s="310"/>
      <c r="X119" s="311"/>
      <c r="Y119" s="302" t="s">
        <v>54</v>
      </c>
    </row>
    <row r="120" spans="1:25">
      <c r="A120" s="47" t="str">
        <f>Interview!A175</f>
        <v>V-ST-A-1-1</v>
      </c>
      <c r="B120" s="483" t="str">
        <f>VLOOKUP(A120,'imp-questions'!A:H,4,0)</f>
        <v>Scalable Baseline</v>
      </c>
      <c r="C120" s="303">
        <f>VLOOKUP(A120,'imp-questions'!A:H,5,0)</f>
        <v>1</v>
      </c>
      <c r="D120" s="49" t="str">
        <f>VLOOKUP(A120,'imp-questions'!A:H,6,0)</f>
        <v>Do you scan applications with automated security testing tools?</v>
      </c>
      <c r="E120" s="50" t="str">
        <f>CHAR(65+VLOOKUP(A120,'imp-questions'!A:H,8,0))</f>
        <v>C</v>
      </c>
      <c r="F120" s="270" t="str">
        <f>Interview!F175</f>
        <v>Yes, at least half of them</v>
      </c>
      <c r="G120" s="52">
        <f>IFERROR(VLOOKUP(F120,AnsCTBL,2,0),0)</f>
        <v>0.5</v>
      </c>
      <c r="H120" s="276">
        <f>IFERROR(AVERAGE(G120,G124),0)</f>
        <v>0.25</v>
      </c>
      <c r="I120" s="485">
        <f>SUM(H120:H122)</f>
        <v>0.875</v>
      </c>
      <c r="J120" s="264" t="str">
        <f>F120</f>
        <v>Yes, at least half of them</v>
      </c>
      <c r="K120" s="52">
        <f>IFERROR(VLOOKUP(J120,AnsCTBL,2,0),0)</f>
        <v>0.5</v>
      </c>
      <c r="L120" s="276">
        <f>IFERROR(AVERAGE(K120,K124),0)</f>
        <v>0.25</v>
      </c>
      <c r="M120" s="485">
        <f>SUM(L120:L122)</f>
        <v>0.875</v>
      </c>
      <c r="N120" s="264" t="str">
        <f>J120</f>
        <v>Yes, at least half of them</v>
      </c>
      <c r="O120" s="52">
        <f>IFERROR(VLOOKUP(N120,AnsCTBL,2,0),0)</f>
        <v>0.5</v>
      </c>
      <c r="P120" s="276">
        <f>IFERROR(AVERAGE(O120,O124),0)</f>
        <v>0.25</v>
      </c>
      <c r="Q120" s="485">
        <f>SUM(P120:P122)</f>
        <v>0.875</v>
      </c>
      <c r="R120" s="264" t="str">
        <f>N120</f>
        <v>Yes, at least half of them</v>
      </c>
      <c r="S120" s="52">
        <f>IFERROR(VLOOKUP(R120,AnsCTBL,2,0),0)</f>
        <v>0.5</v>
      </c>
      <c r="T120" s="276">
        <f>IFERROR(AVERAGE(S120,S124),0)</f>
        <v>0.25</v>
      </c>
      <c r="U120" s="485">
        <f>SUM(T120:T122)</f>
        <v>0.875</v>
      </c>
      <c r="V120" s="264" t="str">
        <f>R120</f>
        <v>Yes, at least half of them</v>
      </c>
      <c r="W120" s="52">
        <f>IFERROR(VLOOKUP(V120,AnsCTBL,2,0),0)</f>
        <v>0.5</v>
      </c>
      <c r="X120" s="276">
        <f>IFERROR(AVERAGE(W120,W124),0)</f>
        <v>0.25</v>
      </c>
      <c r="Y120" s="485">
        <f>SUM(X120:X122)</f>
        <v>0.875</v>
      </c>
    </row>
    <row r="121" spans="1:25" ht="28">
      <c r="A121" s="47" t="str">
        <f>Interview!A177</f>
        <v>V-ST-A-2-1</v>
      </c>
      <c r="B121" s="483"/>
      <c r="C121" s="303">
        <f>VLOOKUP(A121,'imp-questions'!A:H,5,0)</f>
        <v>2</v>
      </c>
      <c r="D121" s="49" t="str">
        <f>VLOOKUP(A121,'imp-questions'!A:H,6,0)</f>
        <v>Do you customize the automated security tools to your applications and technology stacks?</v>
      </c>
      <c r="E121" s="50" t="str">
        <f>CHAR(65+VLOOKUP(A121,'imp-questions'!A:H,8,0))</f>
        <v>C</v>
      </c>
      <c r="F121" s="266" t="str">
        <f>Interview!F177</f>
        <v>Yes, at least half of them</v>
      </c>
      <c r="G121" s="52">
        <f>IFERROR(VLOOKUP(F121,AnsCTBL,2,0),0)</f>
        <v>0.5</v>
      </c>
      <c r="H121" s="276">
        <f>IFERROR(AVERAGE(G121,G125),0)</f>
        <v>0.5</v>
      </c>
      <c r="I121" s="485"/>
      <c r="J121" s="264" t="str">
        <f>F121</f>
        <v>Yes, at least half of them</v>
      </c>
      <c r="K121" s="52">
        <f>IFERROR(VLOOKUP(J121,AnsCTBL,2,0),0)</f>
        <v>0.5</v>
      </c>
      <c r="L121" s="276">
        <f>IFERROR(AVERAGE(K121,K125),0)</f>
        <v>0.5</v>
      </c>
      <c r="M121" s="485"/>
      <c r="N121" s="264" t="str">
        <f>J121</f>
        <v>Yes, at least half of them</v>
      </c>
      <c r="O121" s="52">
        <f>IFERROR(VLOOKUP(N121,AnsCTBL,2,0),0)</f>
        <v>0.5</v>
      </c>
      <c r="P121" s="276">
        <f>IFERROR(AVERAGE(O121,O125),0)</f>
        <v>0.5</v>
      </c>
      <c r="Q121" s="485"/>
      <c r="R121" s="264" t="str">
        <f>N121</f>
        <v>Yes, at least half of them</v>
      </c>
      <c r="S121" s="52">
        <f>IFERROR(VLOOKUP(R121,AnsCTBL,2,0),0)</f>
        <v>0.5</v>
      </c>
      <c r="T121" s="276">
        <f>IFERROR(AVERAGE(S121,S125),0)</f>
        <v>0.5</v>
      </c>
      <c r="U121" s="485"/>
      <c r="V121" s="264" t="str">
        <f>R121</f>
        <v>Yes, at least half of them</v>
      </c>
      <c r="W121" s="52">
        <f>IFERROR(VLOOKUP(V121,AnsCTBL,2,0),0)</f>
        <v>0.5</v>
      </c>
      <c r="X121" s="276">
        <f>IFERROR(AVERAGE(W121,W125),0)</f>
        <v>0.5</v>
      </c>
      <c r="Y121" s="485"/>
    </row>
    <row r="122" spans="1:25">
      <c r="A122" s="47" t="str">
        <f>Interview!A179</f>
        <v>V-ST-A-3-1</v>
      </c>
      <c r="B122" s="483"/>
      <c r="C122" s="303">
        <f>VLOOKUP(A122,'imp-questions'!A:H,5,0)</f>
        <v>3</v>
      </c>
      <c r="D122" s="265" t="str">
        <f>VLOOKUP(A122,'imp-questions'!A:H,6,0)</f>
        <v>Do you integrate automated security testing into the build and deploy process?</v>
      </c>
      <c r="E122" s="50" t="str">
        <f>CHAR(65+VLOOKUP(A122,'imp-questions'!A:H,8,0))</f>
        <v>X</v>
      </c>
      <c r="F122" s="266" t="str">
        <f>Interview!F179</f>
        <v>Yes, some of it</v>
      </c>
      <c r="G122" s="52">
        <f>IFERROR(VLOOKUP(F122,AnsXTBL,2,0),0)</f>
        <v>0.25</v>
      </c>
      <c r="H122" s="276">
        <f>IFERROR(AVERAGE(G122,G126),0)</f>
        <v>0.125</v>
      </c>
      <c r="I122" s="485"/>
      <c r="J122" s="264" t="str">
        <f>F122</f>
        <v>Yes, some of it</v>
      </c>
      <c r="K122" s="52">
        <f>IFERROR(VLOOKUP(J122,AnsXTBL,2,0),0)</f>
        <v>0.25</v>
      </c>
      <c r="L122" s="276">
        <f>IFERROR(AVERAGE(K122,K126),0)</f>
        <v>0.125</v>
      </c>
      <c r="M122" s="485"/>
      <c r="N122" s="264" t="str">
        <f>J122</f>
        <v>Yes, some of it</v>
      </c>
      <c r="O122" s="52">
        <f>IFERROR(VLOOKUP(N122,AnsXTBL,2,0),0)</f>
        <v>0.25</v>
      </c>
      <c r="P122" s="276">
        <f>IFERROR(AVERAGE(O122,O126),0)</f>
        <v>0.125</v>
      </c>
      <c r="Q122" s="485"/>
      <c r="R122" s="264" t="str">
        <f>N122</f>
        <v>Yes, some of it</v>
      </c>
      <c r="S122" s="52">
        <f>IFERROR(VLOOKUP(R122,AnsXTBL,2,0),0)</f>
        <v>0.25</v>
      </c>
      <c r="T122" s="276">
        <f>IFERROR(AVERAGE(S122,S126),0)</f>
        <v>0.125</v>
      </c>
      <c r="U122" s="485"/>
      <c r="V122" s="264" t="str">
        <f>R122</f>
        <v>Yes, some of it</v>
      </c>
      <c r="W122" s="52">
        <f>IFERROR(VLOOKUP(V122,AnsXTBL,2,0),0)</f>
        <v>0.25</v>
      </c>
      <c r="X122" s="276">
        <f>IFERROR(AVERAGE(W122,W126),0)</f>
        <v>0.125</v>
      </c>
      <c r="Y122" s="485"/>
    </row>
    <row r="123" spans="1:25" ht="13">
      <c r="A123" s="47"/>
      <c r="B123" s="267"/>
      <c r="C123" s="268"/>
      <c r="D123" s="269"/>
      <c r="E123" s="269"/>
      <c r="F123" s="269"/>
      <c r="G123" s="269"/>
      <c r="H123" s="269"/>
      <c r="I123" s="485"/>
      <c r="J123" s="269"/>
      <c r="K123" s="269"/>
      <c r="L123" s="269"/>
      <c r="M123" s="485"/>
      <c r="N123" s="269"/>
      <c r="O123" s="269"/>
      <c r="P123" s="269"/>
      <c r="Q123" s="485"/>
      <c r="R123" s="269"/>
      <c r="S123" s="269"/>
      <c r="T123" s="269"/>
      <c r="U123" s="485"/>
      <c r="V123" s="269"/>
      <c r="W123" s="269"/>
      <c r="X123" s="269"/>
      <c r="Y123" s="485"/>
    </row>
    <row r="124" spans="1:25">
      <c r="A124" s="47" t="str">
        <f>Interview!A182</f>
        <v>V-ST-B-1-1</v>
      </c>
      <c r="B124" s="483" t="str">
        <f>VLOOKUP(A124,'imp-questions'!A:H,4,0)</f>
        <v>Deep Understanding</v>
      </c>
      <c r="C124" s="303">
        <f>VLOOKUP(A124,'imp-questions'!A:H,5,0)</f>
        <v>1</v>
      </c>
      <c r="D124" s="49" t="str">
        <f>VLOOKUP(A124,'imp-questions'!A:H,6,0)</f>
        <v>Do you manually review the security quality of selected high-risk components?</v>
      </c>
      <c r="E124" s="50" t="str">
        <f>CHAR(65+VLOOKUP(A124,'imp-questions'!A:H,8,0))</f>
        <v>M</v>
      </c>
      <c r="F124" s="270">
        <f>Interview!F182</f>
        <v>0</v>
      </c>
      <c r="G124" s="52">
        <f>IFERROR(VLOOKUP(F124,AnsMTBL,2,0),0)</f>
        <v>0</v>
      </c>
      <c r="H124" s="203"/>
      <c r="I124" s="485"/>
      <c r="J124" s="264">
        <f>F124</f>
        <v>0</v>
      </c>
      <c r="K124" s="52">
        <f>IFERROR(VLOOKUP(J124,AnsMTBL,2,0),0)</f>
        <v>0</v>
      </c>
      <c r="L124" s="203"/>
      <c r="M124" s="485"/>
      <c r="N124" s="264">
        <f>J124</f>
        <v>0</v>
      </c>
      <c r="O124" s="52">
        <f>IFERROR(VLOOKUP(N124,AnsMTBL,2,0),0)</f>
        <v>0</v>
      </c>
      <c r="P124" s="203"/>
      <c r="Q124" s="485"/>
      <c r="R124" s="264">
        <f>N124</f>
        <v>0</v>
      </c>
      <c r="S124" s="52">
        <f>IFERROR(VLOOKUP(R124,AnsMTBL,2,0),0)</f>
        <v>0</v>
      </c>
      <c r="T124" s="203"/>
      <c r="U124" s="485"/>
      <c r="V124" s="264">
        <f>R124</f>
        <v>0</v>
      </c>
      <c r="W124" s="52">
        <f>IFERROR(VLOOKUP(V124,AnsMTBL,2,0),0)</f>
        <v>0</v>
      </c>
      <c r="X124" s="203"/>
      <c r="Y124" s="485"/>
    </row>
    <row r="125" spans="1:25">
      <c r="A125" s="47" t="str">
        <f>Interview!A184</f>
        <v>V-ST-B-2-1</v>
      </c>
      <c r="B125" s="483"/>
      <c r="C125" s="303">
        <f>VLOOKUP(A125,'imp-questions'!A:H,5,0)</f>
        <v>2</v>
      </c>
      <c r="D125" s="49" t="str">
        <f>VLOOKUP(A125,'imp-questions'!A:H,6,0)</f>
        <v>Do you perform penetration testing for your applications at regular intervals?</v>
      </c>
      <c r="E125" s="50" t="str">
        <f>CHAR(65+VLOOKUP(A125,'imp-questions'!A:H,8,0))</f>
        <v>F</v>
      </c>
      <c r="F125" s="266" t="str">
        <f>Interview!F184</f>
        <v>Yes, for at least half of the applications</v>
      </c>
      <c r="G125" s="52">
        <f>IFERROR(VLOOKUP(F125,AnsFTBL,2,0),0)</f>
        <v>0.5</v>
      </c>
      <c r="H125" s="203"/>
      <c r="I125" s="485"/>
      <c r="J125" s="264" t="str">
        <f>F125</f>
        <v>Yes, for at least half of the applications</v>
      </c>
      <c r="K125" s="52">
        <f>IFERROR(VLOOKUP(J125,AnsFTBL,2,0),0)</f>
        <v>0.5</v>
      </c>
      <c r="L125" s="203"/>
      <c r="M125" s="485"/>
      <c r="N125" s="264" t="str">
        <f>J125</f>
        <v>Yes, for at least half of the applications</v>
      </c>
      <c r="O125" s="52">
        <f>IFERROR(VLOOKUP(N125,AnsFTBL,2,0),0)</f>
        <v>0.5</v>
      </c>
      <c r="P125" s="203"/>
      <c r="Q125" s="485"/>
      <c r="R125" s="264" t="str">
        <f>N125</f>
        <v>Yes, for at least half of the applications</v>
      </c>
      <c r="S125" s="52">
        <f>IFERROR(VLOOKUP(R125,AnsFTBL,2,0),0)</f>
        <v>0.5</v>
      </c>
      <c r="T125" s="203"/>
      <c r="U125" s="485"/>
      <c r="V125" s="264" t="str">
        <f>R125</f>
        <v>Yes, for at least half of the applications</v>
      </c>
      <c r="W125" s="52">
        <f>IFERROR(VLOOKUP(V125,AnsFTBL,2,0),0)</f>
        <v>0.5</v>
      </c>
      <c r="X125" s="203"/>
      <c r="Y125" s="485"/>
    </row>
    <row r="126" spans="1:25" ht="28">
      <c r="A126" s="47" t="str">
        <f>Interview!A186</f>
        <v>V-ST-B-3-1</v>
      </c>
      <c r="B126" s="483"/>
      <c r="C126" s="303">
        <f>VLOOKUP(A126,'imp-questions'!A:H,5,0)</f>
        <v>3</v>
      </c>
      <c r="D126" s="265" t="str">
        <f>VLOOKUP(A126,'imp-questions'!A:H,6,0)</f>
        <v>Do you use the results of security testing to improve the development lifecycle?</v>
      </c>
      <c r="E126" s="50" t="str">
        <f>CHAR(65+VLOOKUP(A126,'imp-questions'!A:H,8,0))</f>
        <v>T</v>
      </c>
      <c r="F126" s="266">
        <f>Interview!F186</f>
        <v>0</v>
      </c>
      <c r="G126" s="52">
        <f>IFERROR(VLOOKUP(F126,AnsTTBL,2,0),0)</f>
        <v>0</v>
      </c>
      <c r="H126" s="203"/>
      <c r="I126" s="485"/>
      <c r="J126" s="264">
        <f>F126</f>
        <v>0</v>
      </c>
      <c r="K126" s="52">
        <f>IFERROR(VLOOKUP(J126,AnsTTBL,2,0),0)</f>
        <v>0</v>
      </c>
      <c r="L126" s="203"/>
      <c r="M126" s="485"/>
      <c r="N126" s="264">
        <f>J126</f>
        <v>0</v>
      </c>
      <c r="O126" s="52">
        <f>IFERROR(VLOOKUP(N126,AnsTTBL,2,0),0)</f>
        <v>0</v>
      </c>
      <c r="P126" s="203"/>
      <c r="Q126" s="485"/>
      <c r="R126" s="264">
        <f>N126</f>
        <v>0</v>
      </c>
      <c r="S126" s="52">
        <f>IFERROR(VLOOKUP(R126,AnsTTBL,2,0),0)</f>
        <v>0</v>
      </c>
      <c r="T126" s="203"/>
      <c r="U126" s="485"/>
      <c r="V126" s="264">
        <f>R126</f>
        <v>0</v>
      </c>
      <c r="W126" s="52">
        <f>IFERROR(VLOOKUP(V126,AnsTTBL,2,0),0)</f>
        <v>0</v>
      </c>
      <c r="X126" s="203"/>
      <c r="Y126" s="485"/>
    </row>
    <row r="127" spans="1:25" ht="13">
      <c r="A127" s="47"/>
      <c r="B127" s="267"/>
      <c r="C127" s="268"/>
      <c r="D127" s="269"/>
      <c r="E127" s="269"/>
      <c r="F127" s="269"/>
      <c r="G127" s="269"/>
      <c r="H127" s="269"/>
      <c r="I127" s="269"/>
      <c r="J127" s="269"/>
      <c r="K127" s="269"/>
      <c r="L127" s="269"/>
      <c r="M127" s="269"/>
      <c r="N127" s="269"/>
      <c r="O127" s="269"/>
      <c r="P127" s="269"/>
      <c r="Q127" s="269"/>
      <c r="R127" s="269"/>
      <c r="S127" s="269"/>
      <c r="T127" s="269"/>
      <c r="U127" s="269"/>
      <c r="V127" s="269"/>
      <c r="W127" s="269"/>
      <c r="X127" s="269"/>
      <c r="Y127" s="269"/>
    </row>
    <row r="128" spans="1:25" ht="12.75" customHeight="1">
      <c r="A128" s="47"/>
      <c r="B128" s="312" t="s">
        <v>168</v>
      </c>
      <c r="C128" s="312"/>
      <c r="D128" s="313"/>
      <c r="E128" s="313"/>
      <c r="F128" s="481" t="s">
        <v>199</v>
      </c>
      <c r="G128" s="481"/>
      <c r="H128" s="481"/>
      <c r="I128" s="481"/>
      <c r="J128" s="482" t="s">
        <v>210</v>
      </c>
      <c r="K128" s="482"/>
      <c r="L128" s="482"/>
      <c r="M128" s="482"/>
      <c r="N128" s="482" t="s">
        <v>211</v>
      </c>
      <c r="O128" s="482"/>
      <c r="P128" s="482"/>
      <c r="Q128" s="482"/>
      <c r="R128" s="482" t="s">
        <v>212</v>
      </c>
      <c r="S128" s="482"/>
      <c r="T128" s="482"/>
      <c r="U128" s="482"/>
      <c r="V128" s="482" t="s">
        <v>213</v>
      </c>
      <c r="W128" s="482"/>
      <c r="X128" s="482"/>
      <c r="Y128" s="482"/>
    </row>
    <row r="129" spans="1:25">
      <c r="A129" s="47"/>
      <c r="B129" s="190" t="s">
        <v>49</v>
      </c>
      <c r="C129" s="314" t="s">
        <v>50</v>
      </c>
      <c r="D129" s="315" t="s">
        <v>169</v>
      </c>
      <c r="E129" s="316"/>
      <c r="F129" s="317" t="s">
        <v>52</v>
      </c>
      <c r="G129" s="317"/>
      <c r="H129" s="318"/>
      <c r="I129" s="319" t="s">
        <v>54</v>
      </c>
      <c r="J129" s="317" t="s">
        <v>52</v>
      </c>
      <c r="K129" s="317"/>
      <c r="L129" s="318"/>
      <c r="M129" s="319" t="s">
        <v>54</v>
      </c>
      <c r="N129" s="317" t="s">
        <v>52</v>
      </c>
      <c r="O129" s="317"/>
      <c r="P129" s="318"/>
      <c r="Q129" s="319" t="s">
        <v>54</v>
      </c>
      <c r="R129" s="317" t="s">
        <v>52</v>
      </c>
      <c r="S129" s="317"/>
      <c r="T129" s="318"/>
      <c r="U129" s="319" t="s">
        <v>54</v>
      </c>
      <c r="V129" s="317" t="s">
        <v>52</v>
      </c>
      <c r="W129" s="317"/>
      <c r="X129" s="318"/>
      <c r="Y129" s="319" t="s">
        <v>54</v>
      </c>
    </row>
    <row r="130" spans="1:25">
      <c r="A130" s="47" t="str">
        <f>Interview!A190</f>
        <v>O-IM-A-1-1</v>
      </c>
      <c r="B130" s="476" t="str">
        <f>VLOOKUP(A130,'imp-questions'!A:H,4,0)</f>
        <v>Incident Detection</v>
      </c>
      <c r="C130" s="320">
        <f>VLOOKUP(A130,'imp-questions'!A:H,5,0)</f>
        <v>1</v>
      </c>
      <c r="D130" s="49" t="str">
        <f>VLOOKUP(A130,'imp-questions'!A:H,6,0)</f>
        <v>Do you analyze log data for security incidents periodically?</v>
      </c>
      <c r="E130" s="50" t="str">
        <f>CHAR(65+VLOOKUP(A130,'imp-questions'!A:H,8,0))</f>
        <v>F</v>
      </c>
      <c r="F130" s="270">
        <f>Interview!F190</f>
        <v>0</v>
      </c>
      <c r="G130" s="52">
        <f>IFERROR(VLOOKUP(F130,AnsFTBL,2,0),0)</f>
        <v>0</v>
      </c>
      <c r="H130" s="276">
        <f>IFERROR(AVERAGE(G130,G134),0)</f>
        <v>0</v>
      </c>
      <c r="I130" s="477">
        <f>SUM(H130:H132)</f>
        <v>0</v>
      </c>
      <c r="J130" s="264">
        <f>F130</f>
        <v>0</v>
      </c>
      <c r="K130" s="52">
        <f>IFERROR(VLOOKUP(J130,AnsFTBL,2,0),0)</f>
        <v>0</v>
      </c>
      <c r="L130" s="276">
        <f>IFERROR(AVERAGE(K130,K134),0)</f>
        <v>0</v>
      </c>
      <c r="M130" s="477">
        <f>SUM(L130:L132)</f>
        <v>0</v>
      </c>
      <c r="N130" s="264">
        <f>J130</f>
        <v>0</v>
      </c>
      <c r="O130" s="52">
        <f>IFERROR(VLOOKUP(N130,AnsFTBL,2,0),0)</f>
        <v>0</v>
      </c>
      <c r="P130" s="276">
        <f>IFERROR(AVERAGE(O130,O134),0)</f>
        <v>0</v>
      </c>
      <c r="Q130" s="477">
        <f>SUM(P130:P132)</f>
        <v>0</v>
      </c>
      <c r="R130" s="264">
        <f>N130</f>
        <v>0</v>
      </c>
      <c r="S130" s="52">
        <f>IFERROR(VLOOKUP(R130,AnsFTBL,2,0),0)</f>
        <v>0</v>
      </c>
      <c r="T130" s="276">
        <f>IFERROR(AVERAGE(S130,S134),0)</f>
        <v>0</v>
      </c>
      <c r="U130" s="477">
        <f>SUM(T130:T132)</f>
        <v>0</v>
      </c>
      <c r="V130" s="264">
        <f>R130</f>
        <v>0</v>
      </c>
      <c r="W130" s="52">
        <f>IFERROR(VLOOKUP(V130,AnsFTBL,2,0),0)</f>
        <v>0</v>
      </c>
      <c r="X130" s="276">
        <f>IFERROR(AVERAGE(W130,W134),0)</f>
        <v>0</v>
      </c>
      <c r="Y130" s="477">
        <f>SUM(X130:X132)</f>
        <v>0</v>
      </c>
    </row>
    <row r="131" spans="1:25">
      <c r="A131" s="47" t="str">
        <f>Interview!A192</f>
        <v>O-IM-A-2-1</v>
      </c>
      <c r="B131" s="476"/>
      <c r="C131" s="320">
        <f>VLOOKUP(A131,'imp-questions'!A:H,5,0)</f>
        <v>2</v>
      </c>
      <c r="D131" s="49" t="str">
        <f>VLOOKUP(A131,'imp-questions'!A:H,6,0)</f>
        <v>Do you follow a documented process for incident detection?</v>
      </c>
      <c r="E131" s="50" t="str">
        <f>CHAR(65+VLOOKUP(A131,'imp-questions'!A:H,8,0))</f>
        <v>F</v>
      </c>
      <c r="F131" s="270">
        <f>Interview!F192</f>
        <v>0</v>
      </c>
      <c r="G131" s="52">
        <f>IFERROR(VLOOKUP(F131,AnsFTBL,2,0),0)</f>
        <v>0</v>
      </c>
      <c r="H131" s="276">
        <f>IFERROR(AVERAGE(G131,G135),0)</f>
        <v>0</v>
      </c>
      <c r="I131" s="477"/>
      <c r="J131" s="264">
        <f>F131</f>
        <v>0</v>
      </c>
      <c r="K131" s="52">
        <f>IFERROR(VLOOKUP(J131,AnsFTBL,2,0),0)</f>
        <v>0</v>
      </c>
      <c r="L131" s="276">
        <f>IFERROR(AVERAGE(K131,K135),0)</f>
        <v>0</v>
      </c>
      <c r="M131" s="477"/>
      <c r="N131" s="264">
        <f>J131</f>
        <v>0</v>
      </c>
      <c r="O131" s="52">
        <f>IFERROR(VLOOKUP(N131,AnsFTBL,2,0),0)</f>
        <v>0</v>
      </c>
      <c r="P131" s="276">
        <f>IFERROR(AVERAGE(O131,O135),0)</f>
        <v>0</v>
      </c>
      <c r="Q131" s="477"/>
      <c r="R131" s="264">
        <f>N131</f>
        <v>0</v>
      </c>
      <c r="S131" s="52">
        <f>IFERROR(VLOOKUP(R131,AnsFTBL,2,0),0)</f>
        <v>0</v>
      </c>
      <c r="T131" s="276">
        <f>IFERROR(AVERAGE(S131,S135),0)</f>
        <v>0</v>
      </c>
      <c r="U131" s="477"/>
      <c r="V131" s="264">
        <f>R131</f>
        <v>0</v>
      </c>
      <c r="W131" s="52">
        <f>IFERROR(VLOOKUP(V131,AnsFTBL,2,0),0)</f>
        <v>0</v>
      </c>
      <c r="X131" s="276">
        <f>IFERROR(AVERAGE(W131,W135),0)</f>
        <v>0</v>
      </c>
      <c r="Y131" s="477"/>
    </row>
    <row r="132" spans="1:25">
      <c r="A132" s="47" t="str">
        <f>Interview!A194</f>
        <v>O-IM-A-3-1</v>
      </c>
      <c r="B132" s="476"/>
      <c r="C132" s="320">
        <f>VLOOKUP(A132,'imp-questions'!A:H,5,0)</f>
        <v>3</v>
      </c>
      <c r="D132" s="265" t="str">
        <f>VLOOKUP(A132,'imp-questions'!A:H,6,0)</f>
        <v>Do you review and update the incident detection process regularly?</v>
      </c>
      <c r="E132" s="50" t="str">
        <f>CHAR(65+VLOOKUP(A132,'imp-questions'!A:H,8,0))</f>
        <v>F</v>
      </c>
      <c r="F132" s="270">
        <f>Interview!F194</f>
        <v>0</v>
      </c>
      <c r="G132" s="52">
        <f>IFERROR(VLOOKUP(F132,AnsFTBL,2,0),0)</f>
        <v>0</v>
      </c>
      <c r="H132" s="276">
        <f>IFERROR(AVERAGE(G132,G136),0)</f>
        <v>0</v>
      </c>
      <c r="I132" s="477"/>
      <c r="J132" s="264">
        <f>F132</f>
        <v>0</v>
      </c>
      <c r="K132" s="52">
        <f>IFERROR(VLOOKUP(J132,AnsFTBL,2,0),0)</f>
        <v>0</v>
      </c>
      <c r="L132" s="276">
        <f>IFERROR(AVERAGE(K132,K136),0)</f>
        <v>0</v>
      </c>
      <c r="M132" s="477"/>
      <c r="N132" s="264">
        <f>J132</f>
        <v>0</v>
      </c>
      <c r="O132" s="52">
        <f>IFERROR(VLOOKUP(N132,AnsFTBL,2,0),0)</f>
        <v>0</v>
      </c>
      <c r="P132" s="276">
        <f>IFERROR(AVERAGE(O132,O136),0)</f>
        <v>0</v>
      </c>
      <c r="Q132" s="477"/>
      <c r="R132" s="264">
        <f>N132</f>
        <v>0</v>
      </c>
      <c r="S132" s="52">
        <f>IFERROR(VLOOKUP(R132,AnsFTBL,2,0),0)</f>
        <v>0</v>
      </c>
      <c r="T132" s="276">
        <f>IFERROR(AVERAGE(S132,S136),0)</f>
        <v>0</v>
      </c>
      <c r="U132" s="477"/>
      <c r="V132" s="264">
        <f>R132</f>
        <v>0</v>
      </c>
      <c r="W132" s="52">
        <f>IFERROR(VLOOKUP(V132,AnsFTBL,2,0),0)</f>
        <v>0</v>
      </c>
      <c r="X132" s="276">
        <f>IFERROR(AVERAGE(W132,W136),0)</f>
        <v>0</v>
      </c>
      <c r="Y132" s="477"/>
    </row>
    <row r="133" spans="1:25" ht="13">
      <c r="A133" s="47"/>
      <c r="B133" s="289"/>
      <c r="C133" s="268"/>
      <c r="D133" s="269"/>
      <c r="E133" s="269"/>
      <c r="F133" s="269"/>
      <c r="G133" s="269"/>
      <c r="H133" s="269"/>
      <c r="I133" s="477"/>
      <c r="J133" s="269"/>
      <c r="K133" s="269"/>
      <c r="L133" s="269"/>
      <c r="M133" s="477"/>
      <c r="N133" s="269"/>
      <c r="O133" s="269"/>
      <c r="P133" s="269"/>
      <c r="Q133" s="477"/>
      <c r="R133" s="269"/>
      <c r="S133" s="269"/>
      <c r="T133" s="269"/>
      <c r="U133" s="477"/>
      <c r="V133" s="269"/>
      <c r="W133" s="269"/>
      <c r="X133" s="269"/>
      <c r="Y133" s="477"/>
    </row>
    <row r="134" spans="1:25">
      <c r="A134" s="47" t="str">
        <f>Interview!A197</f>
        <v>O-IM-B-1-1</v>
      </c>
      <c r="B134" s="478" t="str">
        <f>VLOOKUP(A134,'imp-questions'!A:H,4,0)</f>
        <v>Incident Response</v>
      </c>
      <c r="C134" s="320">
        <f>VLOOKUP(A134,'imp-questions'!A:H,5,0)</f>
        <v>1</v>
      </c>
      <c r="D134" s="49" t="str">
        <f>VLOOKUP(A134,'imp-questions'!A:H,6,0)</f>
        <v>Do you respond to detected incidents?</v>
      </c>
      <c r="E134" s="50" t="str">
        <f>CHAR(65+VLOOKUP(A134,'imp-questions'!A:H,8,0))</f>
        <v>R</v>
      </c>
      <c r="F134" s="270">
        <f>Interview!F197</f>
        <v>0</v>
      </c>
      <c r="G134" s="52">
        <f>IFERROR(VLOOKUP(F134,AnsRTBL,2,0),0)</f>
        <v>0</v>
      </c>
      <c r="H134" s="203"/>
      <c r="I134" s="477"/>
      <c r="J134" s="264">
        <f>F134</f>
        <v>0</v>
      </c>
      <c r="K134" s="52">
        <f>IFERROR(VLOOKUP(J134,AnsRTBL,2,0),0)</f>
        <v>0</v>
      </c>
      <c r="L134" s="203"/>
      <c r="M134" s="477"/>
      <c r="N134" s="264">
        <f>J134</f>
        <v>0</v>
      </c>
      <c r="O134" s="52">
        <f>IFERROR(VLOOKUP(N134,AnsRTBL,2,0),0)</f>
        <v>0</v>
      </c>
      <c r="P134" s="203"/>
      <c r="Q134" s="477"/>
      <c r="R134" s="264">
        <f>N134</f>
        <v>0</v>
      </c>
      <c r="S134" s="52">
        <f>IFERROR(VLOOKUP(R134,AnsRTBL,2,0),0)</f>
        <v>0</v>
      </c>
      <c r="T134" s="203"/>
      <c r="U134" s="477"/>
      <c r="V134" s="264">
        <f>R134</f>
        <v>0</v>
      </c>
      <c r="W134" s="52">
        <f>IFERROR(VLOOKUP(V134,AnsRTBL,2,0),0)</f>
        <v>0</v>
      </c>
      <c r="X134" s="203"/>
      <c r="Y134" s="477"/>
    </row>
    <row r="135" spans="1:25">
      <c r="A135" s="47" t="str">
        <f>Interview!A199</f>
        <v>O-IM-B-2-1</v>
      </c>
      <c r="B135" s="478"/>
      <c r="C135" s="320">
        <f>VLOOKUP(A135,'imp-questions'!A:H,5,0)</f>
        <v>2</v>
      </c>
      <c r="D135" s="49" t="str">
        <f>VLOOKUP(A135,'imp-questions'!A:H,6,0)</f>
        <v>Do you use a repeatable process for incident handling?</v>
      </c>
      <c r="E135" s="50" t="str">
        <f>CHAR(65+VLOOKUP(A135,'imp-questions'!A:H,8,0))</f>
        <v>Q</v>
      </c>
      <c r="F135" s="266">
        <f>Interview!F199</f>
        <v>0</v>
      </c>
      <c r="G135" s="52">
        <f>IFERROR(VLOOKUP(F135,AnsQTBL,2,0),0)</f>
        <v>0</v>
      </c>
      <c r="H135" s="203"/>
      <c r="I135" s="477"/>
      <c r="J135" s="264">
        <f>F135</f>
        <v>0</v>
      </c>
      <c r="K135" s="52">
        <f>IFERROR(VLOOKUP(J135,AnsQTBL,2,0),0)</f>
        <v>0</v>
      </c>
      <c r="L135" s="203"/>
      <c r="M135" s="477"/>
      <c r="N135" s="264">
        <f>J135</f>
        <v>0</v>
      </c>
      <c r="O135" s="52">
        <f>IFERROR(VLOOKUP(N135,AnsQTBL,2,0),0)</f>
        <v>0</v>
      </c>
      <c r="P135" s="203"/>
      <c r="Q135" s="477"/>
      <c r="R135" s="264">
        <f>N135</f>
        <v>0</v>
      </c>
      <c r="S135" s="52">
        <f>IFERROR(VLOOKUP(R135,AnsQTBL,2,0),0)</f>
        <v>0</v>
      </c>
      <c r="T135" s="203"/>
      <c r="U135" s="477"/>
      <c r="V135" s="264">
        <f>R135</f>
        <v>0</v>
      </c>
      <c r="W135" s="52">
        <f>IFERROR(VLOOKUP(V135,AnsQTBL,2,0),0)</f>
        <v>0</v>
      </c>
      <c r="X135" s="203"/>
      <c r="Y135" s="477"/>
    </row>
    <row r="136" spans="1:25">
      <c r="A136" s="47" t="str">
        <f>Interview!A201</f>
        <v>O-IM-B-3-1</v>
      </c>
      <c r="B136" s="478"/>
      <c r="C136" s="320">
        <f>VLOOKUP(A136,'imp-questions'!A:H,5,0)</f>
        <v>3</v>
      </c>
      <c r="D136" s="265" t="str">
        <f>VLOOKUP(A136,'imp-questions'!A:H,6,0)</f>
        <v>Do you have a dedicated incident response team available?</v>
      </c>
      <c r="E136" s="50" t="str">
        <f>CHAR(65+VLOOKUP(A136,'imp-questions'!A:H,8,0))</f>
        <v>H</v>
      </c>
      <c r="F136" s="266">
        <f>Interview!F201</f>
        <v>0</v>
      </c>
      <c r="G136" s="52">
        <f>IFERROR(VLOOKUP(F136,AnsHTBL,2,0),0)</f>
        <v>0</v>
      </c>
      <c r="H136" s="203"/>
      <c r="I136" s="477"/>
      <c r="J136" s="264">
        <f>F136</f>
        <v>0</v>
      </c>
      <c r="K136" s="52">
        <f>IFERROR(VLOOKUP(J136,AnsHTBL,2,0),0)</f>
        <v>0</v>
      </c>
      <c r="L136" s="203"/>
      <c r="M136" s="477"/>
      <c r="N136" s="264">
        <f>J136</f>
        <v>0</v>
      </c>
      <c r="O136" s="52">
        <f>IFERROR(VLOOKUP(N136,AnsHTBL,2,0),0)</f>
        <v>0</v>
      </c>
      <c r="P136" s="203"/>
      <c r="Q136" s="477"/>
      <c r="R136" s="264">
        <f>N136</f>
        <v>0</v>
      </c>
      <c r="S136" s="52">
        <f>IFERROR(VLOOKUP(R136,AnsHTBL,2,0),0)</f>
        <v>0</v>
      </c>
      <c r="T136" s="203"/>
      <c r="U136" s="477"/>
      <c r="V136" s="264">
        <f>R136</f>
        <v>0</v>
      </c>
      <c r="W136" s="52">
        <f>IFERROR(VLOOKUP(V136,AnsHTBL,2,0),0)</f>
        <v>0</v>
      </c>
      <c r="X136" s="203"/>
      <c r="Y136" s="477"/>
    </row>
    <row r="137" spans="1:25" ht="13">
      <c r="A137" s="47"/>
      <c r="B137" s="289"/>
      <c r="C137" s="268"/>
      <c r="D137" s="269"/>
      <c r="E137" s="269"/>
      <c r="F137" s="269"/>
      <c r="G137" s="269"/>
      <c r="H137" s="269"/>
      <c r="I137" s="269"/>
      <c r="J137" s="269"/>
      <c r="K137" s="269"/>
      <c r="L137" s="269"/>
      <c r="M137" s="269"/>
      <c r="N137" s="269"/>
      <c r="O137" s="269"/>
      <c r="P137" s="269"/>
      <c r="Q137" s="269"/>
      <c r="R137" s="269"/>
      <c r="S137" s="269"/>
      <c r="T137" s="269"/>
      <c r="U137" s="269"/>
      <c r="V137" s="269"/>
      <c r="W137" s="269"/>
      <c r="X137" s="269"/>
      <c r="Y137" s="269"/>
    </row>
    <row r="138" spans="1:25">
      <c r="A138" s="47"/>
      <c r="B138" s="190" t="s">
        <v>49</v>
      </c>
      <c r="C138" s="314" t="s">
        <v>50</v>
      </c>
      <c r="D138" s="321" t="s">
        <v>176</v>
      </c>
      <c r="E138" s="183"/>
      <c r="F138" s="182" t="s">
        <v>52</v>
      </c>
      <c r="G138" s="182"/>
      <c r="H138" s="184"/>
      <c r="I138" s="319" t="s">
        <v>54</v>
      </c>
      <c r="J138" s="182" t="s">
        <v>52</v>
      </c>
      <c r="K138" s="182"/>
      <c r="L138" s="184"/>
      <c r="M138" s="319" t="s">
        <v>54</v>
      </c>
      <c r="N138" s="182" t="s">
        <v>52</v>
      </c>
      <c r="O138" s="182"/>
      <c r="P138" s="184"/>
      <c r="Q138" s="319" t="s">
        <v>54</v>
      </c>
      <c r="R138" s="182" t="s">
        <v>52</v>
      </c>
      <c r="S138" s="182"/>
      <c r="T138" s="184"/>
      <c r="U138" s="319" t="s">
        <v>54</v>
      </c>
      <c r="V138" s="182" t="s">
        <v>52</v>
      </c>
      <c r="W138" s="182"/>
      <c r="X138" s="184"/>
      <c r="Y138" s="319" t="s">
        <v>54</v>
      </c>
    </row>
    <row r="139" spans="1:25">
      <c r="A139" s="47" t="str">
        <f>Interview!A204</f>
        <v>O-EM-A-1-1</v>
      </c>
      <c r="B139" s="476" t="str">
        <f>VLOOKUP(A139,'imp-questions'!A:H,4,0)</f>
        <v>Configuration Hardening</v>
      </c>
      <c r="C139" s="320">
        <f>VLOOKUP(A139,'imp-questions'!A:H,5,0)</f>
        <v>1</v>
      </c>
      <c r="D139" s="49" t="str">
        <f>VLOOKUP(A139,'imp-questions'!A:H,6,0)</f>
        <v>Do you harden configurations for key components of your technology stacks?</v>
      </c>
      <c r="E139" s="50" t="str">
        <f>CHAR(65+VLOOKUP(A139,'imp-questions'!A:H,8,0))</f>
        <v>M</v>
      </c>
      <c r="F139" s="270" t="str">
        <f>Interview!F204</f>
        <v>Yes, for at least half of the components</v>
      </c>
      <c r="G139" s="52">
        <f>IFERROR(VLOOKUP(F139,AnsMTBL,2,0),0)</f>
        <v>0.5</v>
      </c>
      <c r="H139" s="276">
        <f>IFERROR(AVERAGE(G139,G143),0)</f>
        <v>0.25</v>
      </c>
      <c r="I139" s="477">
        <f>SUM(H139:H141)</f>
        <v>0.375</v>
      </c>
      <c r="J139" s="264" t="str">
        <f>F139</f>
        <v>Yes, for at least half of the components</v>
      </c>
      <c r="K139" s="52">
        <f>IFERROR(VLOOKUP(J139,AnsMTBL,2,0),0)</f>
        <v>0.5</v>
      </c>
      <c r="L139" s="276">
        <f>IFERROR(AVERAGE(K139,K143),0)</f>
        <v>0.25</v>
      </c>
      <c r="M139" s="477">
        <f>SUM(L139:L141)</f>
        <v>0.375</v>
      </c>
      <c r="N139" s="264" t="str">
        <f>J139</f>
        <v>Yes, for at least half of the components</v>
      </c>
      <c r="O139" s="52">
        <f>IFERROR(VLOOKUP(N139,AnsMTBL,2,0),0)</f>
        <v>0.5</v>
      </c>
      <c r="P139" s="276">
        <f>IFERROR(AVERAGE(O139,O143),0)</f>
        <v>0.25</v>
      </c>
      <c r="Q139" s="477">
        <f>SUM(P139:P141)</f>
        <v>0.375</v>
      </c>
      <c r="R139" s="264" t="str">
        <f>N139</f>
        <v>Yes, for at least half of the components</v>
      </c>
      <c r="S139" s="52">
        <f>IFERROR(VLOOKUP(R139,AnsMTBL,2,0),0)</f>
        <v>0.5</v>
      </c>
      <c r="T139" s="276">
        <f>IFERROR(AVERAGE(S139,S143),0)</f>
        <v>0.25</v>
      </c>
      <c r="U139" s="477">
        <f>SUM(T139:T141)</f>
        <v>0.375</v>
      </c>
      <c r="V139" s="264" t="str">
        <f>R139</f>
        <v>Yes, for at least half of the components</v>
      </c>
      <c r="W139" s="52">
        <f>IFERROR(VLOOKUP(V139,AnsMTBL,2,0),0)</f>
        <v>0.5</v>
      </c>
      <c r="X139" s="276">
        <f>IFERROR(AVERAGE(W139,W143),0)</f>
        <v>0.25</v>
      </c>
      <c r="Y139" s="477">
        <f>SUM(X139:X141)</f>
        <v>0.375</v>
      </c>
    </row>
    <row r="140" spans="1:25">
      <c r="A140" s="47" t="str">
        <f>Interview!A206</f>
        <v>O-EM-A-2-1</v>
      </c>
      <c r="B140" s="476"/>
      <c r="C140" s="320">
        <f>VLOOKUP(A140,'imp-questions'!A:H,5,0)</f>
        <v>2</v>
      </c>
      <c r="D140" s="49" t="str">
        <f>VLOOKUP(A140,'imp-questions'!A:H,6,0)</f>
        <v>Do you have hardening baselines for your components?</v>
      </c>
      <c r="E140" s="50" t="str">
        <f>CHAR(65+VLOOKUP(A140,'imp-questions'!A:H,8,0))</f>
        <v>M</v>
      </c>
      <c r="F140" s="322" t="str">
        <f>Interview!F206</f>
        <v>Yes, for some components</v>
      </c>
      <c r="G140" s="52">
        <f>IFERROR(VLOOKUP(F140,AnsMTBL,2,0),0)</f>
        <v>0.25</v>
      </c>
      <c r="H140" s="276">
        <f>IFERROR(AVERAGE(G140,G144),0)</f>
        <v>0.125</v>
      </c>
      <c r="I140" s="477"/>
      <c r="J140" s="264" t="str">
        <f>F140</f>
        <v>Yes, for some components</v>
      </c>
      <c r="K140" s="52">
        <f>IFERROR(VLOOKUP(J140,AnsMTBL,2,0),0)</f>
        <v>0.25</v>
      </c>
      <c r="L140" s="276">
        <f>IFERROR(AVERAGE(K140,K144),0)</f>
        <v>0.125</v>
      </c>
      <c r="M140" s="477"/>
      <c r="N140" s="264" t="str">
        <f>J140</f>
        <v>Yes, for some components</v>
      </c>
      <c r="O140" s="52">
        <f>IFERROR(VLOOKUP(N140,AnsMTBL,2,0),0)</f>
        <v>0.25</v>
      </c>
      <c r="P140" s="276">
        <f>IFERROR(AVERAGE(O140,O144),0)</f>
        <v>0.125</v>
      </c>
      <c r="Q140" s="477"/>
      <c r="R140" s="264" t="str">
        <f>N140</f>
        <v>Yes, for some components</v>
      </c>
      <c r="S140" s="52">
        <f>IFERROR(VLOOKUP(R140,AnsMTBL,2,0),0)</f>
        <v>0.25</v>
      </c>
      <c r="T140" s="276">
        <f>IFERROR(AVERAGE(S140,S144),0)</f>
        <v>0.125</v>
      </c>
      <c r="U140" s="477"/>
      <c r="V140" s="264" t="str">
        <f>R140</f>
        <v>Yes, for some components</v>
      </c>
      <c r="W140" s="52">
        <f>IFERROR(VLOOKUP(V140,AnsMTBL,2,0),0)</f>
        <v>0.25</v>
      </c>
      <c r="X140" s="276">
        <f>IFERROR(AVERAGE(W140,W144),0)</f>
        <v>0.125</v>
      </c>
      <c r="Y140" s="477"/>
    </row>
    <row r="141" spans="1:25">
      <c r="A141" s="47" t="str">
        <f>Interview!A208</f>
        <v>O-EM-A-3-1</v>
      </c>
      <c r="B141" s="476"/>
      <c r="C141" s="320">
        <f>VLOOKUP(A141,'imp-questions'!A:H,5,0)</f>
        <v>3</v>
      </c>
      <c r="D141" s="265" t="str">
        <f>VLOOKUP(A141,'imp-questions'!A:H,6,0)</f>
        <v>Do you monitor and enforce conformity with hardening baselines?</v>
      </c>
      <c r="E141" s="50" t="str">
        <f>CHAR(65+VLOOKUP(A141,'imp-questions'!A:H,8,0))</f>
        <v>M</v>
      </c>
      <c r="F141" s="270">
        <f>Interview!F208</f>
        <v>0</v>
      </c>
      <c r="G141" s="52">
        <f>IFERROR(VLOOKUP(F141,AnsMTBL,2,0),0)</f>
        <v>0</v>
      </c>
      <c r="H141" s="276">
        <f>IFERROR(AVERAGE(G141,G145),0)</f>
        <v>0</v>
      </c>
      <c r="I141" s="477"/>
      <c r="J141" s="264">
        <f>F141</f>
        <v>0</v>
      </c>
      <c r="K141" s="52">
        <f>IFERROR(VLOOKUP(J141,AnsMTBL,2,0),0)</f>
        <v>0</v>
      </c>
      <c r="L141" s="276">
        <f>IFERROR(AVERAGE(K141,K145),0)</f>
        <v>0</v>
      </c>
      <c r="M141" s="477"/>
      <c r="N141" s="264">
        <f>J141</f>
        <v>0</v>
      </c>
      <c r="O141" s="52">
        <f>IFERROR(VLOOKUP(N141,AnsMTBL,2,0),0)</f>
        <v>0</v>
      </c>
      <c r="P141" s="276">
        <f>IFERROR(AVERAGE(O141,O145),0)</f>
        <v>0</v>
      </c>
      <c r="Q141" s="477"/>
      <c r="R141" s="264">
        <f>N141</f>
        <v>0</v>
      </c>
      <c r="S141" s="52">
        <f>IFERROR(VLOOKUP(R141,AnsMTBL,2,0),0)</f>
        <v>0</v>
      </c>
      <c r="T141" s="276">
        <f>IFERROR(AVERAGE(S141,S145),0)</f>
        <v>0</v>
      </c>
      <c r="U141" s="477"/>
      <c r="V141" s="264">
        <f>R141</f>
        <v>0</v>
      </c>
      <c r="W141" s="52">
        <f>IFERROR(VLOOKUP(V141,AnsMTBL,2,0),0)</f>
        <v>0</v>
      </c>
      <c r="X141" s="276">
        <f>IFERROR(AVERAGE(W141,W145),0)</f>
        <v>0</v>
      </c>
      <c r="Y141" s="477"/>
    </row>
    <row r="142" spans="1:25" ht="13">
      <c r="A142" s="47"/>
      <c r="B142" s="289"/>
      <c r="C142" s="268"/>
      <c r="D142" s="269"/>
      <c r="E142" s="269"/>
      <c r="F142" s="269"/>
      <c r="G142" s="269"/>
      <c r="H142" s="269"/>
      <c r="I142" s="477"/>
      <c r="J142" s="269"/>
      <c r="K142" s="269"/>
      <c r="L142" s="269"/>
      <c r="M142" s="477"/>
      <c r="N142" s="269"/>
      <c r="O142" s="269"/>
      <c r="P142" s="269"/>
      <c r="Q142" s="477"/>
      <c r="R142" s="269"/>
      <c r="S142" s="269"/>
      <c r="T142" s="269"/>
      <c r="U142" s="477"/>
      <c r="V142" s="269"/>
      <c r="W142" s="269"/>
      <c r="X142" s="269"/>
      <c r="Y142" s="477"/>
    </row>
    <row r="143" spans="1:25">
      <c r="A143" s="47" t="str">
        <f>Interview!A211</f>
        <v>O-EM-B-1-1</v>
      </c>
      <c r="B143" s="478" t="str">
        <f>VLOOKUP(A143,'imp-questions'!A:H,4,0)</f>
        <v>Patching and Updating</v>
      </c>
      <c r="C143" s="320">
        <f>VLOOKUP(A143,'imp-questions'!A:H,5,0)</f>
        <v>1</v>
      </c>
      <c r="D143" s="49" t="str">
        <f>VLOOKUP(A143,'imp-questions'!A:H,6,0)</f>
        <v>Do you identify and patch vulnerable components?</v>
      </c>
      <c r="E143" s="50" t="str">
        <f>CHAR(65+VLOOKUP(A143,'imp-questions'!A:H,8,0))</f>
        <v>M</v>
      </c>
      <c r="F143" s="270">
        <f>Interview!F211</f>
        <v>0</v>
      </c>
      <c r="G143" s="52">
        <f>IFERROR(VLOOKUP(F143,AnsMTBL,2,0),0)</f>
        <v>0</v>
      </c>
      <c r="H143" s="203"/>
      <c r="I143" s="477"/>
      <c r="J143" s="264">
        <f>F143</f>
        <v>0</v>
      </c>
      <c r="K143" s="52">
        <f>IFERROR(VLOOKUP(J143,AnsMTBL,2,0),0)</f>
        <v>0</v>
      </c>
      <c r="L143" s="203"/>
      <c r="M143" s="477"/>
      <c r="N143" s="264">
        <f>J143</f>
        <v>0</v>
      </c>
      <c r="O143" s="52">
        <f>IFERROR(VLOOKUP(N143,AnsMTBL,2,0),0)</f>
        <v>0</v>
      </c>
      <c r="P143" s="203"/>
      <c r="Q143" s="477"/>
      <c r="R143" s="264">
        <f>N143</f>
        <v>0</v>
      </c>
      <c r="S143" s="52">
        <f>IFERROR(VLOOKUP(R143,AnsMTBL,2,0),0)</f>
        <v>0</v>
      </c>
      <c r="T143" s="203"/>
      <c r="U143" s="477"/>
      <c r="V143" s="264">
        <f>R143</f>
        <v>0</v>
      </c>
      <c r="W143" s="52">
        <f>IFERROR(VLOOKUP(V143,AnsMTBL,2,0),0)</f>
        <v>0</v>
      </c>
      <c r="X143" s="203"/>
      <c r="Y143" s="477"/>
    </row>
    <row r="144" spans="1:25" ht="28">
      <c r="A144" s="47" t="str">
        <f>Interview!A213</f>
        <v>O-EM-B-2-1</v>
      </c>
      <c r="B144" s="478"/>
      <c r="C144" s="320">
        <f>VLOOKUP(A144,'imp-questions'!A:H,5,0)</f>
        <v>2</v>
      </c>
      <c r="D144" s="49" t="str">
        <f>VLOOKUP(A144,'imp-questions'!A:H,6,0)</f>
        <v>Do you follow an established process for updating components of your technology stacks?</v>
      </c>
      <c r="E144" s="50" t="str">
        <f>CHAR(65+VLOOKUP(A144,'imp-questions'!A:H,8,0))</f>
        <v>M</v>
      </c>
      <c r="F144" s="266">
        <f>Interview!F213</f>
        <v>0</v>
      </c>
      <c r="G144" s="52">
        <f>IFERROR(VLOOKUP(F144,AnsMTBL,2,0),0)</f>
        <v>0</v>
      </c>
      <c r="H144" s="203"/>
      <c r="I144" s="477"/>
      <c r="J144" s="264">
        <f>F144</f>
        <v>0</v>
      </c>
      <c r="K144" s="52">
        <f>IFERROR(VLOOKUP(J144,AnsMTBL,2,0),0)</f>
        <v>0</v>
      </c>
      <c r="L144" s="203"/>
      <c r="M144" s="477"/>
      <c r="N144" s="264">
        <f>J144</f>
        <v>0</v>
      </c>
      <c r="O144" s="52">
        <f>IFERROR(VLOOKUP(N144,AnsMTBL,2,0),0)</f>
        <v>0</v>
      </c>
      <c r="P144" s="203"/>
      <c r="Q144" s="477"/>
      <c r="R144" s="264">
        <f>N144</f>
        <v>0</v>
      </c>
      <c r="S144" s="52">
        <f>IFERROR(VLOOKUP(R144,AnsMTBL,2,0),0)</f>
        <v>0</v>
      </c>
      <c r="T144" s="203"/>
      <c r="U144" s="477"/>
      <c r="V144" s="264">
        <f>R144</f>
        <v>0</v>
      </c>
      <c r="W144" s="52">
        <f>IFERROR(VLOOKUP(V144,AnsMTBL,2,0),0)</f>
        <v>0</v>
      </c>
      <c r="X144" s="203"/>
      <c r="Y144" s="477"/>
    </row>
    <row r="145" spans="1:25">
      <c r="A145" s="47" t="str">
        <f>Interview!A215</f>
        <v>O-EM-B-3-1</v>
      </c>
      <c r="B145" s="478"/>
      <c r="C145" s="320">
        <f>VLOOKUP(A145,'imp-questions'!A:H,5,0)</f>
        <v>3</v>
      </c>
      <c r="D145" s="265" t="str">
        <f>VLOOKUP(A145,'imp-questions'!A:H,6,0)</f>
        <v>Do you regularly evaluate components and review patch level status?</v>
      </c>
      <c r="E145" s="50" t="str">
        <f>CHAR(65+VLOOKUP(A145,'imp-questions'!A:H,8,0))</f>
        <v>M</v>
      </c>
      <c r="F145" s="266">
        <f>Interview!F215</f>
        <v>0</v>
      </c>
      <c r="G145" s="52">
        <f>IFERROR(VLOOKUP(F145,AnsMTBL,2,0),0)</f>
        <v>0</v>
      </c>
      <c r="H145" s="203"/>
      <c r="I145" s="477"/>
      <c r="J145" s="264">
        <f>F145</f>
        <v>0</v>
      </c>
      <c r="K145" s="52">
        <f>IFERROR(VLOOKUP(J145,AnsMTBL,2,0),0)</f>
        <v>0</v>
      </c>
      <c r="L145" s="203"/>
      <c r="M145" s="477"/>
      <c r="N145" s="264">
        <f>J145</f>
        <v>0</v>
      </c>
      <c r="O145" s="52">
        <f>IFERROR(VLOOKUP(N145,AnsMTBL,2,0),0)</f>
        <v>0</v>
      </c>
      <c r="P145" s="203"/>
      <c r="Q145" s="477"/>
      <c r="R145" s="264">
        <f>N145</f>
        <v>0</v>
      </c>
      <c r="S145" s="52">
        <f>IFERROR(VLOOKUP(R145,AnsMTBL,2,0),0)</f>
        <v>0</v>
      </c>
      <c r="T145" s="203"/>
      <c r="U145" s="477"/>
      <c r="V145" s="264">
        <f>R145</f>
        <v>0</v>
      </c>
      <c r="W145" s="52">
        <f>IFERROR(VLOOKUP(V145,AnsMTBL,2,0),0)</f>
        <v>0</v>
      </c>
      <c r="X145" s="203"/>
      <c r="Y145" s="477"/>
    </row>
    <row r="146" spans="1:25" ht="13">
      <c r="A146" s="47"/>
      <c r="B146" s="289"/>
      <c r="C146" s="268"/>
      <c r="D146" s="269"/>
      <c r="E146" s="269"/>
      <c r="F146" s="269"/>
      <c r="G146" s="269"/>
      <c r="H146" s="269"/>
      <c r="I146" s="269"/>
      <c r="J146" s="269"/>
      <c r="K146" s="269"/>
      <c r="L146" s="269"/>
      <c r="M146" s="269"/>
      <c r="N146" s="269"/>
      <c r="O146" s="269"/>
      <c r="P146" s="269"/>
      <c r="Q146" s="269"/>
      <c r="R146" s="269"/>
      <c r="S146" s="269"/>
      <c r="T146" s="269"/>
      <c r="U146" s="269"/>
      <c r="V146" s="269"/>
      <c r="W146" s="269"/>
      <c r="X146" s="269"/>
      <c r="Y146" s="269"/>
    </row>
    <row r="147" spans="1:25">
      <c r="A147" s="47"/>
      <c r="B147" s="190" t="s">
        <v>49</v>
      </c>
      <c r="C147" s="314" t="s">
        <v>50</v>
      </c>
      <c r="D147" s="321" t="s">
        <v>185</v>
      </c>
      <c r="E147" s="183"/>
      <c r="F147" s="182" t="s">
        <v>52</v>
      </c>
      <c r="G147" s="182"/>
      <c r="H147" s="184"/>
      <c r="I147" s="319" t="s">
        <v>54</v>
      </c>
      <c r="J147" s="182" t="s">
        <v>52</v>
      </c>
      <c r="K147" s="182"/>
      <c r="L147" s="184"/>
      <c r="M147" s="319" t="s">
        <v>54</v>
      </c>
      <c r="N147" s="182" t="s">
        <v>52</v>
      </c>
      <c r="O147" s="182"/>
      <c r="P147" s="184"/>
      <c r="Q147" s="319" t="s">
        <v>54</v>
      </c>
      <c r="R147" s="182" t="s">
        <v>52</v>
      </c>
      <c r="S147" s="182"/>
      <c r="T147" s="184"/>
      <c r="U147" s="319" t="s">
        <v>54</v>
      </c>
      <c r="V147" s="182" t="s">
        <v>52</v>
      </c>
      <c r="W147" s="182"/>
      <c r="X147" s="184"/>
      <c r="Y147" s="319" t="s">
        <v>54</v>
      </c>
    </row>
    <row r="148" spans="1:25" ht="28">
      <c r="A148" s="47" t="str">
        <f>Interview!A218</f>
        <v>O-OM-A-1-1</v>
      </c>
      <c r="B148" s="476" t="str">
        <f>VLOOKUP(A148,'imp-questions'!A:H,4,0)</f>
        <v>Data Protection</v>
      </c>
      <c r="C148" s="320">
        <f>VLOOKUP(A148,'imp-questions'!A:H,5,0)</f>
        <v>1</v>
      </c>
      <c r="D148" s="49" t="str">
        <f>VLOOKUP(A148,'imp-questions'!A:H,6,0)</f>
        <v>Do you protect and handle information according to protection requirements for data stored and processed on each application?</v>
      </c>
      <c r="E148" s="50" t="str">
        <f>CHAR(65+VLOOKUP(A148,'imp-questions'!A:H,8,0))</f>
        <v>F</v>
      </c>
      <c r="F148" s="270">
        <f>Interview!F218</f>
        <v>0</v>
      </c>
      <c r="G148" s="52">
        <f>IFERROR(VLOOKUP(F148,AnsFTBL,2,0),0)</f>
        <v>0</v>
      </c>
      <c r="H148" s="276">
        <f>IFERROR(AVERAGE(G148,G152),0)</f>
        <v>0</v>
      </c>
      <c r="I148" s="479">
        <f>SUM(H148:H150)</f>
        <v>0</v>
      </c>
      <c r="J148" s="264">
        <f>F148</f>
        <v>0</v>
      </c>
      <c r="K148" s="52">
        <f>IFERROR(VLOOKUP(J148,AnsFTBL,2,0),0)</f>
        <v>0</v>
      </c>
      <c r="L148" s="276">
        <f>IFERROR(AVERAGE(K148,K152),0)</f>
        <v>0</v>
      </c>
      <c r="M148" s="479">
        <f>SUM(L148:L150)</f>
        <v>0</v>
      </c>
      <c r="N148" s="264">
        <f>J148</f>
        <v>0</v>
      </c>
      <c r="O148" s="52">
        <f>IFERROR(VLOOKUP(N148,AnsFTBL,2,0),0)</f>
        <v>0</v>
      </c>
      <c r="P148" s="276">
        <f>IFERROR(AVERAGE(O148,O152),0)</f>
        <v>0</v>
      </c>
      <c r="Q148" s="479">
        <f>SUM(P148:P150)</f>
        <v>0</v>
      </c>
      <c r="R148" s="264">
        <f>N148</f>
        <v>0</v>
      </c>
      <c r="S148" s="52">
        <f>IFERROR(VLOOKUP(R148,AnsFTBL,2,0),0)</f>
        <v>0</v>
      </c>
      <c r="T148" s="276">
        <f>IFERROR(AVERAGE(S148,S152),0)</f>
        <v>0</v>
      </c>
      <c r="U148" s="479">
        <f>SUM(T148:T150)</f>
        <v>0</v>
      </c>
      <c r="V148" s="264">
        <f>R148</f>
        <v>0</v>
      </c>
      <c r="W148" s="52">
        <f>IFERROR(VLOOKUP(V148,AnsFTBL,2,0),0)</f>
        <v>0</v>
      </c>
      <c r="X148" s="276">
        <f>IFERROR(AVERAGE(W148,W152),0)</f>
        <v>0</v>
      </c>
      <c r="Y148" s="479">
        <f>SUM(X148:X150)</f>
        <v>0</v>
      </c>
    </row>
    <row r="149" spans="1:25" ht="28">
      <c r="A149" s="47" t="str">
        <f>Interview!A220</f>
        <v>O-OM-A-2-1</v>
      </c>
      <c r="B149" s="476"/>
      <c r="C149" s="320">
        <f>VLOOKUP(A149,'imp-questions'!A:H,5,0)</f>
        <v>2</v>
      </c>
      <c r="D149" s="49" t="str">
        <f>VLOOKUP(A149,'imp-questions'!A:H,6,0)</f>
        <v>Do you maintain a data catalog, including types, sensitivity levels, and processing and storage locations?</v>
      </c>
      <c r="E149" s="50" t="str">
        <f>CHAR(65+VLOOKUP(A149,'imp-questions'!A:H,8,0))</f>
        <v>O</v>
      </c>
      <c r="F149" s="263">
        <f>Interview!F220</f>
        <v>0</v>
      </c>
      <c r="G149" s="52">
        <f>IFERROR(VLOOKUP(F149,AnsOTBL,2,0),0)</f>
        <v>0</v>
      </c>
      <c r="H149" s="276">
        <f>IFERROR(AVERAGE(G149,G153),0)</f>
        <v>0</v>
      </c>
      <c r="I149" s="479"/>
      <c r="J149" s="264">
        <f>F149</f>
        <v>0</v>
      </c>
      <c r="K149" s="52">
        <f>IFERROR(VLOOKUP(J149,AnsOTBL,2,0),0)</f>
        <v>0</v>
      </c>
      <c r="L149" s="276">
        <f>IFERROR(AVERAGE(K149,K153),0)</f>
        <v>0</v>
      </c>
      <c r="M149" s="479"/>
      <c r="N149" s="264">
        <f>J149</f>
        <v>0</v>
      </c>
      <c r="O149" s="52">
        <f>IFERROR(VLOOKUP(N149,AnsOTBL,2,0),0)</f>
        <v>0</v>
      </c>
      <c r="P149" s="276">
        <f>IFERROR(AVERAGE(O149,O153),0)</f>
        <v>0</v>
      </c>
      <c r="Q149" s="479"/>
      <c r="R149" s="264">
        <f>N149</f>
        <v>0</v>
      </c>
      <c r="S149" s="52">
        <f>IFERROR(VLOOKUP(R149,AnsOTBL,2,0),0)</f>
        <v>0</v>
      </c>
      <c r="T149" s="276">
        <f>IFERROR(AVERAGE(S149,S153),0)</f>
        <v>0</v>
      </c>
      <c r="U149" s="479"/>
      <c r="V149" s="264">
        <f>R149</f>
        <v>0</v>
      </c>
      <c r="W149" s="52">
        <f>IFERROR(VLOOKUP(V149,AnsOTBL,2,0),0)</f>
        <v>0</v>
      </c>
      <c r="X149" s="276">
        <f>IFERROR(AVERAGE(W149,W153),0)</f>
        <v>0</v>
      </c>
      <c r="Y149" s="479"/>
    </row>
    <row r="150" spans="1:25" ht="28">
      <c r="A150" s="47" t="str">
        <f>Interview!A222</f>
        <v>O-OM-A-3-1</v>
      </c>
      <c r="B150" s="476"/>
      <c r="C150" s="320">
        <f>VLOOKUP(A150,'imp-questions'!A:H,5,0)</f>
        <v>3</v>
      </c>
      <c r="D150" s="265" t="str">
        <f>VLOOKUP(A150,'imp-questions'!A:H,6,0)</f>
        <v>Do you regularly review and update the data catalog and your data protection policies and procedures?</v>
      </c>
      <c r="E150" s="50" t="str">
        <f>CHAR(65+VLOOKUP(A150,'imp-questions'!A:H,8,0))</f>
        <v>P</v>
      </c>
      <c r="F150" s="266">
        <f>Interview!F222</f>
        <v>0</v>
      </c>
      <c r="G150" s="52">
        <f>IFERROR(VLOOKUP(F150,AnsPTBL,2,0),0)</f>
        <v>0</v>
      </c>
      <c r="H150" s="276">
        <f>IFERROR(AVERAGE(G150,G154),0)</f>
        <v>0</v>
      </c>
      <c r="I150" s="479"/>
      <c r="J150" s="264">
        <f>F150</f>
        <v>0</v>
      </c>
      <c r="K150" s="52">
        <f>IFERROR(VLOOKUP(J150,AnsPTBL,2,0),0)</f>
        <v>0</v>
      </c>
      <c r="L150" s="276">
        <f>IFERROR(AVERAGE(K150,K154),0)</f>
        <v>0</v>
      </c>
      <c r="M150" s="479"/>
      <c r="N150" s="264">
        <f>J150</f>
        <v>0</v>
      </c>
      <c r="O150" s="52">
        <f>IFERROR(VLOOKUP(N150,AnsPTBL,2,0),0)</f>
        <v>0</v>
      </c>
      <c r="P150" s="276">
        <f>IFERROR(AVERAGE(O150,O154),0)</f>
        <v>0</v>
      </c>
      <c r="Q150" s="479"/>
      <c r="R150" s="264">
        <f>N150</f>
        <v>0</v>
      </c>
      <c r="S150" s="52">
        <f>IFERROR(VLOOKUP(R150,AnsPTBL,2,0),0)</f>
        <v>0</v>
      </c>
      <c r="T150" s="276">
        <f>IFERROR(AVERAGE(S150,S154),0)</f>
        <v>0</v>
      </c>
      <c r="U150" s="479"/>
      <c r="V150" s="264">
        <f>R150</f>
        <v>0</v>
      </c>
      <c r="W150" s="52">
        <f>IFERROR(VLOOKUP(V150,AnsPTBL,2,0),0)</f>
        <v>0</v>
      </c>
      <c r="X150" s="276">
        <f>IFERROR(AVERAGE(W150,W154),0)</f>
        <v>0</v>
      </c>
      <c r="Y150" s="479"/>
    </row>
    <row r="151" spans="1:25" ht="13">
      <c r="A151" s="47"/>
      <c r="B151" s="289"/>
      <c r="C151" s="268"/>
      <c r="D151" s="269"/>
      <c r="E151" s="269"/>
      <c r="F151" s="269"/>
      <c r="G151" s="269"/>
      <c r="H151" s="269"/>
      <c r="I151" s="479"/>
      <c r="J151" s="269"/>
      <c r="K151" s="269"/>
      <c r="L151" s="269"/>
      <c r="M151" s="479"/>
      <c r="N151" s="269"/>
      <c r="O151" s="269"/>
      <c r="P151" s="269"/>
      <c r="Q151" s="479"/>
      <c r="R151" s="269"/>
      <c r="S151" s="269"/>
      <c r="T151" s="269"/>
      <c r="U151" s="479"/>
      <c r="V151" s="269"/>
      <c r="W151" s="269"/>
      <c r="X151" s="269"/>
      <c r="Y151" s="479"/>
    </row>
    <row r="152" spans="1:25" ht="42">
      <c r="A152" s="47" t="str">
        <f>Interview!A225</f>
        <v>O-OM-B-1-1</v>
      </c>
      <c r="B152" s="480" t="str">
        <f>VLOOKUP(A152,'imp-questions'!A:H,4,0)</f>
        <v>System Decomissioning / Legacy Management</v>
      </c>
      <c r="C152" s="320">
        <f>VLOOKUP(A152,'imp-questions'!A:H,5,0)</f>
        <v>1</v>
      </c>
      <c r="D152" s="49" t="str">
        <f>VLOOKUP(A152,'imp-questions'!A:H,6,0)</f>
        <v>Do you identify and remove systems, applications, application dependencies, or services that are no longer used, have reached end of life, or are no longer actively developed or supported?</v>
      </c>
      <c r="E152" s="50" t="str">
        <f>CHAR(65+VLOOKUP(A152,'imp-questions'!A:H,8,0))</f>
        <v>F</v>
      </c>
      <c r="F152" s="270">
        <f>Interview!F225</f>
        <v>0</v>
      </c>
      <c r="G152" s="52">
        <f>IFERROR(VLOOKUP(F152,AnsFTBL,2,0),0)</f>
        <v>0</v>
      </c>
      <c r="H152" s="203"/>
      <c r="I152" s="479"/>
      <c r="J152" s="264">
        <f>F152</f>
        <v>0</v>
      </c>
      <c r="K152" s="52">
        <f>IFERROR(VLOOKUP(J152,AnsFTBL,2,0),0)</f>
        <v>0</v>
      </c>
      <c r="L152" s="203"/>
      <c r="M152" s="479"/>
      <c r="N152" s="264">
        <f>J152</f>
        <v>0</v>
      </c>
      <c r="O152" s="52">
        <f>IFERROR(VLOOKUP(N152,AnsFTBL,2,0),0)</f>
        <v>0</v>
      </c>
      <c r="P152" s="203"/>
      <c r="Q152" s="479"/>
      <c r="R152" s="264">
        <f>N152</f>
        <v>0</v>
      </c>
      <c r="S152" s="52">
        <f>IFERROR(VLOOKUP(R152,AnsFTBL,2,0),0)</f>
        <v>0</v>
      </c>
      <c r="T152" s="203"/>
      <c r="U152" s="479"/>
      <c r="V152" s="264">
        <f>R152</f>
        <v>0</v>
      </c>
      <c r="W152" s="52">
        <f>IFERROR(VLOOKUP(V152,AnsFTBL,2,0),0)</f>
        <v>0</v>
      </c>
      <c r="X152" s="203"/>
      <c r="Y152" s="479"/>
    </row>
    <row r="153" spans="1:25" ht="42">
      <c r="A153" s="47" t="str">
        <f>Interview!A227</f>
        <v>O-OM-B-2-1</v>
      </c>
      <c r="B153" s="480"/>
      <c r="C153" s="320">
        <f>VLOOKUP(A153,'imp-questions'!A:H,5,0)</f>
        <v>2</v>
      </c>
      <c r="D153" s="49" t="str">
        <f>VLOOKUP(A153,'imp-questions'!A:H,6,0)</f>
        <v>Do you follow an established process for removing all associated resources, as part of decommissioning of unused systems, applications, application dependencies, or services?</v>
      </c>
      <c r="E153" s="50" t="str">
        <f>CHAR(65+VLOOKUP(A153,'imp-questions'!A:H,8,0))</f>
        <v>H</v>
      </c>
      <c r="F153" s="263">
        <f>Interview!F227</f>
        <v>0</v>
      </c>
      <c r="G153" s="52">
        <f>IFERROR(VLOOKUP(F153,AnsHTBL,2,0),0)</f>
        <v>0</v>
      </c>
      <c r="H153" s="203"/>
      <c r="I153" s="479"/>
      <c r="J153" s="264">
        <f>F153</f>
        <v>0</v>
      </c>
      <c r="K153" s="52">
        <f>IFERROR(VLOOKUP(J153,AnsHTBL,2,0),0)</f>
        <v>0</v>
      </c>
      <c r="L153" s="203"/>
      <c r="M153" s="479"/>
      <c r="N153" s="264">
        <f>J153</f>
        <v>0</v>
      </c>
      <c r="O153" s="52">
        <f>IFERROR(VLOOKUP(N153,AnsHTBL,2,0),0)</f>
        <v>0</v>
      </c>
      <c r="P153" s="203"/>
      <c r="Q153" s="479"/>
      <c r="R153" s="264">
        <f>N153</f>
        <v>0</v>
      </c>
      <c r="S153" s="52">
        <f>IFERROR(VLOOKUP(R153,AnsHTBL,2,0),0)</f>
        <v>0</v>
      </c>
      <c r="T153" s="203"/>
      <c r="U153" s="479"/>
      <c r="V153" s="264">
        <f>R153</f>
        <v>0</v>
      </c>
      <c r="W153" s="52">
        <f>IFERROR(VLOOKUP(V153,AnsHTBL,2,0),0)</f>
        <v>0</v>
      </c>
      <c r="X153" s="203"/>
      <c r="Y153" s="479"/>
    </row>
    <row r="154" spans="1:25" ht="42">
      <c r="A154" s="47" t="str">
        <f>Interview!A229</f>
        <v>O-OM-B-3-1</v>
      </c>
      <c r="B154" s="480"/>
      <c r="C154" s="320">
        <f>VLOOKUP(A154,'imp-questions'!A:H,5,0)</f>
        <v>3</v>
      </c>
      <c r="D154" s="265" t="str">
        <f>VLOOKUP(A154,'imp-questions'!A:H,6,0)</f>
        <v>Do you regularly evaluate the lifecycle state and support status of every software asset and underlying infrastructure component, and estimate their end of life?</v>
      </c>
      <c r="E154" s="270" t="str">
        <f>CHAR(65+VLOOKUP(A154,'imp-questions'!A:H,8,0))</f>
        <v>S</v>
      </c>
      <c r="F154" s="266">
        <f>Interview!F229</f>
        <v>0</v>
      </c>
      <c r="G154" s="52">
        <f>IFERROR(VLOOKUP(F154,AnsSTBL,2,0),0)</f>
        <v>0</v>
      </c>
      <c r="H154" s="203"/>
      <c r="I154" s="479"/>
      <c r="J154" s="264">
        <f>F154</f>
        <v>0</v>
      </c>
      <c r="K154" s="52">
        <f>IFERROR(VLOOKUP(J154,AnsSTBL,2,0),0)</f>
        <v>0</v>
      </c>
      <c r="L154" s="203"/>
      <c r="M154" s="479"/>
      <c r="N154" s="264">
        <f>J154</f>
        <v>0</v>
      </c>
      <c r="O154" s="52">
        <f>IFERROR(VLOOKUP(N154,AnsSTBL,2,0),0)</f>
        <v>0</v>
      </c>
      <c r="P154" s="203"/>
      <c r="Q154" s="479"/>
      <c r="R154" s="264">
        <f>N154</f>
        <v>0</v>
      </c>
      <c r="S154" s="52">
        <f>IFERROR(VLOOKUP(R154,AnsSTBL,2,0),0)</f>
        <v>0</v>
      </c>
      <c r="T154" s="203"/>
      <c r="U154" s="479"/>
      <c r="V154" s="264">
        <f>R154</f>
        <v>0</v>
      </c>
      <c r="W154" s="52">
        <f>IFERROR(VLOOKUP(V154,AnsSTBL,2,0),0)</f>
        <v>0</v>
      </c>
      <c r="X154" s="203"/>
      <c r="Y154" s="479"/>
    </row>
  </sheetData>
  <mergeCells count="130">
    <mergeCell ref="F16:I16"/>
    <mergeCell ref="J16:M16"/>
    <mergeCell ref="N16:Q16"/>
    <mergeCell ref="R16:U16"/>
    <mergeCell ref="V16:Y16"/>
    <mergeCell ref="B18:B20"/>
    <mergeCell ref="I18:I24"/>
    <mergeCell ref="M18:M24"/>
    <mergeCell ref="Q18:Q24"/>
    <mergeCell ref="U18:U24"/>
    <mergeCell ref="Y18:Y24"/>
    <mergeCell ref="B22:B24"/>
    <mergeCell ref="B27:B29"/>
    <mergeCell ref="I27:I33"/>
    <mergeCell ref="M27:M33"/>
    <mergeCell ref="Q27:Q33"/>
    <mergeCell ref="U27:U33"/>
    <mergeCell ref="Y27:Y33"/>
    <mergeCell ref="B31:B33"/>
    <mergeCell ref="B36:B38"/>
    <mergeCell ref="I36:I42"/>
    <mergeCell ref="M36:M42"/>
    <mergeCell ref="Q36:Q42"/>
    <mergeCell ref="U36:U42"/>
    <mergeCell ref="Y36:Y42"/>
    <mergeCell ref="B40:B42"/>
    <mergeCell ref="F44:I44"/>
    <mergeCell ref="J44:M44"/>
    <mergeCell ref="N44:Q44"/>
    <mergeCell ref="R44:U44"/>
    <mergeCell ref="V44:Y44"/>
    <mergeCell ref="B46:B48"/>
    <mergeCell ref="I46:I52"/>
    <mergeCell ref="M46:M52"/>
    <mergeCell ref="Q46:Q52"/>
    <mergeCell ref="U46:U52"/>
    <mergeCell ref="Y46:Y52"/>
    <mergeCell ref="B50:B52"/>
    <mergeCell ref="B55:B57"/>
    <mergeCell ref="I55:I61"/>
    <mergeCell ref="M55:M61"/>
    <mergeCell ref="Q55:Q61"/>
    <mergeCell ref="U55:U61"/>
    <mergeCell ref="Y55:Y61"/>
    <mergeCell ref="B59:B61"/>
    <mergeCell ref="B64:B66"/>
    <mergeCell ref="I64:I70"/>
    <mergeCell ref="M64:M70"/>
    <mergeCell ref="Q64:Q70"/>
    <mergeCell ref="U64:U70"/>
    <mergeCell ref="Y64:Y70"/>
    <mergeCell ref="B68:B70"/>
    <mergeCell ref="F72:I72"/>
    <mergeCell ref="J72:M72"/>
    <mergeCell ref="N72:Q72"/>
    <mergeCell ref="R72:U72"/>
    <mergeCell ref="V72:Y72"/>
    <mergeCell ref="B74:B76"/>
    <mergeCell ref="I74:I80"/>
    <mergeCell ref="M74:M80"/>
    <mergeCell ref="Q74:Q80"/>
    <mergeCell ref="U74:U80"/>
    <mergeCell ref="Y74:Y80"/>
    <mergeCell ref="B78:B80"/>
    <mergeCell ref="B83:B85"/>
    <mergeCell ref="I83:I89"/>
    <mergeCell ref="M83:M89"/>
    <mergeCell ref="Q83:Q89"/>
    <mergeCell ref="U83:U89"/>
    <mergeCell ref="Y83:Y89"/>
    <mergeCell ref="B87:B89"/>
    <mergeCell ref="B92:B94"/>
    <mergeCell ref="I92:I98"/>
    <mergeCell ref="M92:M98"/>
    <mergeCell ref="Q92:Q98"/>
    <mergeCell ref="U92:U98"/>
    <mergeCell ref="Y92:Y98"/>
    <mergeCell ref="B96:B98"/>
    <mergeCell ref="F100:I100"/>
    <mergeCell ref="J100:M100"/>
    <mergeCell ref="N100:Q100"/>
    <mergeCell ref="R100:U100"/>
    <mergeCell ref="V100:Y100"/>
    <mergeCell ref="B102:B104"/>
    <mergeCell ref="I102:I108"/>
    <mergeCell ref="M102:M108"/>
    <mergeCell ref="Q102:Q108"/>
    <mergeCell ref="U102:U108"/>
    <mergeCell ref="Y102:Y108"/>
    <mergeCell ref="B106:B108"/>
    <mergeCell ref="B111:B113"/>
    <mergeCell ref="I111:I117"/>
    <mergeCell ref="M111:M117"/>
    <mergeCell ref="Q111:Q117"/>
    <mergeCell ref="U111:U117"/>
    <mergeCell ref="Y111:Y117"/>
    <mergeCell ref="B115:B117"/>
    <mergeCell ref="B120:B122"/>
    <mergeCell ref="I120:I126"/>
    <mergeCell ref="M120:M126"/>
    <mergeCell ref="Q120:Q126"/>
    <mergeCell ref="U120:U126"/>
    <mergeCell ref="Y120:Y126"/>
    <mergeCell ref="B124:B126"/>
    <mergeCell ref="F128:I128"/>
    <mergeCell ref="J128:M128"/>
    <mergeCell ref="N128:Q128"/>
    <mergeCell ref="R128:U128"/>
    <mergeCell ref="V128:Y128"/>
    <mergeCell ref="B130:B132"/>
    <mergeCell ref="I130:I136"/>
    <mergeCell ref="M130:M136"/>
    <mergeCell ref="Q130:Q136"/>
    <mergeCell ref="U130:U136"/>
    <mergeCell ref="Y130:Y136"/>
    <mergeCell ref="B134:B136"/>
    <mergeCell ref="B139:B141"/>
    <mergeCell ref="I139:I145"/>
    <mergeCell ref="M139:M145"/>
    <mergeCell ref="Q139:Q145"/>
    <mergeCell ref="U139:U145"/>
    <mergeCell ref="Y139:Y145"/>
    <mergeCell ref="B143:B145"/>
    <mergeCell ref="B148:B150"/>
    <mergeCell ref="I148:I154"/>
    <mergeCell ref="M148:M154"/>
    <mergeCell ref="Q148:Q154"/>
    <mergeCell ref="U148:U154"/>
    <mergeCell ref="Y148:Y154"/>
    <mergeCell ref="B152:B154"/>
  </mergeCells>
  <conditionalFormatting sqref="F15">
    <cfRule type="expression" dxfId="632" priority="2">
      <formula>$H$22=1</formula>
    </cfRule>
  </conditionalFormatting>
  <conditionalFormatting sqref="J20">
    <cfRule type="expression" dxfId="631" priority="3">
      <formula>K20&lt;G20</formula>
    </cfRule>
    <cfRule type="expression" dxfId="630" priority="4">
      <formula>K20&gt;G20</formula>
    </cfRule>
  </conditionalFormatting>
  <conditionalFormatting sqref="J19">
    <cfRule type="expression" dxfId="629" priority="5">
      <formula>K19&lt;G19</formula>
    </cfRule>
    <cfRule type="expression" dxfId="628" priority="6">
      <formula>K19&gt;G19</formula>
    </cfRule>
  </conditionalFormatting>
  <conditionalFormatting sqref="J22:J23">
    <cfRule type="expression" dxfId="627" priority="7">
      <formula>K22&lt;G22</formula>
    </cfRule>
    <cfRule type="expression" dxfId="626" priority="8">
      <formula>K22&gt;G22</formula>
    </cfRule>
  </conditionalFormatting>
  <conditionalFormatting sqref="J24">
    <cfRule type="expression" dxfId="625" priority="9">
      <formula>K24&lt;G24</formula>
    </cfRule>
    <cfRule type="expression" dxfId="624" priority="10">
      <formula>K24&gt;G24</formula>
    </cfRule>
  </conditionalFormatting>
  <conditionalFormatting sqref="J27">
    <cfRule type="expression" dxfId="623" priority="11">
      <formula>K27&lt;G27</formula>
    </cfRule>
    <cfRule type="expression" dxfId="622" priority="12">
      <formula>K27&gt;G27</formula>
    </cfRule>
  </conditionalFormatting>
  <conditionalFormatting sqref="J29">
    <cfRule type="expression" dxfId="621" priority="13">
      <formula>K29&lt;G29</formula>
    </cfRule>
    <cfRule type="expression" dxfId="620" priority="14">
      <formula>K29&gt;G29</formula>
    </cfRule>
  </conditionalFormatting>
  <conditionalFormatting sqref="J28">
    <cfRule type="expression" dxfId="619" priority="15">
      <formula>K28&lt;G28</formula>
    </cfRule>
    <cfRule type="expression" dxfId="618" priority="16">
      <formula>K28&gt;G28</formula>
    </cfRule>
  </conditionalFormatting>
  <conditionalFormatting sqref="J31">
    <cfRule type="expression" dxfId="617" priority="17">
      <formula>K31&lt;G31</formula>
    </cfRule>
    <cfRule type="expression" dxfId="616" priority="18">
      <formula>K31&gt;G31</formula>
    </cfRule>
  </conditionalFormatting>
  <conditionalFormatting sqref="J33">
    <cfRule type="expression" dxfId="615" priority="19">
      <formula>K33&lt;G33</formula>
    </cfRule>
    <cfRule type="expression" dxfId="614" priority="20">
      <formula>K33&gt;G33</formula>
    </cfRule>
  </conditionalFormatting>
  <conditionalFormatting sqref="J32">
    <cfRule type="expression" dxfId="613" priority="21">
      <formula>K32&lt;G32</formula>
    </cfRule>
    <cfRule type="expression" dxfId="612" priority="22">
      <formula>K32&gt;G32</formula>
    </cfRule>
  </conditionalFormatting>
  <conditionalFormatting sqref="J153">
    <cfRule type="expression" dxfId="611" priority="23">
      <formula>K153&lt;G153</formula>
    </cfRule>
    <cfRule type="expression" dxfId="610" priority="24">
      <formula>K153&gt;G153</formula>
    </cfRule>
  </conditionalFormatting>
  <conditionalFormatting sqref="J36">
    <cfRule type="expression" dxfId="609" priority="25">
      <formula>K36&lt;G36</formula>
    </cfRule>
    <cfRule type="expression" dxfId="608" priority="26">
      <formula>K36&gt;G36</formula>
    </cfRule>
  </conditionalFormatting>
  <conditionalFormatting sqref="J38">
    <cfRule type="expression" dxfId="607" priority="27">
      <formula>K38&lt;G38</formula>
    </cfRule>
    <cfRule type="expression" dxfId="606" priority="28">
      <formula>K38&gt;G38</formula>
    </cfRule>
  </conditionalFormatting>
  <conditionalFormatting sqref="J37">
    <cfRule type="expression" dxfId="605" priority="29">
      <formula>K37&lt;G37</formula>
    </cfRule>
    <cfRule type="expression" dxfId="604" priority="30">
      <formula>K37&gt;G37</formula>
    </cfRule>
  </conditionalFormatting>
  <conditionalFormatting sqref="J40">
    <cfRule type="expression" dxfId="603" priority="31">
      <formula>K40&lt;G40</formula>
    </cfRule>
    <cfRule type="expression" dxfId="602" priority="32">
      <formula>K40&gt;G40</formula>
    </cfRule>
  </conditionalFormatting>
  <conditionalFormatting sqref="J42">
    <cfRule type="expression" dxfId="601" priority="33">
      <formula>K42&lt;G42</formula>
    </cfRule>
    <cfRule type="expression" dxfId="600" priority="34">
      <formula>K42&gt;G42</formula>
    </cfRule>
  </conditionalFormatting>
  <conditionalFormatting sqref="J41">
    <cfRule type="expression" dxfId="599" priority="35">
      <formula>K41&lt;G41</formula>
    </cfRule>
    <cfRule type="expression" dxfId="598" priority="36">
      <formula>K41&gt;G41</formula>
    </cfRule>
  </conditionalFormatting>
  <conditionalFormatting sqref="J46">
    <cfRule type="expression" dxfId="597" priority="37">
      <formula>K46&lt;G46</formula>
    </cfRule>
    <cfRule type="expression" dxfId="596" priority="38">
      <formula>K46&gt;G46</formula>
    </cfRule>
  </conditionalFormatting>
  <conditionalFormatting sqref="J48">
    <cfRule type="expression" dxfId="595" priority="39">
      <formula>K48&lt;G48</formula>
    </cfRule>
    <cfRule type="expression" dxfId="594" priority="40">
      <formula>K48&gt;G48</formula>
    </cfRule>
  </conditionalFormatting>
  <conditionalFormatting sqref="J47">
    <cfRule type="expression" dxfId="593" priority="41">
      <formula>K47&lt;G47</formula>
    </cfRule>
    <cfRule type="expression" dxfId="592" priority="42">
      <formula>K47&gt;G47</formula>
    </cfRule>
  </conditionalFormatting>
  <conditionalFormatting sqref="J50">
    <cfRule type="expression" dxfId="591" priority="43">
      <formula>K50&lt;G50</formula>
    </cfRule>
    <cfRule type="expression" dxfId="590" priority="44">
      <formula>K50&gt;G50</formula>
    </cfRule>
  </conditionalFormatting>
  <conditionalFormatting sqref="J52">
    <cfRule type="expression" dxfId="589" priority="45">
      <formula>K52&lt;G52</formula>
    </cfRule>
    <cfRule type="expression" dxfId="588" priority="46">
      <formula>K52&gt;G52</formula>
    </cfRule>
  </conditionalFormatting>
  <conditionalFormatting sqref="J51">
    <cfRule type="expression" dxfId="587" priority="47">
      <formula>K51&lt;G51</formula>
    </cfRule>
    <cfRule type="expression" dxfId="586" priority="48">
      <formula>K51&gt;G51</formula>
    </cfRule>
  </conditionalFormatting>
  <conditionalFormatting sqref="J55:J56">
    <cfRule type="expression" dxfId="585" priority="49">
      <formula>K55&lt;G55</formula>
    </cfRule>
    <cfRule type="expression" dxfId="584" priority="50">
      <formula>K55&gt;G55</formula>
    </cfRule>
  </conditionalFormatting>
  <conditionalFormatting sqref="J57">
    <cfRule type="expression" dxfId="583" priority="51">
      <formula>K57&lt;G57</formula>
    </cfRule>
    <cfRule type="expression" dxfId="582" priority="52">
      <formula>K57&gt;G57</formula>
    </cfRule>
  </conditionalFormatting>
  <conditionalFormatting sqref="J59">
    <cfRule type="expression" dxfId="581" priority="53">
      <formula>K59&lt;G59</formula>
    </cfRule>
    <cfRule type="expression" dxfId="580" priority="54">
      <formula>K59&gt;G59</formula>
    </cfRule>
  </conditionalFormatting>
  <conditionalFormatting sqref="J61">
    <cfRule type="expression" dxfId="579" priority="55">
      <formula>K61&lt;G61</formula>
    </cfRule>
    <cfRule type="expression" dxfId="578" priority="56">
      <formula>K61&gt;G61</formula>
    </cfRule>
  </conditionalFormatting>
  <conditionalFormatting sqref="J60">
    <cfRule type="expression" dxfId="577" priority="57">
      <formula>K60&lt;G60</formula>
    </cfRule>
    <cfRule type="expression" dxfId="576" priority="58">
      <formula>K60&gt;G60</formula>
    </cfRule>
  </conditionalFormatting>
  <conditionalFormatting sqref="J64">
    <cfRule type="expression" dxfId="575" priority="59">
      <formula>K64&lt;G64</formula>
    </cfRule>
    <cfRule type="expression" dxfId="574" priority="60">
      <formula>K64&gt;G64</formula>
    </cfRule>
  </conditionalFormatting>
  <conditionalFormatting sqref="J66">
    <cfRule type="expression" dxfId="573" priority="61">
      <formula>K66&lt;G66</formula>
    </cfRule>
    <cfRule type="expression" dxfId="572" priority="62">
      <formula>K66&gt;G66</formula>
    </cfRule>
  </conditionalFormatting>
  <conditionalFormatting sqref="J65">
    <cfRule type="expression" dxfId="571" priority="63">
      <formula>K65&lt;G65</formula>
    </cfRule>
    <cfRule type="expression" dxfId="570" priority="64">
      <formula>K65&gt;G65</formula>
    </cfRule>
  </conditionalFormatting>
  <conditionalFormatting sqref="J68">
    <cfRule type="expression" dxfId="569" priority="65">
      <formula>K68&lt;G68</formula>
    </cfRule>
    <cfRule type="expression" dxfId="568" priority="66">
      <formula>K68&gt;G68</formula>
    </cfRule>
  </conditionalFormatting>
  <conditionalFormatting sqref="J70">
    <cfRule type="expression" dxfId="567" priority="67">
      <formula>K70&lt;G70</formula>
    </cfRule>
    <cfRule type="expression" dxfId="566" priority="68">
      <formula>K70&gt;G70</formula>
    </cfRule>
  </conditionalFormatting>
  <conditionalFormatting sqref="J69">
    <cfRule type="expression" dxfId="565" priority="69">
      <formula>K69&lt;G69</formula>
    </cfRule>
    <cfRule type="expression" dxfId="564" priority="70">
      <formula>K69&gt;G69</formula>
    </cfRule>
  </conditionalFormatting>
  <conditionalFormatting sqref="J102">
    <cfRule type="expression" dxfId="563" priority="71">
      <formula>K102&lt;G102</formula>
    </cfRule>
    <cfRule type="expression" dxfId="562" priority="72">
      <formula>K102&gt;G102</formula>
    </cfRule>
  </conditionalFormatting>
  <conditionalFormatting sqref="J104">
    <cfRule type="expression" dxfId="561" priority="73">
      <formula>K104&lt;G104</formula>
    </cfRule>
    <cfRule type="expression" dxfId="560" priority="74">
      <formula>K104&gt;G104</formula>
    </cfRule>
  </conditionalFormatting>
  <conditionalFormatting sqref="J103">
    <cfRule type="expression" dxfId="559" priority="75">
      <formula>K103&lt;G103</formula>
    </cfRule>
    <cfRule type="expression" dxfId="558" priority="76">
      <formula>K103&gt;G103</formula>
    </cfRule>
  </conditionalFormatting>
  <conditionalFormatting sqref="J106">
    <cfRule type="expression" dxfId="557" priority="77">
      <formula>K106&lt;G106</formula>
    </cfRule>
    <cfRule type="expression" dxfId="556" priority="78">
      <formula>K106&gt;G106</formula>
    </cfRule>
  </conditionalFormatting>
  <conditionalFormatting sqref="J108">
    <cfRule type="expression" dxfId="555" priority="79">
      <formula>K108&lt;G108</formula>
    </cfRule>
    <cfRule type="expression" dxfId="554" priority="80">
      <formula>K108&gt;G108</formula>
    </cfRule>
  </conditionalFormatting>
  <conditionalFormatting sqref="J107">
    <cfRule type="expression" dxfId="553" priority="81">
      <formula>K107&lt;G107</formula>
    </cfRule>
    <cfRule type="expression" dxfId="552" priority="82">
      <formula>K107&gt;G107</formula>
    </cfRule>
  </conditionalFormatting>
  <conditionalFormatting sqref="J111">
    <cfRule type="expression" dxfId="551" priority="83">
      <formula>K111&lt;G111</formula>
    </cfRule>
    <cfRule type="expression" dxfId="550" priority="84">
      <formula>K111&gt;G111</formula>
    </cfRule>
  </conditionalFormatting>
  <conditionalFormatting sqref="J113">
    <cfRule type="expression" dxfId="549" priority="85">
      <formula>K113&lt;G113</formula>
    </cfRule>
    <cfRule type="expression" dxfId="548" priority="86">
      <formula>K113&gt;G113</formula>
    </cfRule>
  </conditionalFormatting>
  <conditionalFormatting sqref="J112">
    <cfRule type="expression" dxfId="547" priority="87">
      <formula>K112&lt;G112</formula>
    </cfRule>
    <cfRule type="expression" dxfId="546" priority="88">
      <formula>K112&gt;G112</formula>
    </cfRule>
  </conditionalFormatting>
  <conditionalFormatting sqref="J115">
    <cfRule type="expression" dxfId="545" priority="89">
      <formula>K115&lt;G115</formula>
    </cfRule>
    <cfRule type="expression" dxfId="544" priority="90">
      <formula>K115&gt;G115</formula>
    </cfRule>
  </conditionalFormatting>
  <conditionalFormatting sqref="J117">
    <cfRule type="expression" dxfId="543" priority="91">
      <formula>K117&lt;G117</formula>
    </cfRule>
    <cfRule type="expression" dxfId="542" priority="92">
      <formula>K117&gt;G117</formula>
    </cfRule>
  </conditionalFormatting>
  <conditionalFormatting sqref="J116">
    <cfRule type="expression" dxfId="541" priority="93">
      <formula>K116&lt;G116</formula>
    </cfRule>
    <cfRule type="expression" dxfId="540" priority="94">
      <formula>K116&gt;G116</formula>
    </cfRule>
  </conditionalFormatting>
  <conditionalFormatting sqref="J120">
    <cfRule type="expression" dxfId="539" priority="95">
      <formula>K120&lt;G120</formula>
    </cfRule>
    <cfRule type="expression" dxfId="538" priority="96">
      <formula>K120&gt;G120</formula>
    </cfRule>
  </conditionalFormatting>
  <conditionalFormatting sqref="J122">
    <cfRule type="expression" dxfId="537" priority="97">
      <formula>K122&lt;G122</formula>
    </cfRule>
    <cfRule type="expression" dxfId="536" priority="98">
      <formula>K122&gt;G122</formula>
    </cfRule>
  </conditionalFormatting>
  <conditionalFormatting sqref="J121">
    <cfRule type="expression" dxfId="535" priority="99">
      <formula>K121&lt;G121</formula>
    </cfRule>
    <cfRule type="expression" dxfId="534" priority="100">
      <formula>K121&gt;G121</formula>
    </cfRule>
  </conditionalFormatting>
  <conditionalFormatting sqref="J124">
    <cfRule type="expression" dxfId="533" priority="101">
      <formula>K124&lt;G124</formula>
    </cfRule>
    <cfRule type="expression" dxfId="532" priority="102">
      <formula>K124&gt;G124</formula>
    </cfRule>
  </conditionalFormatting>
  <conditionalFormatting sqref="J126">
    <cfRule type="expression" dxfId="531" priority="103">
      <formula>K126&lt;G126</formula>
    </cfRule>
    <cfRule type="expression" dxfId="530" priority="104">
      <formula>K126&gt;G126</formula>
    </cfRule>
  </conditionalFormatting>
  <conditionalFormatting sqref="J125">
    <cfRule type="expression" dxfId="529" priority="105">
      <formula>K125&lt;G125</formula>
    </cfRule>
    <cfRule type="expression" dxfId="528" priority="106">
      <formula>K125&gt;G125</formula>
    </cfRule>
  </conditionalFormatting>
  <conditionalFormatting sqref="J130">
    <cfRule type="expression" dxfId="527" priority="107">
      <formula>K130&lt;G130</formula>
    </cfRule>
    <cfRule type="expression" dxfId="526" priority="108">
      <formula>K130&gt;G130</formula>
    </cfRule>
  </conditionalFormatting>
  <conditionalFormatting sqref="J132">
    <cfRule type="expression" dxfId="525" priority="109">
      <formula>K132&lt;G132</formula>
    </cfRule>
    <cfRule type="expression" dxfId="524" priority="110">
      <formula>K132&gt;G132</formula>
    </cfRule>
  </conditionalFormatting>
  <conditionalFormatting sqref="J131">
    <cfRule type="expression" dxfId="523" priority="111">
      <formula>K131&lt;G131</formula>
    </cfRule>
    <cfRule type="expression" dxfId="522" priority="112">
      <formula>K131&gt;G131</formula>
    </cfRule>
  </conditionalFormatting>
  <conditionalFormatting sqref="J134">
    <cfRule type="expression" dxfId="521" priority="113">
      <formula>K134&lt;G134</formula>
    </cfRule>
    <cfRule type="expression" dxfId="520" priority="114">
      <formula>K134&gt;G134</formula>
    </cfRule>
  </conditionalFormatting>
  <conditionalFormatting sqref="J136">
    <cfRule type="expression" dxfId="519" priority="115">
      <formula>K136&lt;G136</formula>
    </cfRule>
    <cfRule type="expression" dxfId="518" priority="116">
      <formula>K136&gt;G136</formula>
    </cfRule>
  </conditionalFormatting>
  <conditionalFormatting sqref="J135">
    <cfRule type="expression" dxfId="517" priority="117">
      <formula>K135&lt;G135</formula>
    </cfRule>
    <cfRule type="expression" dxfId="516" priority="118">
      <formula>K135&gt;G135</formula>
    </cfRule>
  </conditionalFormatting>
  <conditionalFormatting sqref="J139">
    <cfRule type="expression" dxfId="515" priority="119">
      <formula>K139&lt;G139</formula>
    </cfRule>
    <cfRule type="expression" dxfId="514" priority="120">
      <formula>K139&gt;G139</formula>
    </cfRule>
  </conditionalFormatting>
  <conditionalFormatting sqref="J141">
    <cfRule type="expression" dxfId="513" priority="121">
      <formula>K141&lt;G141</formula>
    </cfRule>
    <cfRule type="expression" dxfId="512" priority="122">
      <formula>K141&gt;G141</formula>
    </cfRule>
  </conditionalFormatting>
  <conditionalFormatting sqref="J140">
    <cfRule type="expression" dxfId="511" priority="123">
      <formula>K140&lt;G140</formula>
    </cfRule>
    <cfRule type="expression" dxfId="510" priority="124">
      <formula>K140&gt;G140</formula>
    </cfRule>
  </conditionalFormatting>
  <conditionalFormatting sqref="J143">
    <cfRule type="expression" dxfId="509" priority="125">
      <formula>K143&lt;G143</formula>
    </cfRule>
    <cfRule type="expression" dxfId="508" priority="126">
      <formula>K143&gt;G143</formula>
    </cfRule>
  </conditionalFormatting>
  <conditionalFormatting sqref="J145">
    <cfRule type="expression" dxfId="507" priority="127">
      <formula>K145&lt;G145</formula>
    </cfRule>
    <cfRule type="expression" dxfId="506" priority="128">
      <formula>K145&gt;G145</formula>
    </cfRule>
  </conditionalFormatting>
  <conditionalFormatting sqref="J144">
    <cfRule type="expression" dxfId="505" priority="129">
      <formula>K144&lt;G144</formula>
    </cfRule>
    <cfRule type="expression" dxfId="504" priority="130">
      <formula>K144&gt;G144</formula>
    </cfRule>
  </conditionalFormatting>
  <conditionalFormatting sqref="J148">
    <cfRule type="expression" dxfId="503" priority="131">
      <formula>K148&lt;G148</formula>
    </cfRule>
    <cfRule type="expression" dxfId="502" priority="132">
      <formula>K148&gt;G148</formula>
    </cfRule>
  </conditionalFormatting>
  <conditionalFormatting sqref="J150">
    <cfRule type="expression" dxfId="501" priority="133">
      <formula>K150&lt;G150</formula>
    </cfRule>
    <cfRule type="expression" dxfId="500" priority="134">
      <formula>K150&gt;G150</formula>
    </cfRule>
  </conditionalFormatting>
  <conditionalFormatting sqref="J149">
    <cfRule type="expression" dxfId="499" priority="135">
      <formula>K149&lt;G149</formula>
    </cfRule>
    <cfRule type="expression" dxfId="498" priority="136">
      <formula>K149&gt;G149</formula>
    </cfRule>
  </conditionalFormatting>
  <conditionalFormatting sqref="J152">
    <cfRule type="expression" dxfId="497" priority="137">
      <formula>K152&lt;G152</formula>
    </cfRule>
    <cfRule type="expression" dxfId="496" priority="138">
      <formula>K152&gt;G152</formula>
    </cfRule>
  </conditionalFormatting>
  <conditionalFormatting sqref="J154">
    <cfRule type="expression" dxfId="495" priority="139">
      <formula>K154&lt;G154</formula>
    </cfRule>
    <cfRule type="expression" dxfId="494" priority="140">
      <formula>K154&gt;G154</formula>
    </cfRule>
  </conditionalFormatting>
  <conditionalFormatting sqref="R74">
    <cfRule type="expression" dxfId="493" priority="141">
      <formula>S74&lt;O74</formula>
    </cfRule>
    <cfRule type="expression" dxfId="492" priority="142">
      <formula>S74&gt;O74</formula>
    </cfRule>
  </conditionalFormatting>
  <conditionalFormatting sqref="R76">
    <cfRule type="expression" dxfId="491" priority="143">
      <formula>S76&lt;O76</formula>
    </cfRule>
    <cfRule type="expression" dxfId="490" priority="144">
      <formula>S76&gt;O76</formula>
    </cfRule>
  </conditionalFormatting>
  <conditionalFormatting sqref="R75">
    <cfRule type="expression" dxfId="489" priority="145">
      <formula>S75&lt;O75</formula>
    </cfRule>
    <cfRule type="expression" dxfId="488" priority="146">
      <formula>S75&gt;O75</formula>
    </cfRule>
  </conditionalFormatting>
  <conditionalFormatting sqref="R78">
    <cfRule type="expression" dxfId="487" priority="147">
      <formula>S78&lt;O78</formula>
    </cfRule>
    <cfRule type="expression" dxfId="486" priority="148">
      <formula>S78&gt;O78</formula>
    </cfRule>
  </conditionalFormatting>
  <conditionalFormatting sqref="R79">
    <cfRule type="expression" dxfId="485" priority="149">
      <formula>S79&lt;O79</formula>
    </cfRule>
    <cfRule type="expression" dxfId="484" priority="150">
      <formula>S79&gt;O79</formula>
    </cfRule>
  </conditionalFormatting>
  <conditionalFormatting sqref="R83">
    <cfRule type="expression" dxfId="483" priority="151">
      <formula>S83&lt;O83</formula>
    </cfRule>
    <cfRule type="expression" dxfId="482" priority="152">
      <formula>S83&gt;O83</formula>
    </cfRule>
  </conditionalFormatting>
  <conditionalFormatting sqref="R85">
    <cfRule type="expression" dxfId="481" priority="153">
      <formula>S85&lt;O85</formula>
    </cfRule>
    <cfRule type="expression" dxfId="480" priority="154">
      <formula>S85&gt;O85</formula>
    </cfRule>
  </conditionalFormatting>
  <conditionalFormatting sqref="R84">
    <cfRule type="expression" dxfId="479" priority="155">
      <formula>S84&lt;O84</formula>
    </cfRule>
    <cfRule type="expression" dxfId="478" priority="156">
      <formula>S84&gt;O84</formula>
    </cfRule>
  </conditionalFormatting>
  <conditionalFormatting sqref="R87">
    <cfRule type="expression" dxfId="477" priority="157">
      <formula>S87&lt;O87</formula>
    </cfRule>
    <cfRule type="expression" dxfId="476" priority="158">
      <formula>S87&gt;O87</formula>
    </cfRule>
  </conditionalFormatting>
  <conditionalFormatting sqref="R89">
    <cfRule type="expression" dxfId="475" priority="159">
      <formula>S89&lt;O89</formula>
    </cfRule>
    <cfRule type="expression" dxfId="474" priority="160">
      <formula>S89&gt;O89</formula>
    </cfRule>
  </conditionalFormatting>
  <conditionalFormatting sqref="R88">
    <cfRule type="expression" dxfId="473" priority="161">
      <formula>S88&lt;O88</formula>
    </cfRule>
    <cfRule type="expression" dxfId="472" priority="162">
      <formula>S88&gt;O88</formula>
    </cfRule>
  </conditionalFormatting>
  <conditionalFormatting sqref="R92">
    <cfRule type="expression" dxfId="471" priority="163">
      <formula>S92&lt;O92</formula>
    </cfRule>
    <cfRule type="expression" dxfId="470" priority="164">
      <formula>S92&gt;O92</formula>
    </cfRule>
  </conditionalFormatting>
  <conditionalFormatting sqref="R94">
    <cfRule type="expression" dxfId="469" priority="165">
      <formula>S94&lt;O94</formula>
    </cfRule>
    <cfRule type="expression" dxfId="468" priority="166">
      <formula>S94&gt;O94</formula>
    </cfRule>
  </conditionalFormatting>
  <conditionalFormatting sqref="R93">
    <cfRule type="expression" dxfId="467" priority="167">
      <formula>S93&lt;O93</formula>
    </cfRule>
    <cfRule type="expression" dxfId="466" priority="168">
      <formula>S93&gt;O93</formula>
    </cfRule>
  </conditionalFormatting>
  <conditionalFormatting sqref="R96">
    <cfRule type="expression" dxfId="465" priority="169">
      <formula>S96&lt;O96</formula>
    </cfRule>
    <cfRule type="expression" dxfId="464" priority="170">
      <formula>S96&gt;O96</formula>
    </cfRule>
  </conditionalFormatting>
  <conditionalFormatting sqref="R97">
    <cfRule type="expression" dxfId="463" priority="171">
      <formula>S97&lt;O97</formula>
    </cfRule>
    <cfRule type="expression" dxfId="462" priority="172">
      <formula>S97&gt;O97</formula>
    </cfRule>
  </conditionalFormatting>
  <conditionalFormatting sqref="R80">
    <cfRule type="expression" dxfId="461" priority="173">
      <formula>S80&lt;O80</formula>
    </cfRule>
    <cfRule type="expression" dxfId="460" priority="174">
      <formula>S80&gt;O80</formula>
    </cfRule>
  </conditionalFormatting>
  <conditionalFormatting sqref="R98">
    <cfRule type="expression" dxfId="459" priority="175">
      <formula>S98&lt;O98</formula>
    </cfRule>
    <cfRule type="expression" dxfId="458" priority="176">
      <formula>S98&gt;O98</formula>
    </cfRule>
  </conditionalFormatting>
  <conditionalFormatting sqref="J18">
    <cfRule type="expression" dxfId="457" priority="177">
      <formula>K18&lt;G18</formula>
    </cfRule>
    <cfRule type="expression" dxfId="456" priority="178">
      <formula>K18&gt;G18</formula>
    </cfRule>
  </conditionalFormatting>
  <conditionalFormatting sqref="N153">
    <cfRule type="expression" dxfId="455" priority="179">
      <formula>O153&lt;K153</formula>
    </cfRule>
    <cfRule type="expression" dxfId="454" priority="180">
      <formula>O153&gt;K153</formula>
    </cfRule>
  </conditionalFormatting>
  <conditionalFormatting sqref="N130">
    <cfRule type="expression" dxfId="453" priority="181">
      <formula>O130&lt;K130</formula>
    </cfRule>
    <cfRule type="expression" dxfId="452" priority="182">
      <formula>O130&gt;K130</formula>
    </cfRule>
  </conditionalFormatting>
  <conditionalFormatting sqref="N132">
    <cfRule type="expression" dxfId="451" priority="183">
      <formula>O132&lt;K132</formula>
    </cfRule>
    <cfRule type="expression" dxfId="450" priority="184">
      <formula>O132&gt;K132</formula>
    </cfRule>
  </conditionalFormatting>
  <conditionalFormatting sqref="N131">
    <cfRule type="expression" dxfId="449" priority="185">
      <formula>O131&lt;K131</formula>
    </cfRule>
    <cfRule type="expression" dxfId="448" priority="186">
      <formula>O131&gt;K131</formula>
    </cfRule>
  </conditionalFormatting>
  <conditionalFormatting sqref="N134">
    <cfRule type="expression" dxfId="447" priority="187">
      <formula>O134&lt;K134</formula>
    </cfRule>
    <cfRule type="expression" dxfId="446" priority="188">
      <formula>O134&gt;K134</formula>
    </cfRule>
  </conditionalFormatting>
  <conditionalFormatting sqref="N136">
    <cfRule type="expression" dxfId="445" priority="189">
      <formula>O136&lt;K136</formula>
    </cfRule>
    <cfRule type="expression" dxfId="444" priority="190">
      <formula>O136&gt;K136</formula>
    </cfRule>
  </conditionalFormatting>
  <conditionalFormatting sqref="N135">
    <cfRule type="expression" dxfId="443" priority="191">
      <formula>O135&lt;K135</formula>
    </cfRule>
    <cfRule type="expression" dxfId="442" priority="192">
      <formula>O135&gt;K135</formula>
    </cfRule>
  </conditionalFormatting>
  <conditionalFormatting sqref="N139">
    <cfRule type="expression" dxfId="441" priority="193">
      <formula>O139&lt;K139</formula>
    </cfRule>
    <cfRule type="expression" dxfId="440" priority="194">
      <formula>O139&gt;K139</formula>
    </cfRule>
  </conditionalFormatting>
  <conditionalFormatting sqref="N141">
    <cfRule type="expression" dxfId="439" priority="195">
      <formula>O141&lt;K141</formula>
    </cfRule>
    <cfRule type="expression" dxfId="438" priority="196">
      <formula>O141&gt;K141</formula>
    </cfRule>
  </conditionalFormatting>
  <conditionalFormatting sqref="N140">
    <cfRule type="expression" dxfId="437" priority="197">
      <formula>O140&lt;K140</formula>
    </cfRule>
    <cfRule type="expression" dxfId="436" priority="198">
      <formula>O140&gt;K140</formula>
    </cfRule>
  </conditionalFormatting>
  <conditionalFormatting sqref="N143">
    <cfRule type="expression" dxfId="435" priority="199">
      <formula>O143&lt;K143</formula>
    </cfRule>
    <cfRule type="expression" dxfId="434" priority="200">
      <formula>O143&gt;K143</formula>
    </cfRule>
  </conditionalFormatting>
  <conditionalFormatting sqref="N145">
    <cfRule type="expression" dxfId="433" priority="201">
      <formula>O145&lt;K145</formula>
    </cfRule>
    <cfRule type="expression" dxfId="432" priority="202">
      <formula>O145&gt;K145</formula>
    </cfRule>
  </conditionalFormatting>
  <conditionalFormatting sqref="N144">
    <cfRule type="expression" dxfId="431" priority="203">
      <formula>O144&lt;K144</formula>
    </cfRule>
    <cfRule type="expression" dxfId="430" priority="204">
      <formula>O144&gt;K144</formula>
    </cfRule>
  </conditionalFormatting>
  <conditionalFormatting sqref="N148">
    <cfRule type="expression" dxfId="429" priority="205">
      <formula>O148&lt;K148</formula>
    </cfRule>
    <cfRule type="expression" dxfId="428" priority="206">
      <formula>O148&gt;K148</formula>
    </cfRule>
  </conditionalFormatting>
  <conditionalFormatting sqref="N150">
    <cfRule type="expression" dxfId="427" priority="207">
      <formula>O150&lt;K150</formula>
    </cfRule>
    <cfRule type="expression" dxfId="426" priority="208">
      <formula>O150&gt;K150</formula>
    </cfRule>
  </conditionalFormatting>
  <conditionalFormatting sqref="N149">
    <cfRule type="expression" dxfId="425" priority="209">
      <formula>O149&lt;K149</formula>
    </cfRule>
    <cfRule type="expression" dxfId="424" priority="210">
      <formula>O149&gt;K149</formula>
    </cfRule>
  </conditionalFormatting>
  <conditionalFormatting sqref="N152">
    <cfRule type="expression" dxfId="423" priority="211">
      <formula>O152&lt;K152</formula>
    </cfRule>
    <cfRule type="expression" dxfId="422" priority="212">
      <formula>O152&gt;K152</formula>
    </cfRule>
  </conditionalFormatting>
  <conditionalFormatting sqref="N154">
    <cfRule type="expression" dxfId="421" priority="213">
      <formula>O154&lt;K154</formula>
    </cfRule>
    <cfRule type="expression" dxfId="420" priority="214">
      <formula>O154&gt;K154</formula>
    </cfRule>
  </conditionalFormatting>
  <conditionalFormatting sqref="R153">
    <cfRule type="expression" dxfId="419" priority="215">
      <formula>S153&lt;O153</formula>
    </cfRule>
    <cfRule type="expression" dxfId="418" priority="216">
      <formula>S153&gt;O153</formula>
    </cfRule>
  </conditionalFormatting>
  <conditionalFormatting sqref="R130">
    <cfRule type="expression" dxfId="417" priority="217">
      <formula>S130&lt;O130</formula>
    </cfRule>
    <cfRule type="expression" dxfId="416" priority="218">
      <formula>S130&gt;O130</formula>
    </cfRule>
  </conditionalFormatting>
  <conditionalFormatting sqref="R132">
    <cfRule type="expression" dxfId="415" priority="219">
      <formula>S132&lt;O132</formula>
    </cfRule>
    <cfRule type="expression" dxfId="414" priority="220">
      <formula>S132&gt;O132</formula>
    </cfRule>
  </conditionalFormatting>
  <conditionalFormatting sqref="R131">
    <cfRule type="expression" dxfId="413" priority="221">
      <formula>S131&lt;O131</formula>
    </cfRule>
    <cfRule type="expression" dxfId="412" priority="222">
      <formula>S131&gt;O131</formula>
    </cfRule>
  </conditionalFormatting>
  <conditionalFormatting sqref="R134">
    <cfRule type="expression" dxfId="411" priority="223">
      <formula>S134&lt;O134</formula>
    </cfRule>
    <cfRule type="expression" dxfId="410" priority="224">
      <formula>S134&gt;O134</formula>
    </cfRule>
  </conditionalFormatting>
  <conditionalFormatting sqref="R136">
    <cfRule type="expression" dxfId="409" priority="225">
      <formula>S136&lt;O136</formula>
    </cfRule>
    <cfRule type="expression" dxfId="408" priority="226">
      <formula>S136&gt;O136</formula>
    </cfRule>
  </conditionalFormatting>
  <conditionalFormatting sqref="R135">
    <cfRule type="expression" dxfId="407" priority="227">
      <formula>S135&lt;O135</formula>
    </cfRule>
    <cfRule type="expression" dxfId="406" priority="228">
      <formula>S135&gt;O135</formula>
    </cfRule>
  </conditionalFormatting>
  <conditionalFormatting sqref="R139">
    <cfRule type="expression" dxfId="405" priority="229">
      <formula>S139&lt;O139</formula>
    </cfRule>
    <cfRule type="expression" dxfId="404" priority="230">
      <formula>S139&gt;O139</formula>
    </cfRule>
  </conditionalFormatting>
  <conditionalFormatting sqref="R141">
    <cfRule type="expression" dxfId="403" priority="231">
      <formula>S141&lt;O141</formula>
    </cfRule>
    <cfRule type="expression" dxfId="402" priority="232">
      <formula>S141&gt;O141</formula>
    </cfRule>
  </conditionalFormatting>
  <conditionalFormatting sqref="R140">
    <cfRule type="expression" dxfId="401" priority="233">
      <formula>S140&lt;O140</formula>
    </cfRule>
    <cfRule type="expression" dxfId="400" priority="234">
      <formula>S140&gt;O140</formula>
    </cfRule>
  </conditionalFormatting>
  <conditionalFormatting sqref="R143">
    <cfRule type="expression" dxfId="399" priority="235">
      <formula>S143&lt;O143</formula>
    </cfRule>
    <cfRule type="expression" dxfId="398" priority="236">
      <formula>S143&gt;O143</formula>
    </cfRule>
  </conditionalFormatting>
  <conditionalFormatting sqref="R145">
    <cfRule type="expression" dxfId="397" priority="237">
      <formula>S145&lt;O145</formula>
    </cfRule>
    <cfRule type="expression" dxfId="396" priority="238">
      <formula>S145&gt;O145</formula>
    </cfRule>
  </conditionalFormatting>
  <conditionalFormatting sqref="R144">
    <cfRule type="expression" dxfId="395" priority="239">
      <formula>S144&lt;O144</formula>
    </cfRule>
    <cfRule type="expression" dxfId="394" priority="240">
      <formula>S144&gt;O144</formula>
    </cfRule>
  </conditionalFormatting>
  <conditionalFormatting sqref="R148">
    <cfRule type="expression" dxfId="393" priority="241">
      <formula>S148&lt;O148</formula>
    </cfRule>
    <cfRule type="expression" dxfId="392" priority="242">
      <formula>S148&gt;O148</formula>
    </cfRule>
  </conditionalFormatting>
  <conditionalFormatting sqref="R150">
    <cfRule type="expression" dxfId="391" priority="243">
      <formula>S150&lt;O150</formula>
    </cfRule>
    <cfRule type="expression" dxfId="390" priority="244">
      <formula>S150&gt;O150</formula>
    </cfRule>
  </conditionalFormatting>
  <conditionalFormatting sqref="R149">
    <cfRule type="expression" dxfId="389" priority="245">
      <formula>S149&lt;O149</formula>
    </cfRule>
    <cfRule type="expression" dxfId="388" priority="246">
      <formula>S149&gt;O149</formula>
    </cfRule>
  </conditionalFormatting>
  <conditionalFormatting sqref="R152">
    <cfRule type="expression" dxfId="387" priority="247">
      <formula>S152&lt;O152</formula>
    </cfRule>
    <cfRule type="expression" dxfId="386" priority="248">
      <formula>S152&gt;O152</formula>
    </cfRule>
  </conditionalFormatting>
  <conditionalFormatting sqref="R154">
    <cfRule type="expression" dxfId="385" priority="249">
      <formula>S154&lt;O154</formula>
    </cfRule>
    <cfRule type="expression" dxfId="384" priority="250">
      <formula>S154&gt;O154</formula>
    </cfRule>
  </conditionalFormatting>
  <conditionalFormatting sqref="V153">
    <cfRule type="expression" dxfId="383" priority="251">
      <formula>W153&lt;S153</formula>
    </cfRule>
    <cfRule type="expression" dxfId="382" priority="252">
      <formula>W153&gt;S153</formula>
    </cfRule>
  </conditionalFormatting>
  <conditionalFormatting sqref="V130">
    <cfRule type="expression" dxfId="381" priority="253">
      <formula>W130&lt;S130</formula>
    </cfRule>
    <cfRule type="expression" dxfId="380" priority="254">
      <formula>W130&gt;S130</formula>
    </cfRule>
  </conditionalFormatting>
  <conditionalFormatting sqref="V132">
    <cfRule type="expression" dxfId="379" priority="255">
      <formula>W132&lt;S132</formula>
    </cfRule>
    <cfRule type="expression" dxfId="378" priority="256">
      <formula>W132&gt;S132</formula>
    </cfRule>
  </conditionalFormatting>
  <conditionalFormatting sqref="V131">
    <cfRule type="expression" dxfId="377" priority="257">
      <formula>W131&lt;S131</formula>
    </cfRule>
    <cfRule type="expression" dxfId="376" priority="258">
      <formula>W131&gt;S131</formula>
    </cfRule>
  </conditionalFormatting>
  <conditionalFormatting sqref="V134">
    <cfRule type="expression" dxfId="375" priority="259">
      <formula>W134&lt;S134</formula>
    </cfRule>
    <cfRule type="expression" dxfId="374" priority="260">
      <formula>W134&gt;S134</formula>
    </cfRule>
  </conditionalFormatting>
  <conditionalFormatting sqref="V136">
    <cfRule type="expression" dxfId="373" priority="261">
      <formula>W136&lt;S136</formula>
    </cfRule>
    <cfRule type="expression" dxfId="372" priority="262">
      <formula>W136&gt;S136</formula>
    </cfRule>
  </conditionalFormatting>
  <conditionalFormatting sqref="V135">
    <cfRule type="expression" dxfId="371" priority="263">
      <formula>W135&lt;S135</formula>
    </cfRule>
    <cfRule type="expression" dxfId="370" priority="264">
      <formula>W135&gt;S135</formula>
    </cfRule>
  </conditionalFormatting>
  <conditionalFormatting sqref="V139">
    <cfRule type="expression" dxfId="369" priority="265">
      <formula>W139&lt;S139</formula>
    </cfRule>
    <cfRule type="expression" dxfId="368" priority="266">
      <formula>W139&gt;S139</formula>
    </cfRule>
  </conditionalFormatting>
  <conditionalFormatting sqref="V141">
    <cfRule type="expression" dxfId="367" priority="267">
      <formula>W141&lt;S141</formula>
    </cfRule>
    <cfRule type="expression" dxfId="366" priority="268">
      <formula>W141&gt;S141</formula>
    </cfRule>
  </conditionalFormatting>
  <conditionalFormatting sqref="V140">
    <cfRule type="expression" dxfId="365" priority="269">
      <formula>W140&lt;S140</formula>
    </cfRule>
    <cfRule type="expression" dxfId="364" priority="270">
      <formula>W140&gt;S140</formula>
    </cfRule>
  </conditionalFormatting>
  <conditionalFormatting sqref="V143">
    <cfRule type="expression" dxfId="363" priority="271">
      <formula>W143&lt;S143</formula>
    </cfRule>
    <cfRule type="expression" dxfId="362" priority="272">
      <formula>W143&gt;S143</formula>
    </cfRule>
  </conditionalFormatting>
  <conditionalFormatting sqref="V145">
    <cfRule type="expression" dxfId="361" priority="273">
      <formula>W145&lt;S145</formula>
    </cfRule>
    <cfRule type="expression" dxfId="360" priority="274">
      <formula>W145&gt;S145</formula>
    </cfRule>
  </conditionalFormatting>
  <conditionalFormatting sqref="V144">
    <cfRule type="expression" dxfId="359" priority="275">
      <formula>W144&lt;S144</formula>
    </cfRule>
    <cfRule type="expression" dxfId="358" priority="276">
      <formula>W144&gt;S144</formula>
    </cfRule>
  </conditionalFormatting>
  <conditionalFormatting sqref="V148">
    <cfRule type="expression" dxfId="357" priority="277">
      <formula>W148&lt;S148</formula>
    </cfRule>
    <cfRule type="expression" dxfId="356" priority="278">
      <formula>W148&gt;S148</formula>
    </cfRule>
  </conditionalFormatting>
  <conditionalFormatting sqref="V150">
    <cfRule type="expression" dxfId="355" priority="279">
      <formula>W150&lt;S150</formula>
    </cfRule>
    <cfRule type="expression" dxfId="354" priority="280">
      <formula>W150&gt;S150</formula>
    </cfRule>
  </conditionalFormatting>
  <conditionalFormatting sqref="V149">
    <cfRule type="expression" dxfId="353" priority="281">
      <formula>W149&lt;S149</formula>
    </cfRule>
    <cfRule type="expression" dxfId="352" priority="282">
      <formula>W149&gt;S149</formula>
    </cfRule>
  </conditionalFormatting>
  <conditionalFormatting sqref="V152">
    <cfRule type="expression" dxfId="351" priority="283">
      <formula>W152&lt;S152</formula>
    </cfRule>
    <cfRule type="expression" dxfId="350" priority="284">
      <formula>W152&gt;S152</formula>
    </cfRule>
  </conditionalFormatting>
  <conditionalFormatting sqref="V154">
    <cfRule type="expression" dxfId="349" priority="285">
      <formula>W154&lt;S154</formula>
    </cfRule>
    <cfRule type="expression" dxfId="348" priority="286">
      <formula>W154&gt;S154</formula>
    </cfRule>
  </conditionalFormatting>
  <conditionalFormatting sqref="N102">
    <cfRule type="expression" dxfId="347" priority="287">
      <formula>O102&lt;K102</formula>
    </cfRule>
    <cfRule type="expression" dxfId="346" priority="288">
      <formula>O102&gt;K102</formula>
    </cfRule>
  </conditionalFormatting>
  <conditionalFormatting sqref="N104">
    <cfRule type="expression" dxfId="345" priority="289">
      <formula>O104&lt;K104</formula>
    </cfRule>
    <cfRule type="expression" dxfId="344" priority="290">
      <formula>O104&gt;K104</formula>
    </cfRule>
  </conditionalFormatting>
  <conditionalFormatting sqref="N103">
    <cfRule type="expression" dxfId="343" priority="291">
      <formula>O103&lt;K103</formula>
    </cfRule>
    <cfRule type="expression" dxfId="342" priority="292">
      <formula>O103&gt;K103</formula>
    </cfRule>
  </conditionalFormatting>
  <conditionalFormatting sqref="N106">
    <cfRule type="expression" dxfId="341" priority="293">
      <formula>O106&lt;K106</formula>
    </cfRule>
    <cfRule type="expression" dxfId="340" priority="294">
      <formula>O106&gt;K106</formula>
    </cfRule>
  </conditionalFormatting>
  <conditionalFormatting sqref="N108">
    <cfRule type="expression" dxfId="339" priority="295">
      <formula>O108&lt;K108</formula>
    </cfRule>
    <cfRule type="expression" dxfId="338" priority="296">
      <formula>O108&gt;K108</formula>
    </cfRule>
  </conditionalFormatting>
  <conditionalFormatting sqref="N107">
    <cfRule type="expression" dxfId="337" priority="297">
      <formula>O107&lt;K107</formula>
    </cfRule>
    <cfRule type="expression" dxfId="336" priority="298">
      <formula>O107&gt;K107</formula>
    </cfRule>
  </conditionalFormatting>
  <conditionalFormatting sqref="N111">
    <cfRule type="expression" dxfId="335" priority="299">
      <formula>O111&lt;K111</formula>
    </cfRule>
    <cfRule type="expression" dxfId="334" priority="300">
      <formula>O111&gt;K111</formula>
    </cfRule>
  </conditionalFormatting>
  <conditionalFormatting sqref="N113">
    <cfRule type="expression" dxfId="333" priority="301">
      <formula>O113&lt;K113</formula>
    </cfRule>
    <cfRule type="expression" dxfId="332" priority="302">
      <formula>O113&gt;K113</formula>
    </cfRule>
  </conditionalFormatting>
  <conditionalFormatting sqref="N112">
    <cfRule type="expression" dxfId="331" priority="303">
      <formula>O112&lt;K112</formula>
    </cfRule>
    <cfRule type="expression" dxfId="330" priority="304">
      <formula>O112&gt;K112</formula>
    </cfRule>
  </conditionalFormatting>
  <conditionalFormatting sqref="N115">
    <cfRule type="expression" dxfId="329" priority="305">
      <formula>O115&lt;K115</formula>
    </cfRule>
    <cfRule type="expression" dxfId="328" priority="306">
      <formula>O115&gt;K115</formula>
    </cfRule>
  </conditionalFormatting>
  <conditionalFormatting sqref="N117">
    <cfRule type="expression" dxfId="327" priority="307">
      <formula>O117&lt;K117</formula>
    </cfRule>
    <cfRule type="expression" dxfId="326" priority="308">
      <formula>O117&gt;K117</formula>
    </cfRule>
  </conditionalFormatting>
  <conditionalFormatting sqref="N116">
    <cfRule type="expression" dxfId="325" priority="309">
      <formula>O116&lt;K116</formula>
    </cfRule>
    <cfRule type="expression" dxfId="324" priority="310">
      <formula>O116&gt;K116</formula>
    </cfRule>
  </conditionalFormatting>
  <conditionalFormatting sqref="N120">
    <cfRule type="expression" dxfId="323" priority="311">
      <formula>O120&lt;K120</formula>
    </cfRule>
    <cfRule type="expression" dxfId="322" priority="312">
      <formula>O120&gt;K120</formula>
    </cfRule>
  </conditionalFormatting>
  <conditionalFormatting sqref="N122">
    <cfRule type="expression" dxfId="321" priority="313">
      <formula>O122&lt;K122</formula>
    </cfRule>
    <cfRule type="expression" dxfId="320" priority="314">
      <formula>O122&gt;K122</formula>
    </cfRule>
  </conditionalFormatting>
  <conditionalFormatting sqref="N121">
    <cfRule type="expression" dxfId="319" priority="315">
      <formula>O121&lt;K121</formula>
    </cfRule>
    <cfRule type="expression" dxfId="318" priority="316">
      <formula>O121&gt;K121</formula>
    </cfRule>
  </conditionalFormatting>
  <conditionalFormatting sqref="N124">
    <cfRule type="expression" dxfId="317" priority="317">
      <formula>O124&lt;K124</formula>
    </cfRule>
    <cfRule type="expression" dxfId="316" priority="318">
      <formula>O124&gt;K124</formula>
    </cfRule>
  </conditionalFormatting>
  <conditionalFormatting sqref="N126">
    <cfRule type="expression" dxfId="315" priority="319">
      <formula>O126&lt;K126</formula>
    </cfRule>
    <cfRule type="expression" dxfId="314" priority="320">
      <formula>O126&gt;K126</formula>
    </cfRule>
  </conditionalFormatting>
  <conditionalFormatting sqref="N125">
    <cfRule type="expression" dxfId="313" priority="321">
      <formula>O125&lt;K125</formula>
    </cfRule>
    <cfRule type="expression" dxfId="312" priority="322">
      <formula>O125&gt;K125</formula>
    </cfRule>
  </conditionalFormatting>
  <conditionalFormatting sqref="R102">
    <cfRule type="expression" dxfId="311" priority="323">
      <formula>S102&lt;O102</formula>
    </cfRule>
    <cfRule type="expression" dxfId="310" priority="324">
      <formula>S102&gt;O102</formula>
    </cfRule>
  </conditionalFormatting>
  <conditionalFormatting sqref="R104">
    <cfRule type="expression" dxfId="309" priority="325">
      <formula>S104&lt;O104</formula>
    </cfRule>
    <cfRule type="expression" dxfId="308" priority="326">
      <formula>S104&gt;O104</formula>
    </cfRule>
  </conditionalFormatting>
  <conditionalFormatting sqref="R103">
    <cfRule type="expression" dxfId="307" priority="327">
      <formula>S103&lt;O103</formula>
    </cfRule>
    <cfRule type="expression" dxfId="306" priority="328">
      <formula>S103&gt;O103</formula>
    </cfRule>
  </conditionalFormatting>
  <conditionalFormatting sqref="R106">
    <cfRule type="expression" dxfId="305" priority="329">
      <formula>S106&lt;O106</formula>
    </cfRule>
    <cfRule type="expression" dxfId="304" priority="330">
      <formula>S106&gt;O106</formula>
    </cfRule>
  </conditionalFormatting>
  <conditionalFormatting sqref="R108">
    <cfRule type="expression" dxfId="303" priority="331">
      <formula>S108&lt;O108</formula>
    </cfRule>
    <cfRule type="expression" dxfId="302" priority="332">
      <formula>S108&gt;O108</formula>
    </cfRule>
  </conditionalFormatting>
  <conditionalFormatting sqref="R107">
    <cfRule type="expression" dxfId="301" priority="333">
      <formula>S107&lt;O107</formula>
    </cfRule>
    <cfRule type="expression" dxfId="300" priority="334">
      <formula>S107&gt;O107</formula>
    </cfRule>
  </conditionalFormatting>
  <conditionalFormatting sqref="R111">
    <cfRule type="expression" dxfId="299" priority="335">
      <formula>S111&lt;O111</formula>
    </cfRule>
    <cfRule type="expression" dxfId="298" priority="336">
      <formula>S111&gt;O111</formula>
    </cfRule>
  </conditionalFormatting>
  <conditionalFormatting sqref="R113">
    <cfRule type="expression" dxfId="297" priority="337">
      <formula>S113&lt;O113</formula>
    </cfRule>
    <cfRule type="expression" dxfId="296" priority="338">
      <formula>S113&gt;O113</formula>
    </cfRule>
  </conditionalFormatting>
  <conditionalFormatting sqref="R112">
    <cfRule type="expression" dxfId="295" priority="339">
      <formula>S112&lt;O112</formula>
    </cfRule>
    <cfRule type="expression" dxfId="294" priority="340">
      <formula>S112&gt;O112</formula>
    </cfRule>
  </conditionalFormatting>
  <conditionalFormatting sqref="R115">
    <cfRule type="expression" dxfId="293" priority="341">
      <formula>S115&lt;O115</formula>
    </cfRule>
    <cfRule type="expression" dxfId="292" priority="342">
      <formula>S115&gt;O115</formula>
    </cfRule>
  </conditionalFormatting>
  <conditionalFormatting sqref="R117">
    <cfRule type="expression" dxfId="291" priority="343">
      <formula>S117&lt;O117</formula>
    </cfRule>
    <cfRule type="expression" dxfId="290" priority="344">
      <formula>S117&gt;O117</formula>
    </cfRule>
  </conditionalFormatting>
  <conditionalFormatting sqref="R116">
    <cfRule type="expression" dxfId="289" priority="345">
      <formula>S116&lt;O116</formula>
    </cfRule>
    <cfRule type="expression" dxfId="288" priority="346">
      <formula>S116&gt;O116</formula>
    </cfRule>
  </conditionalFormatting>
  <conditionalFormatting sqref="R120">
    <cfRule type="expression" dxfId="287" priority="347">
      <formula>S120&lt;O120</formula>
    </cfRule>
    <cfRule type="expression" dxfId="286" priority="348">
      <formula>S120&gt;O120</formula>
    </cfRule>
  </conditionalFormatting>
  <conditionalFormatting sqref="R122">
    <cfRule type="expression" dxfId="285" priority="349">
      <formula>S122&lt;O122</formula>
    </cfRule>
    <cfRule type="expression" dxfId="284" priority="350">
      <formula>S122&gt;O122</formula>
    </cfRule>
  </conditionalFormatting>
  <conditionalFormatting sqref="R121">
    <cfRule type="expression" dxfId="283" priority="351">
      <formula>S121&lt;O121</formula>
    </cfRule>
    <cfRule type="expression" dxfId="282" priority="352">
      <formula>S121&gt;O121</formula>
    </cfRule>
  </conditionalFormatting>
  <conditionalFormatting sqref="R124">
    <cfRule type="expression" dxfId="281" priority="353">
      <formula>S124&lt;O124</formula>
    </cfRule>
    <cfRule type="expression" dxfId="280" priority="354">
      <formula>S124&gt;O124</formula>
    </cfRule>
  </conditionalFormatting>
  <conditionalFormatting sqref="R126">
    <cfRule type="expression" dxfId="279" priority="355">
      <formula>S126&lt;O126</formula>
    </cfRule>
    <cfRule type="expression" dxfId="278" priority="356">
      <formula>S126&gt;O126</formula>
    </cfRule>
  </conditionalFormatting>
  <conditionalFormatting sqref="R125">
    <cfRule type="expression" dxfId="277" priority="357">
      <formula>S125&lt;O125</formula>
    </cfRule>
    <cfRule type="expression" dxfId="276" priority="358">
      <formula>S125&gt;O125</formula>
    </cfRule>
  </conditionalFormatting>
  <conditionalFormatting sqref="V102">
    <cfRule type="expression" dxfId="275" priority="359">
      <formula>W102&lt;S102</formula>
    </cfRule>
    <cfRule type="expression" dxfId="274" priority="360">
      <formula>W102&gt;S102</formula>
    </cfRule>
  </conditionalFormatting>
  <conditionalFormatting sqref="V104">
    <cfRule type="expression" dxfId="273" priority="361">
      <formula>W104&lt;S104</formula>
    </cfRule>
    <cfRule type="expression" dxfId="272" priority="362">
      <formula>W104&gt;S104</formula>
    </cfRule>
  </conditionalFormatting>
  <conditionalFormatting sqref="V103">
    <cfRule type="expression" dxfId="271" priority="363">
      <formula>W103&lt;S103</formula>
    </cfRule>
    <cfRule type="expression" dxfId="270" priority="364">
      <formula>W103&gt;S103</formula>
    </cfRule>
  </conditionalFormatting>
  <conditionalFormatting sqref="V106">
    <cfRule type="expression" dxfId="269" priority="365">
      <formula>W106&lt;S106</formula>
    </cfRule>
    <cfRule type="expression" dxfId="268" priority="366">
      <formula>W106&gt;S106</formula>
    </cfRule>
  </conditionalFormatting>
  <conditionalFormatting sqref="V108">
    <cfRule type="expression" dxfId="267" priority="367">
      <formula>W108&lt;S108</formula>
    </cfRule>
    <cfRule type="expression" dxfId="266" priority="368">
      <formula>W108&gt;S108</formula>
    </cfRule>
  </conditionalFormatting>
  <conditionalFormatting sqref="V107">
    <cfRule type="expression" dxfId="265" priority="369">
      <formula>W107&lt;S107</formula>
    </cfRule>
    <cfRule type="expression" dxfId="264" priority="370">
      <formula>W107&gt;S107</formula>
    </cfRule>
  </conditionalFormatting>
  <conditionalFormatting sqref="V111">
    <cfRule type="expression" dxfId="263" priority="371">
      <formula>W111&lt;S111</formula>
    </cfRule>
    <cfRule type="expression" dxfId="262" priority="372">
      <formula>W111&gt;S111</formula>
    </cfRule>
  </conditionalFormatting>
  <conditionalFormatting sqref="V113">
    <cfRule type="expression" dxfId="261" priority="373">
      <formula>W113&lt;S113</formula>
    </cfRule>
    <cfRule type="expression" dxfId="260" priority="374">
      <formula>W113&gt;S113</formula>
    </cfRule>
  </conditionalFormatting>
  <conditionalFormatting sqref="V112">
    <cfRule type="expression" dxfId="259" priority="375">
      <formula>W112&lt;S112</formula>
    </cfRule>
    <cfRule type="expression" dxfId="258" priority="376">
      <formula>W112&gt;S112</formula>
    </cfRule>
  </conditionalFormatting>
  <conditionalFormatting sqref="V115">
    <cfRule type="expression" dxfId="257" priority="377">
      <formula>W115&lt;S115</formula>
    </cfRule>
    <cfRule type="expression" dxfId="256" priority="378">
      <formula>W115&gt;S115</formula>
    </cfRule>
  </conditionalFormatting>
  <conditionalFormatting sqref="V117">
    <cfRule type="expression" dxfId="255" priority="379">
      <formula>W117&lt;S117</formula>
    </cfRule>
    <cfRule type="expression" dxfId="254" priority="380">
      <formula>W117&gt;S117</formula>
    </cfRule>
  </conditionalFormatting>
  <conditionalFormatting sqref="V116">
    <cfRule type="expression" dxfId="253" priority="381">
      <formula>W116&lt;S116</formula>
    </cfRule>
    <cfRule type="expression" dxfId="252" priority="382">
      <formula>W116&gt;S116</formula>
    </cfRule>
  </conditionalFormatting>
  <conditionalFormatting sqref="V120">
    <cfRule type="expression" dxfId="251" priority="383">
      <formula>W120&lt;S120</formula>
    </cfRule>
    <cfRule type="expression" dxfId="250" priority="384">
      <formula>W120&gt;S120</formula>
    </cfRule>
  </conditionalFormatting>
  <conditionalFormatting sqref="V122">
    <cfRule type="expression" dxfId="249" priority="385">
      <formula>W122&lt;S122</formula>
    </cfRule>
    <cfRule type="expression" dxfId="248" priority="386">
      <formula>W122&gt;S122</formula>
    </cfRule>
  </conditionalFormatting>
  <conditionalFormatting sqref="V121">
    <cfRule type="expression" dxfId="247" priority="387">
      <formula>W121&lt;S121</formula>
    </cfRule>
    <cfRule type="expression" dxfId="246" priority="388">
      <formula>W121&gt;S121</formula>
    </cfRule>
  </conditionalFormatting>
  <conditionalFormatting sqref="V124">
    <cfRule type="expression" dxfId="245" priority="389">
      <formula>W124&lt;S124</formula>
    </cfRule>
    <cfRule type="expression" dxfId="244" priority="390">
      <formula>W124&gt;S124</formula>
    </cfRule>
  </conditionalFormatting>
  <conditionalFormatting sqref="V126">
    <cfRule type="expression" dxfId="243" priority="391">
      <formula>W126&lt;S126</formula>
    </cfRule>
    <cfRule type="expression" dxfId="242" priority="392">
      <formula>W126&gt;S126</formula>
    </cfRule>
  </conditionalFormatting>
  <conditionalFormatting sqref="V125">
    <cfRule type="expression" dxfId="241" priority="393">
      <formula>W125&lt;S125</formula>
    </cfRule>
    <cfRule type="expression" dxfId="240" priority="394">
      <formula>W125&gt;S125</formula>
    </cfRule>
  </conditionalFormatting>
  <conditionalFormatting sqref="V74">
    <cfRule type="expression" dxfId="239" priority="395">
      <formula>W74&lt;S74</formula>
    </cfRule>
    <cfRule type="expression" dxfId="238" priority="396">
      <formula>W74&gt;S74</formula>
    </cfRule>
  </conditionalFormatting>
  <conditionalFormatting sqref="V76">
    <cfRule type="expression" dxfId="237" priority="397">
      <formula>W76&lt;S76</formula>
    </cfRule>
    <cfRule type="expression" dxfId="236" priority="398">
      <formula>W76&gt;S76</formula>
    </cfRule>
  </conditionalFormatting>
  <conditionalFormatting sqref="V75">
    <cfRule type="expression" dxfId="235" priority="399">
      <formula>W75&lt;S75</formula>
    </cfRule>
    <cfRule type="expression" dxfId="234" priority="400">
      <formula>W75&gt;S75</formula>
    </cfRule>
  </conditionalFormatting>
  <conditionalFormatting sqref="V78">
    <cfRule type="expression" dxfId="233" priority="401">
      <formula>W78&lt;S78</formula>
    </cfRule>
    <cfRule type="expression" dxfId="232" priority="402">
      <formula>W78&gt;S78</formula>
    </cfRule>
  </conditionalFormatting>
  <conditionalFormatting sqref="V79">
    <cfRule type="expression" dxfId="231" priority="403">
      <formula>W79&lt;S79</formula>
    </cfRule>
    <cfRule type="expression" dxfId="230" priority="404">
      <formula>W79&gt;S79</formula>
    </cfRule>
  </conditionalFormatting>
  <conditionalFormatting sqref="V83">
    <cfRule type="expression" dxfId="229" priority="405">
      <formula>W83&lt;S83</formula>
    </cfRule>
    <cfRule type="expression" dxfId="228" priority="406">
      <formula>W83&gt;S83</formula>
    </cfRule>
  </conditionalFormatting>
  <conditionalFormatting sqref="V85">
    <cfRule type="expression" dxfId="227" priority="407">
      <formula>W85&lt;S85</formula>
    </cfRule>
    <cfRule type="expression" dxfId="226" priority="408">
      <formula>W85&gt;S85</formula>
    </cfRule>
  </conditionalFormatting>
  <conditionalFormatting sqref="V84">
    <cfRule type="expression" dxfId="225" priority="409">
      <formula>W84&lt;S84</formula>
    </cfRule>
    <cfRule type="expression" dxfId="224" priority="410">
      <formula>W84&gt;S84</formula>
    </cfRule>
  </conditionalFormatting>
  <conditionalFormatting sqref="V87">
    <cfRule type="expression" dxfId="223" priority="411">
      <formula>W87&lt;S87</formula>
    </cfRule>
    <cfRule type="expression" dxfId="222" priority="412">
      <formula>W87&gt;S87</formula>
    </cfRule>
  </conditionalFormatting>
  <conditionalFormatting sqref="V89">
    <cfRule type="expression" dxfId="221" priority="413">
      <formula>W89&lt;S89</formula>
    </cfRule>
    <cfRule type="expression" dxfId="220" priority="414">
      <formula>W89&gt;S89</formula>
    </cfRule>
  </conditionalFormatting>
  <conditionalFormatting sqref="V88">
    <cfRule type="expression" dxfId="219" priority="415">
      <formula>W88&lt;S88</formula>
    </cfRule>
    <cfRule type="expression" dxfId="218" priority="416">
      <formula>W88&gt;S88</formula>
    </cfRule>
  </conditionalFormatting>
  <conditionalFormatting sqref="V92">
    <cfRule type="expression" dxfId="217" priority="417">
      <formula>W92&lt;S92</formula>
    </cfRule>
    <cfRule type="expression" dxfId="216" priority="418">
      <formula>W92&gt;S92</formula>
    </cfRule>
  </conditionalFormatting>
  <conditionalFormatting sqref="V94">
    <cfRule type="expression" dxfId="215" priority="419">
      <formula>W94&lt;S94</formula>
    </cfRule>
    <cfRule type="expression" dxfId="214" priority="420">
      <formula>W94&gt;S94</formula>
    </cfRule>
  </conditionalFormatting>
  <conditionalFormatting sqref="V93">
    <cfRule type="expression" dxfId="213" priority="421">
      <formula>W93&lt;S93</formula>
    </cfRule>
    <cfRule type="expression" dxfId="212" priority="422">
      <formula>W93&gt;S93</formula>
    </cfRule>
  </conditionalFormatting>
  <conditionalFormatting sqref="V96">
    <cfRule type="expression" dxfId="211" priority="423">
      <formula>W96&lt;S96</formula>
    </cfRule>
    <cfRule type="expression" dxfId="210" priority="424">
      <formula>W96&gt;S96</formula>
    </cfRule>
  </conditionalFormatting>
  <conditionalFormatting sqref="V97">
    <cfRule type="expression" dxfId="209" priority="425">
      <formula>W97&lt;S97</formula>
    </cfRule>
    <cfRule type="expression" dxfId="208" priority="426">
      <formula>W97&gt;S97</formula>
    </cfRule>
  </conditionalFormatting>
  <conditionalFormatting sqref="V80">
    <cfRule type="expression" dxfId="207" priority="427">
      <formula>W80&lt;S80</formula>
    </cfRule>
    <cfRule type="expression" dxfId="206" priority="428">
      <formula>W80&gt;S80</formula>
    </cfRule>
  </conditionalFormatting>
  <conditionalFormatting sqref="V98">
    <cfRule type="expression" dxfId="205" priority="429">
      <formula>W98&lt;S98</formula>
    </cfRule>
    <cfRule type="expression" dxfId="204" priority="430">
      <formula>W98&gt;S98</formula>
    </cfRule>
  </conditionalFormatting>
  <conditionalFormatting sqref="N46">
    <cfRule type="expression" dxfId="203" priority="431">
      <formula>O46&lt;K46</formula>
    </cfRule>
    <cfRule type="expression" dxfId="202" priority="432">
      <formula>O46&gt;K46</formula>
    </cfRule>
  </conditionalFormatting>
  <conditionalFormatting sqref="N48">
    <cfRule type="expression" dxfId="201" priority="433">
      <formula>O48&lt;K48</formula>
    </cfRule>
    <cfRule type="expression" dxfId="200" priority="434">
      <formula>O48&gt;K48</formula>
    </cfRule>
  </conditionalFormatting>
  <conditionalFormatting sqref="N47">
    <cfRule type="expression" dxfId="199" priority="435">
      <formula>O47&lt;K47</formula>
    </cfRule>
    <cfRule type="expression" dxfId="198" priority="436">
      <formula>O47&gt;K47</formula>
    </cfRule>
  </conditionalFormatting>
  <conditionalFormatting sqref="N50">
    <cfRule type="expression" dxfId="197" priority="437">
      <formula>O50&lt;K50</formula>
    </cfRule>
    <cfRule type="expression" dxfId="196" priority="438">
      <formula>O50&gt;K50</formula>
    </cfRule>
  </conditionalFormatting>
  <conditionalFormatting sqref="N52">
    <cfRule type="expression" dxfId="195" priority="439">
      <formula>O52&lt;K52</formula>
    </cfRule>
    <cfRule type="expression" dxfId="194" priority="440">
      <formula>O52&gt;K52</formula>
    </cfRule>
  </conditionalFormatting>
  <conditionalFormatting sqref="N51">
    <cfRule type="expression" dxfId="193" priority="441">
      <formula>O51&lt;K51</formula>
    </cfRule>
    <cfRule type="expression" dxfId="192" priority="442">
      <formula>O51&gt;K51</formula>
    </cfRule>
  </conditionalFormatting>
  <conditionalFormatting sqref="N55:N56">
    <cfRule type="expression" dxfId="191" priority="443">
      <formula>O55&lt;K55</formula>
    </cfRule>
    <cfRule type="expression" dxfId="190" priority="444">
      <formula>O55&gt;K55</formula>
    </cfRule>
  </conditionalFormatting>
  <conditionalFormatting sqref="N57">
    <cfRule type="expression" dxfId="189" priority="445">
      <formula>O57&lt;K57</formula>
    </cfRule>
    <cfRule type="expression" dxfId="188" priority="446">
      <formula>O57&gt;K57</formula>
    </cfRule>
  </conditionalFormatting>
  <conditionalFormatting sqref="N59">
    <cfRule type="expression" dxfId="187" priority="447">
      <formula>O59&lt;K59</formula>
    </cfRule>
    <cfRule type="expression" dxfId="186" priority="448">
      <formula>O59&gt;K59</formula>
    </cfRule>
  </conditionalFormatting>
  <conditionalFormatting sqref="N61">
    <cfRule type="expression" dxfId="185" priority="449">
      <formula>O61&lt;K61</formula>
    </cfRule>
    <cfRule type="expression" dxfId="184" priority="450">
      <formula>O61&gt;K61</formula>
    </cfRule>
  </conditionalFormatting>
  <conditionalFormatting sqref="N60">
    <cfRule type="expression" dxfId="183" priority="451">
      <formula>O60&lt;K60</formula>
    </cfRule>
    <cfRule type="expression" dxfId="182" priority="452">
      <formula>O60&gt;K60</formula>
    </cfRule>
  </conditionalFormatting>
  <conditionalFormatting sqref="N64">
    <cfRule type="expression" dxfId="181" priority="453">
      <formula>O64&lt;K64</formula>
    </cfRule>
    <cfRule type="expression" dxfId="180" priority="454">
      <formula>O64&gt;K64</formula>
    </cfRule>
  </conditionalFormatting>
  <conditionalFormatting sqref="N66">
    <cfRule type="expression" dxfId="179" priority="455">
      <formula>O66&lt;K66</formula>
    </cfRule>
    <cfRule type="expression" dxfId="178" priority="456">
      <formula>O66&gt;K66</formula>
    </cfRule>
  </conditionalFormatting>
  <conditionalFormatting sqref="N65">
    <cfRule type="expression" dxfId="177" priority="457">
      <formula>O65&lt;K65</formula>
    </cfRule>
    <cfRule type="expression" dxfId="176" priority="458">
      <formula>O65&gt;K65</formula>
    </cfRule>
  </conditionalFormatting>
  <conditionalFormatting sqref="N68">
    <cfRule type="expression" dxfId="175" priority="459">
      <formula>O68&lt;K68</formula>
    </cfRule>
    <cfRule type="expression" dxfId="174" priority="460">
      <formula>O68&gt;K68</formula>
    </cfRule>
  </conditionalFormatting>
  <conditionalFormatting sqref="N70">
    <cfRule type="expression" dxfId="173" priority="461">
      <formula>O70&lt;K70</formula>
    </cfRule>
    <cfRule type="expression" dxfId="172" priority="462">
      <formula>O70&gt;K70</formula>
    </cfRule>
  </conditionalFormatting>
  <conditionalFormatting sqref="N69">
    <cfRule type="expression" dxfId="171" priority="463">
      <formula>O69&lt;K69</formula>
    </cfRule>
    <cfRule type="expression" dxfId="170" priority="464">
      <formula>O69&gt;K69</formula>
    </cfRule>
  </conditionalFormatting>
  <conditionalFormatting sqref="R46">
    <cfRule type="expression" dxfId="169" priority="465">
      <formula>S46&lt;O46</formula>
    </cfRule>
    <cfRule type="expression" dxfId="168" priority="466">
      <formula>S46&gt;O46</formula>
    </cfRule>
  </conditionalFormatting>
  <conditionalFormatting sqref="R48">
    <cfRule type="expression" dxfId="167" priority="467">
      <formula>S48&lt;O48</formula>
    </cfRule>
    <cfRule type="expression" dxfId="166" priority="468">
      <formula>S48&gt;O48</formula>
    </cfRule>
  </conditionalFormatting>
  <conditionalFormatting sqref="R47">
    <cfRule type="expression" dxfId="165" priority="469">
      <formula>S47&lt;O47</formula>
    </cfRule>
    <cfRule type="expression" dxfId="164" priority="470">
      <formula>S47&gt;O47</formula>
    </cfRule>
  </conditionalFormatting>
  <conditionalFormatting sqref="R50">
    <cfRule type="expression" dxfId="163" priority="471">
      <formula>S50&lt;O50</formula>
    </cfRule>
    <cfRule type="expression" dxfId="162" priority="472">
      <formula>S50&gt;O50</formula>
    </cfRule>
  </conditionalFormatting>
  <conditionalFormatting sqref="R52">
    <cfRule type="expression" dxfId="161" priority="473">
      <formula>S52&lt;O52</formula>
    </cfRule>
    <cfRule type="expression" dxfId="160" priority="474">
      <formula>S52&gt;O52</formula>
    </cfRule>
  </conditionalFormatting>
  <conditionalFormatting sqref="R51">
    <cfRule type="expression" dxfId="159" priority="475">
      <formula>S51&lt;O51</formula>
    </cfRule>
    <cfRule type="expression" dxfId="158" priority="476">
      <formula>S51&gt;O51</formula>
    </cfRule>
  </conditionalFormatting>
  <conditionalFormatting sqref="R55:R56">
    <cfRule type="expression" dxfId="157" priority="477">
      <formula>S55&lt;O55</formula>
    </cfRule>
    <cfRule type="expression" dxfId="156" priority="478">
      <formula>S55&gt;O55</formula>
    </cfRule>
  </conditionalFormatting>
  <conditionalFormatting sqref="R57">
    <cfRule type="expression" dxfId="155" priority="479">
      <formula>S57&lt;O57</formula>
    </cfRule>
    <cfRule type="expression" dxfId="154" priority="480">
      <formula>S57&gt;O57</formula>
    </cfRule>
  </conditionalFormatting>
  <conditionalFormatting sqref="R59">
    <cfRule type="expression" dxfId="153" priority="481">
      <formula>S59&lt;O59</formula>
    </cfRule>
    <cfRule type="expression" dxfId="152" priority="482">
      <formula>S59&gt;O59</formula>
    </cfRule>
  </conditionalFormatting>
  <conditionalFormatting sqref="R61">
    <cfRule type="expression" dxfId="151" priority="483">
      <formula>S61&lt;O61</formula>
    </cfRule>
    <cfRule type="expression" dxfId="150" priority="484">
      <formula>S61&gt;O61</formula>
    </cfRule>
  </conditionalFormatting>
  <conditionalFormatting sqref="R60">
    <cfRule type="expression" dxfId="149" priority="485">
      <formula>S60&lt;O60</formula>
    </cfRule>
    <cfRule type="expression" dxfId="148" priority="486">
      <formula>S60&gt;O60</formula>
    </cfRule>
  </conditionalFormatting>
  <conditionalFormatting sqref="R64">
    <cfRule type="expression" dxfId="147" priority="487">
      <formula>S64&lt;O64</formula>
    </cfRule>
    <cfRule type="expression" dxfId="146" priority="488">
      <formula>S64&gt;O64</formula>
    </cfRule>
  </conditionalFormatting>
  <conditionalFormatting sqref="R66">
    <cfRule type="expression" dxfId="145" priority="489">
      <formula>S66&lt;O66</formula>
    </cfRule>
    <cfRule type="expression" dxfId="144" priority="490">
      <formula>S66&gt;O66</formula>
    </cfRule>
  </conditionalFormatting>
  <conditionalFormatting sqref="R65">
    <cfRule type="expression" dxfId="143" priority="491">
      <formula>S65&lt;O65</formula>
    </cfRule>
    <cfRule type="expression" dxfId="142" priority="492">
      <formula>S65&gt;O65</formula>
    </cfRule>
  </conditionalFormatting>
  <conditionalFormatting sqref="R68">
    <cfRule type="expression" dxfId="141" priority="493">
      <formula>S68&lt;O68</formula>
    </cfRule>
    <cfRule type="expression" dxfId="140" priority="494">
      <formula>S68&gt;O68</formula>
    </cfRule>
  </conditionalFormatting>
  <conditionalFormatting sqref="R70">
    <cfRule type="expression" dxfId="139" priority="495">
      <formula>S70&lt;O70</formula>
    </cfRule>
    <cfRule type="expression" dxfId="138" priority="496">
      <formula>S70&gt;O70</formula>
    </cfRule>
  </conditionalFormatting>
  <conditionalFormatting sqref="R69">
    <cfRule type="expression" dxfId="137" priority="497">
      <formula>S69&lt;O69</formula>
    </cfRule>
    <cfRule type="expression" dxfId="136" priority="498">
      <formula>S69&gt;O69</formula>
    </cfRule>
  </conditionalFormatting>
  <conditionalFormatting sqref="V46">
    <cfRule type="expression" dxfId="135" priority="499">
      <formula>W46&lt;S46</formula>
    </cfRule>
    <cfRule type="expression" dxfId="134" priority="500">
      <formula>W46&gt;S46</formula>
    </cfRule>
  </conditionalFormatting>
  <conditionalFormatting sqref="V48">
    <cfRule type="expression" dxfId="133" priority="501">
      <formula>W48&lt;S48</formula>
    </cfRule>
    <cfRule type="expression" dxfId="132" priority="502">
      <formula>W48&gt;S48</formula>
    </cfRule>
  </conditionalFormatting>
  <conditionalFormatting sqref="V47">
    <cfRule type="expression" dxfId="131" priority="503">
      <formula>W47&lt;S47</formula>
    </cfRule>
    <cfRule type="expression" dxfId="130" priority="504">
      <formula>W47&gt;S47</formula>
    </cfRule>
  </conditionalFormatting>
  <conditionalFormatting sqref="V50">
    <cfRule type="expression" dxfId="129" priority="505">
      <formula>W50&lt;S50</formula>
    </cfRule>
    <cfRule type="expression" dxfId="128" priority="506">
      <formula>W50&gt;S50</formula>
    </cfRule>
  </conditionalFormatting>
  <conditionalFormatting sqref="V52">
    <cfRule type="expression" dxfId="127" priority="507">
      <formula>W52&lt;S52</formula>
    </cfRule>
    <cfRule type="expression" dxfId="126" priority="508">
      <formula>W52&gt;S52</formula>
    </cfRule>
  </conditionalFormatting>
  <conditionalFormatting sqref="V51">
    <cfRule type="expression" dxfId="125" priority="509">
      <formula>W51&lt;S51</formula>
    </cfRule>
    <cfRule type="expression" dxfId="124" priority="510">
      <formula>W51&gt;S51</formula>
    </cfRule>
  </conditionalFormatting>
  <conditionalFormatting sqref="V55:V56">
    <cfRule type="expression" dxfId="123" priority="511">
      <formula>W55&lt;S55</formula>
    </cfRule>
    <cfRule type="expression" dxfId="122" priority="512">
      <formula>W55&gt;S55</formula>
    </cfRule>
  </conditionalFormatting>
  <conditionalFormatting sqref="V57">
    <cfRule type="expression" dxfId="121" priority="513">
      <formula>W57&lt;S57</formula>
    </cfRule>
    <cfRule type="expression" dxfId="120" priority="514">
      <formula>W57&gt;S57</formula>
    </cfRule>
  </conditionalFormatting>
  <conditionalFormatting sqref="V59">
    <cfRule type="expression" dxfId="119" priority="515">
      <formula>W59&lt;S59</formula>
    </cfRule>
    <cfRule type="expression" dxfId="118" priority="516">
      <formula>W59&gt;S59</formula>
    </cfRule>
  </conditionalFormatting>
  <conditionalFormatting sqref="V61">
    <cfRule type="expression" dxfId="117" priority="517">
      <formula>W61&lt;S61</formula>
    </cfRule>
    <cfRule type="expression" dxfId="116" priority="518">
      <formula>W61&gt;S61</formula>
    </cfRule>
  </conditionalFormatting>
  <conditionalFormatting sqref="V60">
    <cfRule type="expression" dxfId="115" priority="519">
      <formula>W60&lt;S60</formula>
    </cfRule>
    <cfRule type="expression" dxfId="114" priority="520">
      <formula>W60&gt;S60</formula>
    </cfRule>
  </conditionalFormatting>
  <conditionalFormatting sqref="V64">
    <cfRule type="expression" dxfId="113" priority="521">
      <formula>W64&lt;S64</formula>
    </cfRule>
    <cfRule type="expression" dxfId="112" priority="522">
      <formula>W64&gt;S64</formula>
    </cfRule>
  </conditionalFormatting>
  <conditionalFormatting sqref="V66">
    <cfRule type="expression" dxfId="111" priority="523">
      <formula>W66&lt;S66</formula>
    </cfRule>
    <cfRule type="expression" dxfId="110" priority="524">
      <formula>W66&gt;S66</formula>
    </cfRule>
  </conditionalFormatting>
  <conditionalFormatting sqref="V65">
    <cfRule type="expression" dxfId="109" priority="525">
      <formula>W65&lt;S65</formula>
    </cfRule>
    <cfRule type="expression" dxfId="108" priority="526">
      <formula>W65&gt;S65</formula>
    </cfRule>
  </conditionalFormatting>
  <conditionalFormatting sqref="V68">
    <cfRule type="expression" dxfId="107" priority="527">
      <formula>W68&lt;S68</formula>
    </cfRule>
    <cfRule type="expression" dxfId="106" priority="528">
      <formula>W68&gt;S68</formula>
    </cfRule>
  </conditionalFormatting>
  <conditionalFormatting sqref="V70">
    <cfRule type="expression" dxfId="105" priority="529">
      <formula>W70&lt;S70</formula>
    </cfRule>
    <cfRule type="expression" dxfId="104" priority="530">
      <formula>W70&gt;S70</formula>
    </cfRule>
  </conditionalFormatting>
  <conditionalFormatting sqref="V69">
    <cfRule type="expression" dxfId="103" priority="531">
      <formula>W69&lt;S69</formula>
    </cfRule>
    <cfRule type="expression" dxfId="102" priority="532">
      <formula>W69&gt;S69</formula>
    </cfRule>
  </conditionalFormatting>
  <conditionalFormatting sqref="N20">
    <cfRule type="expression" dxfId="101" priority="533">
      <formula>O20&lt;K20</formula>
    </cfRule>
    <cfRule type="expression" dxfId="100" priority="534">
      <formula>O20&gt;K20</formula>
    </cfRule>
  </conditionalFormatting>
  <conditionalFormatting sqref="N19">
    <cfRule type="expression" dxfId="99" priority="535">
      <formula>O19&lt;K19</formula>
    </cfRule>
    <cfRule type="expression" dxfId="98" priority="536">
      <formula>O19&gt;K19</formula>
    </cfRule>
  </conditionalFormatting>
  <conditionalFormatting sqref="N22:N23">
    <cfRule type="expression" dxfId="97" priority="537">
      <formula>O22&lt;K22</formula>
    </cfRule>
    <cfRule type="expression" dxfId="96" priority="538">
      <formula>O22&gt;K22</formula>
    </cfRule>
  </conditionalFormatting>
  <conditionalFormatting sqref="N24">
    <cfRule type="expression" dxfId="95" priority="539">
      <formula>O24&lt;K24</formula>
    </cfRule>
    <cfRule type="expression" dxfId="94" priority="540">
      <formula>O24&gt;K24</formula>
    </cfRule>
  </conditionalFormatting>
  <conditionalFormatting sqref="N27">
    <cfRule type="expression" dxfId="93" priority="541">
      <formula>O27&lt;K27</formula>
    </cfRule>
    <cfRule type="expression" dxfId="92" priority="542">
      <formula>O27&gt;K27</formula>
    </cfRule>
  </conditionalFormatting>
  <conditionalFormatting sqref="N29">
    <cfRule type="expression" dxfId="91" priority="543">
      <formula>O29&lt;K29</formula>
    </cfRule>
    <cfRule type="expression" dxfId="90" priority="544">
      <formula>O29&gt;K29</formula>
    </cfRule>
  </conditionalFormatting>
  <conditionalFormatting sqref="N28">
    <cfRule type="expression" dxfId="89" priority="545">
      <formula>O28&lt;K28</formula>
    </cfRule>
    <cfRule type="expression" dxfId="88" priority="546">
      <formula>O28&gt;K28</formula>
    </cfRule>
  </conditionalFormatting>
  <conditionalFormatting sqref="N31">
    <cfRule type="expression" dxfId="87" priority="547">
      <formula>O31&lt;K31</formula>
    </cfRule>
    <cfRule type="expression" dxfId="86" priority="548">
      <formula>O31&gt;K31</formula>
    </cfRule>
  </conditionalFormatting>
  <conditionalFormatting sqref="N33">
    <cfRule type="expression" dxfId="85" priority="549">
      <formula>O33&lt;K33</formula>
    </cfRule>
    <cfRule type="expression" dxfId="84" priority="550">
      <formula>O33&gt;K33</formula>
    </cfRule>
  </conditionalFormatting>
  <conditionalFormatting sqref="N32">
    <cfRule type="expression" dxfId="83" priority="551">
      <formula>O32&lt;K32</formula>
    </cfRule>
    <cfRule type="expression" dxfId="82" priority="552">
      <formula>O32&gt;K32</formula>
    </cfRule>
  </conditionalFormatting>
  <conditionalFormatting sqref="N36">
    <cfRule type="expression" dxfId="81" priority="553">
      <formula>O36&lt;K36</formula>
    </cfRule>
    <cfRule type="expression" dxfId="80" priority="554">
      <formula>O36&gt;K36</formula>
    </cfRule>
  </conditionalFormatting>
  <conditionalFormatting sqref="N38">
    <cfRule type="expression" dxfId="79" priority="555">
      <formula>O38&lt;K38</formula>
    </cfRule>
    <cfRule type="expression" dxfId="78" priority="556">
      <formula>O38&gt;K38</formula>
    </cfRule>
  </conditionalFormatting>
  <conditionalFormatting sqref="N37">
    <cfRule type="expression" dxfId="77" priority="557">
      <formula>O37&lt;K37</formula>
    </cfRule>
    <cfRule type="expression" dxfId="76" priority="558">
      <formula>O37&gt;K37</formula>
    </cfRule>
  </conditionalFormatting>
  <conditionalFormatting sqref="N40">
    <cfRule type="expression" dxfId="75" priority="559">
      <formula>O40&lt;K40</formula>
    </cfRule>
    <cfRule type="expression" dxfId="74" priority="560">
      <formula>O40&gt;K40</formula>
    </cfRule>
  </conditionalFormatting>
  <conditionalFormatting sqref="N42">
    <cfRule type="expression" dxfId="73" priority="561">
      <formula>O42&lt;K42</formula>
    </cfRule>
    <cfRule type="expression" dxfId="72" priority="562">
      <formula>O42&gt;K42</formula>
    </cfRule>
  </conditionalFormatting>
  <conditionalFormatting sqref="N41">
    <cfRule type="expression" dxfId="71" priority="563">
      <formula>O41&lt;K41</formula>
    </cfRule>
    <cfRule type="expression" dxfId="70" priority="564">
      <formula>O41&gt;K41</formula>
    </cfRule>
  </conditionalFormatting>
  <conditionalFormatting sqref="N18">
    <cfRule type="expression" dxfId="69" priority="565">
      <formula>O18&lt;K18</formula>
    </cfRule>
    <cfRule type="expression" dxfId="68" priority="566">
      <formula>O18&gt;K18</formula>
    </cfRule>
  </conditionalFormatting>
  <conditionalFormatting sqref="R20">
    <cfRule type="expression" dxfId="67" priority="567">
      <formula>S20&lt;O20</formula>
    </cfRule>
    <cfRule type="expression" dxfId="66" priority="568">
      <formula>S20&gt;O20</formula>
    </cfRule>
  </conditionalFormatting>
  <conditionalFormatting sqref="R19">
    <cfRule type="expression" dxfId="65" priority="569">
      <formula>S19&lt;O19</formula>
    </cfRule>
    <cfRule type="expression" dxfId="64" priority="570">
      <formula>S19&gt;O19</formula>
    </cfRule>
  </conditionalFormatting>
  <conditionalFormatting sqref="R22:R23">
    <cfRule type="expression" dxfId="63" priority="571">
      <formula>S22&lt;O22</formula>
    </cfRule>
    <cfRule type="expression" dxfId="62" priority="572">
      <formula>S22&gt;O22</formula>
    </cfRule>
  </conditionalFormatting>
  <conditionalFormatting sqref="R24">
    <cfRule type="expression" dxfId="61" priority="573">
      <formula>S24&lt;O24</formula>
    </cfRule>
    <cfRule type="expression" dxfId="60" priority="574">
      <formula>S24&gt;O24</formula>
    </cfRule>
  </conditionalFormatting>
  <conditionalFormatting sqref="R27">
    <cfRule type="expression" dxfId="59" priority="575">
      <formula>S27&lt;O27</formula>
    </cfRule>
    <cfRule type="expression" dxfId="58" priority="576">
      <formula>S27&gt;O27</formula>
    </cfRule>
  </conditionalFormatting>
  <conditionalFormatting sqref="R29">
    <cfRule type="expression" dxfId="57" priority="577">
      <formula>S29&lt;O29</formula>
    </cfRule>
    <cfRule type="expression" dxfId="56" priority="578">
      <formula>S29&gt;O29</formula>
    </cfRule>
  </conditionalFormatting>
  <conditionalFormatting sqref="R28">
    <cfRule type="expression" dxfId="55" priority="579">
      <formula>S28&lt;O28</formula>
    </cfRule>
    <cfRule type="expression" dxfId="54" priority="580">
      <formula>S28&gt;O28</formula>
    </cfRule>
  </conditionalFormatting>
  <conditionalFormatting sqref="R31">
    <cfRule type="expression" dxfId="53" priority="581">
      <formula>S31&lt;O31</formula>
    </cfRule>
    <cfRule type="expression" dxfId="52" priority="582">
      <formula>S31&gt;O31</formula>
    </cfRule>
  </conditionalFormatting>
  <conditionalFormatting sqref="R33">
    <cfRule type="expression" dxfId="51" priority="583">
      <formula>S33&lt;O33</formula>
    </cfRule>
    <cfRule type="expression" dxfId="50" priority="584">
      <formula>S33&gt;O33</formula>
    </cfRule>
  </conditionalFormatting>
  <conditionalFormatting sqref="R32">
    <cfRule type="expression" dxfId="49" priority="585">
      <formula>S32&lt;O32</formula>
    </cfRule>
    <cfRule type="expression" dxfId="48" priority="586">
      <formula>S32&gt;O32</formula>
    </cfRule>
  </conditionalFormatting>
  <conditionalFormatting sqref="R36">
    <cfRule type="expression" dxfId="47" priority="587">
      <formula>S36&lt;O36</formula>
    </cfRule>
    <cfRule type="expression" dxfId="46" priority="588">
      <formula>S36&gt;O36</formula>
    </cfRule>
  </conditionalFormatting>
  <conditionalFormatting sqref="R38">
    <cfRule type="expression" dxfId="45" priority="589">
      <formula>S38&lt;O38</formula>
    </cfRule>
    <cfRule type="expression" dxfId="44" priority="590">
      <formula>S38&gt;O38</formula>
    </cfRule>
  </conditionalFormatting>
  <conditionalFormatting sqref="R37">
    <cfRule type="expression" dxfId="43" priority="591">
      <formula>S37&lt;O37</formula>
    </cfRule>
    <cfRule type="expression" dxfId="42" priority="592">
      <formula>S37&gt;O37</formula>
    </cfRule>
  </conditionalFormatting>
  <conditionalFormatting sqref="R40">
    <cfRule type="expression" dxfId="41" priority="593">
      <formula>S40&lt;O40</formula>
    </cfRule>
    <cfRule type="expression" dxfId="40" priority="594">
      <formula>S40&gt;O40</formula>
    </cfRule>
  </conditionalFormatting>
  <conditionalFormatting sqref="R42">
    <cfRule type="expression" dxfId="39" priority="595">
      <formula>S42&lt;O42</formula>
    </cfRule>
    <cfRule type="expression" dxfId="38" priority="596">
      <formula>S42&gt;O42</formula>
    </cfRule>
  </conditionalFormatting>
  <conditionalFormatting sqref="R41">
    <cfRule type="expression" dxfId="37" priority="597">
      <formula>S41&lt;O41</formula>
    </cfRule>
    <cfRule type="expression" dxfId="36" priority="598">
      <formula>S41&gt;O41</formula>
    </cfRule>
  </conditionalFormatting>
  <conditionalFormatting sqref="R18">
    <cfRule type="expression" dxfId="35" priority="599">
      <formula>S18&lt;O18</formula>
    </cfRule>
    <cfRule type="expression" dxfId="34" priority="600">
      <formula>S18&gt;O18</formula>
    </cfRule>
  </conditionalFormatting>
  <conditionalFormatting sqref="V20">
    <cfRule type="expression" dxfId="33" priority="601">
      <formula>W20&lt;S20</formula>
    </cfRule>
    <cfRule type="expression" dxfId="32" priority="602">
      <formula>W20&gt;S20</formula>
    </cfRule>
  </conditionalFormatting>
  <conditionalFormatting sqref="V19">
    <cfRule type="expression" dxfId="31" priority="603">
      <formula>W19&lt;S19</formula>
    </cfRule>
    <cfRule type="expression" dxfId="30" priority="604">
      <formula>W19&gt;S19</formula>
    </cfRule>
  </conditionalFormatting>
  <conditionalFormatting sqref="V22:V23">
    <cfRule type="expression" dxfId="29" priority="605">
      <formula>W22&lt;S22</formula>
    </cfRule>
    <cfRule type="expression" dxfId="28" priority="606">
      <formula>W22&gt;S22</formula>
    </cfRule>
  </conditionalFormatting>
  <conditionalFormatting sqref="V24">
    <cfRule type="expression" dxfId="27" priority="607">
      <formula>W24&lt;S24</formula>
    </cfRule>
    <cfRule type="expression" dxfId="26" priority="608">
      <formula>W24&gt;S24</formula>
    </cfRule>
  </conditionalFormatting>
  <conditionalFormatting sqref="V27">
    <cfRule type="expression" dxfId="25" priority="609">
      <formula>W27&lt;S27</formula>
    </cfRule>
    <cfRule type="expression" dxfId="24" priority="610">
      <formula>W27&gt;S27</formula>
    </cfRule>
  </conditionalFormatting>
  <conditionalFormatting sqref="V29">
    <cfRule type="expression" dxfId="23" priority="611">
      <formula>W29&lt;S29</formula>
    </cfRule>
    <cfRule type="expression" dxfId="22" priority="612">
      <formula>W29&gt;S29</formula>
    </cfRule>
  </conditionalFormatting>
  <conditionalFormatting sqref="V28">
    <cfRule type="expression" dxfId="21" priority="613">
      <formula>W28&lt;S28</formula>
    </cfRule>
    <cfRule type="expression" dxfId="20" priority="614">
      <formula>W28&gt;S28</formula>
    </cfRule>
  </conditionalFormatting>
  <conditionalFormatting sqref="V31">
    <cfRule type="expression" dxfId="19" priority="615">
      <formula>W31&lt;S31</formula>
    </cfRule>
    <cfRule type="expression" dxfId="18" priority="616">
      <formula>W31&gt;S31</formula>
    </cfRule>
  </conditionalFormatting>
  <conditionalFormatting sqref="V33">
    <cfRule type="expression" dxfId="17" priority="617">
      <formula>W33&lt;S33</formula>
    </cfRule>
    <cfRule type="expression" dxfId="16" priority="618">
      <formula>W33&gt;S33</formula>
    </cfRule>
  </conditionalFormatting>
  <conditionalFormatting sqref="V32">
    <cfRule type="expression" dxfId="15" priority="619">
      <formula>W32&lt;S32</formula>
    </cfRule>
    <cfRule type="expression" dxfId="14" priority="620">
      <formula>W32&gt;S32</formula>
    </cfRule>
  </conditionalFormatting>
  <conditionalFormatting sqref="V36">
    <cfRule type="expression" dxfId="13" priority="621">
      <formula>W36&lt;S36</formula>
    </cfRule>
    <cfRule type="expression" dxfId="12" priority="622">
      <formula>W36&gt;S36</formula>
    </cfRule>
  </conditionalFormatting>
  <conditionalFormatting sqref="V38">
    <cfRule type="expression" dxfId="11" priority="623">
      <formula>W38&lt;S38</formula>
    </cfRule>
    <cfRule type="expression" dxfId="10" priority="624">
      <formula>W38&gt;S38</formula>
    </cfRule>
  </conditionalFormatting>
  <conditionalFormatting sqref="V37">
    <cfRule type="expression" dxfId="9" priority="625">
      <formula>W37&lt;S37</formula>
    </cfRule>
    <cfRule type="expression" dxfId="8" priority="626">
      <formula>W37&gt;S37</formula>
    </cfRule>
  </conditionalFormatting>
  <conditionalFormatting sqref="V40">
    <cfRule type="expression" dxfId="7" priority="627">
      <formula>W40&lt;S40</formula>
    </cfRule>
    <cfRule type="expression" dxfId="6" priority="628">
      <formula>W40&gt;S40</formula>
    </cfRule>
  </conditionalFormatting>
  <conditionalFormatting sqref="V42">
    <cfRule type="expression" dxfId="5" priority="629">
      <formula>W42&lt;S42</formula>
    </cfRule>
    <cfRule type="expression" dxfId="4" priority="630">
      <formula>W42&gt;S42</formula>
    </cfRule>
  </conditionalFormatting>
  <conditionalFormatting sqref="V41">
    <cfRule type="expression" dxfId="3" priority="631">
      <formula>W41&lt;S41</formula>
    </cfRule>
    <cfRule type="expression" dxfId="2" priority="632">
      <formula>W41&gt;S41</formula>
    </cfRule>
  </conditionalFormatting>
  <conditionalFormatting sqref="V18">
    <cfRule type="expression" dxfId="1" priority="633">
      <formula>W18&lt;S18</formula>
    </cfRule>
    <cfRule type="expression" dxfId="0" priority="634">
      <formula>W18&gt;S18</formula>
    </cfRule>
  </conditionalFormatting>
  <dataValidations count="24">
    <dataValidation type="list" operator="equal" allowBlank="1" showInputMessage="1" showErrorMessage="1" sqref="F18 J18 N18 R18 V18" xr:uid="{00000000-0002-0000-0300-000000000000}">
      <formula1>AnsY</formula1>
      <formula2>0</formula2>
    </dataValidation>
    <dataValidation type="list" operator="equal" allowBlank="1" showInputMessage="1" showErrorMessage="1" sqref="F19 J19 N19 R19 V19" xr:uid="{00000000-0002-0000-0300-000001000000}">
      <formula1>AnsV</formula1>
      <formula2>0</formula2>
    </dataValidation>
    <dataValidation type="list" operator="equal" allowBlank="1" showInputMessage="1" showErrorMessage="1" sqref="F20 J20 N20 R20 V20 F24 J24 N24 R24 V24 F52 J52 N52 R52 V52" xr:uid="{00000000-0002-0000-0300-000002000000}">
      <formula1>AnsN</formula1>
      <formula2>0</formula2>
    </dataValidation>
    <dataValidation type="list" operator="equal" allowBlank="1" showInputMessage="1" showErrorMessage="1" sqref="F22 J22 N22 R22 V22" xr:uid="{00000000-0002-0000-0300-000003000000}">
      <formula1>AnsK</formula1>
      <formula2>0</formula2>
    </dataValidation>
    <dataValidation type="list" operator="equal" allowBlank="1" showInputMessage="1" showErrorMessage="1" sqref="F23 J23 N23 R23 V23" xr:uid="{00000000-0002-0000-0300-000004000000}">
      <formula1>AnsB</formula1>
      <formula2>0</formula2>
    </dataValidation>
    <dataValidation type="list" operator="equal" allowBlank="1" showInputMessage="1" showErrorMessage="1" sqref="F27 J27 N27 R27 V27 F31 J31 N31 R31 V31 F47 J47 N47 R47 V47 F51 J51 N51 R51 V51 F55 J55 N55 R55 V55 F57 J57 N57 R57 V57 F64:F66 J64:J66 N64:N66 R64:R66 V64:V66 F68 J68 N68 R68 V68 F70 J70 N70 R70 V70 F74:F76 J74:J76 N74:N76 F78:F80 J78:J80 N78:N80 F83:F85 J83:J85 N83:N85 F87:F89 J87:J89 N87:N89 F92:F94 J92:J94 N92:N94 F96:F98 J96:J98 N96:N98 F102:F104 J102:J104 N102:N104 R102:R104 V102:V104 F106:F108 J106:J108 N106:N108 R106:R108 V106:V108 F113 J113 N113 R113 V113 F115 J115 N115 R115 V115 F125 J125 N125 R125 V125 F130:F132 J130:J132 N130:N132 R130:R132 V130:V132 F148 J148 N148 R148 V148 F152 J152 N152 R152 V152" xr:uid="{00000000-0002-0000-0300-000005000000}">
      <formula1>AnsF</formula1>
      <formula2>0</formula2>
    </dataValidation>
    <dataValidation type="list" operator="equal" allowBlank="1" showInputMessage="1" showErrorMessage="1" sqref="F28 J28 N28 R28 V28" xr:uid="{00000000-0002-0000-0300-000006000000}">
      <formula1>AnsA</formula1>
      <formula2>0</formula2>
    </dataValidation>
    <dataValidation type="list" operator="equal" allowBlank="1" showInputMessage="1" showErrorMessage="1" sqref="F29 J29 N29 R29 V29 F33 J33 N33 R33 V33" xr:uid="{00000000-0002-0000-0300-000007000000}">
      <formula1>AnsE</formula1>
      <formula2>0</formula2>
    </dataValidation>
    <dataValidation type="list" operator="equal" allowBlank="1" showInputMessage="1" showErrorMessage="1" sqref="F32 J32 N32 R32 V32 R74:R76 V74:V76 R78:R80 V78:V80 R83:R85 V83:V85 R87:R89 V87:V89 R92:R94 V92:V94 R96:R98 V96:V98" xr:uid="{00000000-0002-0000-0300-000008000000}">
      <formula1>AnsD</formula1>
      <formula2>0</formula2>
    </dataValidation>
    <dataValidation type="list" operator="equal" allowBlank="1" showInputMessage="1" showErrorMessage="1" sqref="F36 J36 N36 R36 V36 F46 J46 N46 R46 V46 F50 J50 N50 R50 V50 F111:F112 J111:J112 N111:N112 R111:R112 V111:V112 F120:F121 J120:J121 N120:N121 R120:R121 V120:V121" xr:uid="{00000000-0002-0000-0300-000009000000}">
      <formula1>AnsC</formula1>
      <formula2>0</formula2>
    </dataValidation>
    <dataValidation type="list" operator="equal" allowBlank="1" showInputMessage="1" showErrorMessage="1" sqref="F37:F38 J37:J38 N37:N38 R37:R38 V37:V38" xr:uid="{00000000-0002-0000-0300-00000A000000}">
      <formula1>AnsI</formula1>
      <formula2>0</formula2>
    </dataValidation>
    <dataValidation type="list" operator="equal" allowBlank="1" showInputMessage="1" showErrorMessage="1" sqref="F40 J40 N40 R40 V40" xr:uid="{00000000-0002-0000-0300-00000B000000}">
      <formula1>AnsW</formula1>
      <formula2>0</formula2>
    </dataValidation>
    <dataValidation type="list" operator="equal" allowBlank="1" showInputMessage="1" showErrorMessage="1" sqref="F41:F42 J41:J42 N41:N42 R41:R42 V41:V42" xr:uid="{00000000-0002-0000-0300-00000C000000}">
      <formula1>AnsL</formula1>
      <formula2>0</formula2>
    </dataValidation>
    <dataValidation type="list" operator="equal" allowBlank="1" showInputMessage="1" showErrorMessage="1" sqref="F48 J48 N48 R48 V48" xr:uid="{00000000-0002-0000-0300-00000D000000}">
      <formula1>AnsG</formula1>
      <formula2>0</formula2>
    </dataValidation>
    <dataValidation type="list" operator="equal" allowBlank="1" showInputMessage="1" showErrorMessage="1" sqref="F56 J56 N56 R56 V56 F59:F61 J59:J61 N59:N61 R59:R61 V59:V61 F116:F117 J116:J117 N116:N117 R116:R117 V116:V117 F136 J136 N136 R136 V136 F153 J153 N153 R153 V153" xr:uid="{00000000-0002-0000-0300-00000E000000}">
      <formula1>AnsH</formula1>
      <formula2>0</formula2>
    </dataValidation>
    <dataValidation type="list" operator="equal" allowBlank="1" showInputMessage="1" showErrorMessage="1" sqref="F69 J69 N69 R69 V69" xr:uid="{00000000-0002-0000-0300-00000F000000}">
      <formula1>AnsU</formula1>
      <formula2>0</formula2>
    </dataValidation>
    <dataValidation type="list" operator="equal" allowBlank="1" showInputMessage="1" showErrorMessage="1" sqref="F122 J122 N122 R122 V122" xr:uid="{00000000-0002-0000-0300-000010000000}">
      <formula1>AnsX</formula1>
      <formula2>0</formula2>
    </dataValidation>
    <dataValidation type="list" operator="equal" allowBlank="1" showInputMessage="1" showErrorMessage="1" sqref="F124 J124 N124 R124 V124 F139:F141 J139:J141 N139:N141 R139:R141 V139:V141 F143:F145 J143:J145 N143:N145 R143:R145 V143:V145" xr:uid="{00000000-0002-0000-0300-000011000000}">
      <formula1>AnsM</formula1>
      <formula2>0</formula2>
    </dataValidation>
    <dataValidation type="list" operator="equal" allowBlank="1" showInputMessage="1" showErrorMessage="1" sqref="F126 J126 N126 R126 V126" xr:uid="{00000000-0002-0000-0300-000012000000}">
      <formula1>AnsT</formula1>
      <formula2>0</formula2>
    </dataValidation>
    <dataValidation type="list" operator="equal" allowBlank="1" showInputMessage="1" showErrorMessage="1" sqref="F134 J134 N134 R134 V134" xr:uid="{00000000-0002-0000-0300-000013000000}">
      <formula1>AnsR</formula1>
      <formula2>0</formula2>
    </dataValidation>
    <dataValidation type="list" operator="equal" allowBlank="1" showInputMessage="1" showErrorMessage="1" sqref="F135 J135 N135 R135 V135" xr:uid="{00000000-0002-0000-0300-000014000000}">
      <formula1>AnsQ</formula1>
      <formula2>0</formula2>
    </dataValidation>
    <dataValidation type="list" operator="equal" allowBlank="1" showInputMessage="1" showErrorMessage="1" sqref="F149 J149 N149 R149 V149" xr:uid="{00000000-0002-0000-0300-000015000000}">
      <formula1>AnsO</formula1>
      <formula2>0</formula2>
    </dataValidation>
    <dataValidation type="list" operator="equal" allowBlank="1" showInputMessage="1" showErrorMessage="1" sqref="F150 J150 N150 R150 V150" xr:uid="{00000000-0002-0000-0300-000016000000}">
      <formula1>AnsP</formula1>
      <formula2>0</formula2>
    </dataValidation>
    <dataValidation type="list" operator="equal" allowBlank="1" showInputMessage="1" showErrorMessage="1" sqref="F154 J154 N154 R154 V154" xr:uid="{00000000-0002-0000-0300-000017000000}">
      <formula1>AnsS</formula1>
      <formula2>0</formula2>
    </dataValidation>
  </dataValidations>
  <pageMargins left="0.75" right="0.75" top="1" bottom="1" header="0.51180555555555496" footer="0.51180555555555496"/>
  <pageSetup paperSize="9" scale="10"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MK132"/>
  <sheetViews>
    <sheetView zoomScale="110" zoomScaleNormal="110" workbookViewId="0">
      <selection activeCell="L35" sqref="L35"/>
    </sheetView>
  </sheetViews>
  <sheetFormatPr baseColWidth="10" defaultColWidth="8.83203125" defaultRowHeight="13"/>
  <cols>
    <col min="1" max="1" width="22.83203125" style="323" customWidth="1"/>
    <col min="2" max="2" width="11" style="323" customWidth="1"/>
    <col min="3" max="3" width="9.6640625" style="323" customWidth="1"/>
    <col min="4" max="4" width="1.83203125" style="323" customWidth="1"/>
    <col min="5" max="5" width="8.83203125" style="323" customWidth="1"/>
    <col min="6" max="6" width="1.5" style="323" customWidth="1"/>
    <col min="7" max="7" width="8.83203125" style="323" customWidth="1"/>
    <col min="8" max="8" width="1.5" style="323" customWidth="1"/>
    <col min="9" max="9" width="8.83203125" style="323" customWidth="1"/>
    <col min="10" max="10" width="1.5" style="323" customWidth="1"/>
    <col min="11" max="11" width="21.5" style="323" customWidth="1"/>
    <col min="12" max="12" width="22.1640625" style="323" customWidth="1"/>
    <col min="13" max="13" width="3.83203125" style="323" customWidth="1"/>
    <col min="14" max="14" width="4.5" style="323" customWidth="1"/>
    <col min="15" max="22" width="9.6640625" style="323" customWidth="1"/>
    <col min="23" max="25" width="8.83203125" style="323" customWidth="1"/>
    <col min="26" max="26" width="19" style="323" customWidth="1"/>
    <col min="27" max="1025" width="8.83203125" style="323" customWidth="1"/>
  </cols>
  <sheetData>
    <row r="1" spans="1:31" ht="69" customHeight="1">
      <c r="A1" s="475" t="s">
        <v>194</v>
      </c>
      <c r="B1" s="475"/>
      <c r="C1" s="475"/>
      <c r="D1" s="475"/>
      <c r="E1" s="475"/>
      <c r="F1" s="475"/>
      <c r="G1" s="475"/>
      <c r="H1" s="475"/>
      <c r="I1" s="475"/>
      <c r="J1" s="475"/>
      <c r="K1" s="475"/>
    </row>
    <row r="3" spans="1:31" ht="25">
      <c r="A3" s="324" t="s">
        <v>214</v>
      </c>
      <c r="L3" s="324" t="str">
        <f>A3</f>
        <v>Software Assurance Maturity Model (SAMM) Roadmap</v>
      </c>
    </row>
    <row r="4" spans="1:31" s="325" customFormat="1" ht="14">
      <c r="A4" s="325" t="s">
        <v>40</v>
      </c>
      <c r="B4" s="510" t="str">
        <f>IF(ISBLANK(Interview!D10),"",Interview!D10)</f>
        <v>COMPANY</v>
      </c>
      <c r="C4" s="510"/>
      <c r="L4" s="325" t="str">
        <f>B4</f>
        <v>COMPANY</v>
      </c>
      <c r="Y4" s="325">
        <v>1</v>
      </c>
      <c r="Z4" s="325">
        <v>1</v>
      </c>
      <c r="AA4" s="325">
        <v>1</v>
      </c>
    </row>
    <row r="5" spans="1:31" s="325" customFormat="1" ht="14">
      <c r="A5" s="325" t="s">
        <v>41</v>
      </c>
      <c r="B5" s="510" t="str">
        <f>IF(ISBLANK(Interview!D11),"",Interview!D11)</f>
        <v/>
      </c>
      <c r="C5" s="510"/>
      <c r="L5" s="325" t="str">
        <f>B5</f>
        <v/>
      </c>
    </row>
    <row r="6" spans="1:31" s="325" customFormat="1" ht="14">
      <c r="A6" s="325" t="s">
        <v>215</v>
      </c>
      <c r="B6" s="508" t="str">
        <f>IF(ISBLANK(Interview!D12),"",Interview!D12)</f>
        <v/>
      </c>
      <c r="C6" s="508"/>
      <c r="L6" s="326" t="str">
        <f>B6</f>
        <v/>
      </c>
    </row>
    <row r="7" spans="1:31" s="325" customFormat="1" ht="14">
      <c r="A7" s="325" t="s">
        <v>216</v>
      </c>
      <c r="B7" s="508" t="str">
        <f>IF(ISBLANK(Interview!D13),"",Interview!D13)</f>
        <v/>
      </c>
      <c r="C7" s="508"/>
    </row>
    <row r="8" spans="1:31" s="325" customFormat="1" ht="14">
      <c r="A8" s="325" t="s">
        <v>12</v>
      </c>
      <c r="B8" s="508" t="str">
        <f>IF(ISBLANK(Interview!D14),"",Interview!D14)</f>
        <v>bfea410146cd967b392a87771e690515</v>
      </c>
      <c r="C8" s="508"/>
      <c r="L8" s="327"/>
      <c r="M8" s="327"/>
      <c r="N8" s="327"/>
      <c r="O8" s="509"/>
      <c r="P8" s="509"/>
      <c r="Q8" s="509"/>
      <c r="R8" s="509"/>
      <c r="S8" s="509"/>
      <c r="T8" s="509"/>
      <c r="U8" s="509"/>
      <c r="V8" s="509"/>
    </row>
    <row r="9" spans="1:31" s="325" customFormat="1" ht="14">
      <c r="L9" s="327"/>
      <c r="M9" s="327"/>
      <c r="N9" s="327"/>
      <c r="O9" s="509"/>
      <c r="P9" s="509"/>
      <c r="Q9" s="509"/>
      <c r="R9" s="509"/>
      <c r="S9" s="509"/>
      <c r="T9" s="509"/>
      <c r="U9" s="509"/>
      <c r="V9" s="509"/>
    </row>
    <row r="10" spans="1:31" s="325" customFormat="1" ht="14">
      <c r="A10" s="325" t="s">
        <v>217</v>
      </c>
      <c r="B10" s="328" t="s">
        <v>218</v>
      </c>
      <c r="I10" s="328" t="s">
        <v>219</v>
      </c>
      <c r="L10" s="329" t="s">
        <v>220</v>
      </c>
      <c r="M10" s="329"/>
      <c r="N10" s="329"/>
      <c r="O10" s="506"/>
      <c r="P10" s="506"/>
      <c r="Q10" s="506"/>
      <c r="R10" s="506"/>
      <c r="S10" s="506"/>
      <c r="T10" s="506"/>
      <c r="U10" s="506"/>
      <c r="V10" s="506"/>
    </row>
    <row r="11" spans="1:31">
      <c r="A11" s="330" t="s">
        <v>221</v>
      </c>
      <c r="B11" s="331" t="s">
        <v>222</v>
      </c>
      <c r="C11" s="331" t="s">
        <v>223</v>
      </c>
      <c r="D11" s="332" t="s">
        <v>224</v>
      </c>
      <c r="E11" s="331" t="s">
        <v>225</v>
      </c>
      <c r="F11" s="332" t="s">
        <v>226</v>
      </c>
      <c r="G11" s="331" t="s">
        <v>227</v>
      </c>
      <c r="H11" s="332" t="s">
        <v>228</v>
      </c>
      <c r="I11" s="331" t="s">
        <v>229</v>
      </c>
      <c r="J11" s="333" t="s">
        <v>230</v>
      </c>
      <c r="K11" s="334" t="s">
        <v>231</v>
      </c>
      <c r="L11" s="335"/>
      <c r="M11" s="336"/>
      <c r="N11" s="336"/>
      <c r="O11" s="507" t="str">
        <f>C11</f>
        <v>Phase 1</v>
      </c>
      <c r="P11" s="507"/>
      <c r="Q11" s="507" t="str">
        <f>E11</f>
        <v>Phase 2</v>
      </c>
      <c r="R11" s="507"/>
      <c r="S11" s="507" t="str">
        <f>G11</f>
        <v>Phase 3</v>
      </c>
      <c r="T11" s="507"/>
      <c r="U11" s="507" t="str">
        <f>I11</f>
        <v>Phase 4</v>
      </c>
      <c r="V11" s="507"/>
      <c r="AA11" s="334" t="str">
        <f t="shared" ref="AA11:AA26" si="0">I11</f>
        <v>Phase 4</v>
      </c>
      <c r="AB11" s="334" t="str">
        <f t="shared" ref="AB11:AB26" si="1">G11</f>
        <v>Phase 3</v>
      </c>
      <c r="AC11" s="334" t="str">
        <f t="shared" ref="AC11:AC26" si="2">E11</f>
        <v>Phase 2</v>
      </c>
      <c r="AD11" s="334" t="str">
        <f t="shared" ref="AD11:AD26" si="3">C11</f>
        <v>Phase 1</v>
      </c>
      <c r="AE11" s="334" t="str">
        <f t="shared" ref="AE11:AE26" si="4">B11</f>
        <v>Start</v>
      </c>
    </row>
    <row r="12" spans="1:31" ht="15" customHeight="1">
      <c r="A12" s="337" t="s">
        <v>232</v>
      </c>
      <c r="B12" s="338">
        <f>IF(ISNUMBER(Interview!$J$18),Interview!$J$18,SUM(LEFT(Interview!$J$18),".5"))</f>
        <v>1.25</v>
      </c>
      <c r="C12" s="339">
        <f>Roadmap!M18</f>
        <v>1.25</v>
      </c>
      <c r="D12" s="340">
        <f t="shared" ref="D12:D26" si="5">C12</f>
        <v>1.25</v>
      </c>
      <c r="E12" s="339">
        <f>Roadmap!Q18</f>
        <v>1.25</v>
      </c>
      <c r="F12" s="340">
        <f t="shared" ref="F12:F26" si="6">E12</f>
        <v>1.25</v>
      </c>
      <c r="G12" s="339">
        <f>Roadmap!U18</f>
        <v>1.25</v>
      </c>
      <c r="H12" s="341">
        <f t="shared" ref="H12:H26" si="7">G12</f>
        <v>1.25</v>
      </c>
      <c r="I12" s="339">
        <f>Roadmap!Y18</f>
        <v>1.25</v>
      </c>
      <c r="J12" s="341">
        <f t="shared" ref="J12:J26" si="8">I12</f>
        <v>1.25</v>
      </c>
      <c r="K12" s="342">
        <f t="shared" ref="K12:K26" si="9">IFERROR(I12-B12,I12-LEFT(B12,1))</f>
        <v>0</v>
      </c>
      <c r="L12" s="336"/>
      <c r="M12" s="336"/>
      <c r="N12" s="336"/>
      <c r="O12" s="336"/>
      <c r="P12" s="336"/>
      <c r="Q12" s="336"/>
      <c r="R12" s="336"/>
      <c r="S12" s="336"/>
      <c r="T12" s="336"/>
      <c r="U12" s="336"/>
      <c r="V12" s="336"/>
      <c r="Z12" s="323" t="str">
        <f t="shared" ref="Z12:Z26" si="10">A12</f>
        <v>Strategy &amp; metrics</v>
      </c>
      <c r="AA12" s="343">
        <f t="shared" si="0"/>
        <v>1.25</v>
      </c>
      <c r="AB12" s="343">
        <f t="shared" si="1"/>
        <v>1.25</v>
      </c>
      <c r="AC12" s="343">
        <f t="shared" si="2"/>
        <v>1.25</v>
      </c>
      <c r="AD12" s="343">
        <f t="shared" si="3"/>
        <v>1.25</v>
      </c>
      <c r="AE12" s="343">
        <f t="shared" si="4"/>
        <v>1.25</v>
      </c>
    </row>
    <row r="13" spans="1:31" ht="15" customHeight="1">
      <c r="A13" s="344" t="s">
        <v>66</v>
      </c>
      <c r="B13" s="338">
        <f>IF(ISNUMBER(Interview!$J$32),Interview!$J$32,SUM(LEFT(Interview!$J$32),".5"))</f>
        <v>1.375</v>
      </c>
      <c r="C13" s="345">
        <f>Roadmap!M27</f>
        <v>1.375</v>
      </c>
      <c r="D13" s="340">
        <f t="shared" si="5"/>
        <v>1.375</v>
      </c>
      <c r="E13" s="345">
        <f>Roadmap!Q27</f>
        <v>1.375</v>
      </c>
      <c r="F13" s="340">
        <f t="shared" si="6"/>
        <v>1.375</v>
      </c>
      <c r="G13" s="345">
        <f>Roadmap!U27</f>
        <v>1.375</v>
      </c>
      <c r="H13" s="340">
        <f t="shared" si="7"/>
        <v>1.375</v>
      </c>
      <c r="I13" s="345">
        <f>Roadmap!Y27</f>
        <v>1.375</v>
      </c>
      <c r="J13" s="340">
        <f t="shared" si="8"/>
        <v>1.375</v>
      </c>
      <c r="K13" s="342">
        <f t="shared" si="9"/>
        <v>0</v>
      </c>
      <c r="L13" s="336"/>
      <c r="M13" s="336"/>
      <c r="N13" s="336"/>
      <c r="O13" s="336"/>
      <c r="P13" s="336"/>
      <c r="Q13" s="336"/>
      <c r="R13" s="336"/>
      <c r="S13" s="336"/>
      <c r="T13" s="336"/>
      <c r="U13" s="336"/>
      <c r="V13" s="336"/>
      <c r="Z13" s="323" t="str">
        <f t="shared" si="10"/>
        <v>Policy &amp; Compliance</v>
      </c>
      <c r="AA13" s="343">
        <f t="shared" si="0"/>
        <v>1.375</v>
      </c>
      <c r="AB13" s="343">
        <f t="shared" si="1"/>
        <v>1.375</v>
      </c>
      <c r="AC13" s="343">
        <f t="shared" si="2"/>
        <v>1.375</v>
      </c>
      <c r="AD13" s="343">
        <f t="shared" si="3"/>
        <v>1.375</v>
      </c>
      <c r="AE13" s="343">
        <f t="shared" si="4"/>
        <v>1.375</v>
      </c>
    </row>
    <row r="14" spans="1:31" ht="15" customHeight="1">
      <c r="A14" s="346" t="s">
        <v>77</v>
      </c>
      <c r="B14" s="347">
        <f>IF(ISNUMBER(Interview!$J$46),Interview!$J$46,SUM(LEFT(Interview!$J$46),".5"))</f>
        <v>2.125</v>
      </c>
      <c r="C14" s="345">
        <f>Roadmap!M36</f>
        <v>2.125</v>
      </c>
      <c r="D14" s="348">
        <f t="shared" si="5"/>
        <v>2.125</v>
      </c>
      <c r="E14" s="345">
        <f>Roadmap!Q36</f>
        <v>2.125</v>
      </c>
      <c r="F14" s="348">
        <f t="shared" si="6"/>
        <v>2.125</v>
      </c>
      <c r="G14" s="345">
        <f>Roadmap!U36</f>
        <v>2.125</v>
      </c>
      <c r="H14" s="348">
        <f t="shared" si="7"/>
        <v>2.125</v>
      </c>
      <c r="I14" s="345">
        <f>Roadmap!Y36</f>
        <v>2.125</v>
      </c>
      <c r="J14" s="348">
        <f t="shared" si="8"/>
        <v>2.125</v>
      </c>
      <c r="K14" s="342">
        <f t="shared" si="9"/>
        <v>0</v>
      </c>
      <c r="L14" s="336"/>
      <c r="M14" s="336"/>
      <c r="N14" s="336"/>
      <c r="O14" s="336"/>
      <c r="P14" s="336"/>
      <c r="Q14" s="336"/>
      <c r="R14" s="336"/>
      <c r="S14" s="336"/>
      <c r="T14" s="336"/>
      <c r="U14" s="336"/>
      <c r="V14" s="336"/>
      <c r="Z14" s="323" t="str">
        <f t="shared" si="10"/>
        <v>Education &amp; Guidance</v>
      </c>
      <c r="AA14" s="343">
        <f t="shared" si="0"/>
        <v>2.125</v>
      </c>
      <c r="AB14" s="343">
        <f t="shared" si="1"/>
        <v>2.125</v>
      </c>
      <c r="AC14" s="343">
        <f t="shared" si="2"/>
        <v>2.125</v>
      </c>
      <c r="AD14" s="343">
        <f t="shared" si="3"/>
        <v>2.125</v>
      </c>
      <c r="AE14" s="343">
        <f t="shared" si="4"/>
        <v>2.125</v>
      </c>
    </row>
    <row r="15" spans="1:31" ht="15" customHeight="1">
      <c r="A15" s="349" t="s">
        <v>92</v>
      </c>
      <c r="B15" s="338">
        <f>IF(ISNUMBER(Interview!$J$61),Interview!$J$61,SUM(LEFT(Interview!$J$61),".5"))</f>
        <v>2.25</v>
      </c>
      <c r="C15" s="350">
        <f>Roadmap!M46</f>
        <v>2.25</v>
      </c>
      <c r="D15" s="351">
        <f t="shared" si="5"/>
        <v>2.25</v>
      </c>
      <c r="E15" s="350">
        <f>Roadmap!Q46</f>
        <v>2.25</v>
      </c>
      <c r="F15" s="351">
        <f t="shared" si="6"/>
        <v>2.25</v>
      </c>
      <c r="G15" s="350">
        <f>Roadmap!U46</f>
        <v>2.25</v>
      </c>
      <c r="H15" s="351">
        <f t="shared" si="7"/>
        <v>2.25</v>
      </c>
      <c r="I15" s="350">
        <f>Roadmap!Y46</f>
        <v>2.25</v>
      </c>
      <c r="J15" s="351">
        <f t="shared" si="8"/>
        <v>2.25</v>
      </c>
      <c r="K15" s="342">
        <f t="shared" si="9"/>
        <v>0</v>
      </c>
      <c r="L15" s="336"/>
      <c r="M15" s="336"/>
      <c r="N15" s="336"/>
      <c r="O15" s="336"/>
      <c r="P15" s="336"/>
      <c r="Q15" s="336"/>
      <c r="R15" s="336"/>
      <c r="S15" s="336"/>
      <c r="T15" s="336"/>
      <c r="U15" s="336"/>
      <c r="V15" s="336"/>
      <c r="Z15" s="323" t="str">
        <f t="shared" si="10"/>
        <v>Threat Assessment</v>
      </c>
      <c r="AA15" s="343">
        <f t="shared" si="0"/>
        <v>2.25</v>
      </c>
      <c r="AB15" s="343">
        <f t="shared" si="1"/>
        <v>2.25</v>
      </c>
      <c r="AC15" s="343">
        <f t="shared" si="2"/>
        <v>2.25</v>
      </c>
      <c r="AD15" s="343">
        <f t="shared" si="3"/>
        <v>2.25</v>
      </c>
      <c r="AE15" s="343">
        <f t="shared" si="4"/>
        <v>2.25</v>
      </c>
    </row>
    <row r="16" spans="1:31" ht="15" customHeight="1">
      <c r="A16" s="352" t="s">
        <v>102</v>
      </c>
      <c r="B16" s="338">
        <f>IF(ISNUMBER(Interview!$J75),Interview!$J$75,SUM(LEFT(Interview!$J$75),".5"))</f>
        <v>2.25</v>
      </c>
      <c r="C16" s="345">
        <f>Roadmap!M55</f>
        <v>2.25</v>
      </c>
      <c r="D16" s="340">
        <f t="shared" si="5"/>
        <v>2.25</v>
      </c>
      <c r="E16" s="345">
        <f>Roadmap!Q55</f>
        <v>2.25</v>
      </c>
      <c r="F16" s="340">
        <f t="shared" si="6"/>
        <v>2.25</v>
      </c>
      <c r="G16" s="345">
        <f>Roadmap!U55</f>
        <v>2.25</v>
      </c>
      <c r="H16" s="340">
        <f t="shared" si="7"/>
        <v>2.25</v>
      </c>
      <c r="I16" s="345">
        <f>Roadmap!Y55</f>
        <v>2.25</v>
      </c>
      <c r="J16" s="340">
        <f t="shared" si="8"/>
        <v>2.25</v>
      </c>
      <c r="K16" s="342">
        <f t="shared" si="9"/>
        <v>0</v>
      </c>
      <c r="L16" s="336"/>
      <c r="M16" s="336"/>
      <c r="N16" s="336"/>
      <c r="O16" s="336"/>
      <c r="P16" s="336"/>
      <c r="Q16" s="336"/>
      <c r="R16" s="336"/>
      <c r="S16" s="336"/>
      <c r="T16" s="336"/>
      <c r="U16" s="336"/>
      <c r="V16" s="336"/>
      <c r="Z16" s="323" t="str">
        <f t="shared" si="10"/>
        <v>Security Requirements</v>
      </c>
      <c r="AA16" s="343">
        <f t="shared" si="0"/>
        <v>2.25</v>
      </c>
      <c r="AB16" s="343">
        <f t="shared" si="1"/>
        <v>2.25</v>
      </c>
      <c r="AC16" s="343">
        <f t="shared" si="2"/>
        <v>2.25</v>
      </c>
      <c r="AD16" s="343">
        <f t="shared" si="3"/>
        <v>2.25</v>
      </c>
      <c r="AE16" s="343">
        <f t="shared" si="4"/>
        <v>2.25</v>
      </c>
    </row>
    <row r="17" spans="1:31">
      <c r="A17" s="353" t="s">
        <v>111</v>
      </c>
      <c r="B17" s="347">
        <f>IF(ISNUMBER(Interview!$J$89),Interview!$J$89,SUM(LEFT(Interview!$J$89),".5"))</f>
        <v>1.875</v>
      </c>
      <c r="C17" s="345">
        <f>Roadmap!M64</f>
        <v>1.875</v>
      </c>
      <c r="D17" s="348">
        <f t="shared" si="5"/>
        <v>1.875</v>
      </c>
      <c r="E17" s="345">
        <f>Roadmap!Q64</f>
        <v>1.875</v>
      </c>
      <c r="F17" s="348">
        <f t="shared" si="6"/>
        <v>1.875</v>
      </c>
      <c r="G17" s="345">
        <f>Roadmap!U64</f>
        <v>1.875</v>
      </c>
      <c r="H17" s="348">
        <f t="shared" si="7"/>
        <v>1.875</v>
      </c>
      <c r="I17" s="345">
        <f>Roadmap!Y64</f>
        <v>1.875</v>
      </c>
      <c r="J17" s="348">
        <f t="shared" si="8"/>
        <v>1.875</v>
      </c>
      <c r="K17" s="342">
        <f t="shared" si="9"/>
        <v>0</v>
      </c>
      <c r="L17" s="336" t="str">
        <f>A12</f>
        <v>Strategy &amp; metrics</v>
      </c>
      <c r="M17" s="336"/>
      <c r="N17" s="336"/>
      <c r="O17" s="336"/>
      <c r="P17" s="336"/>
      <c r="Q17" s="336"/>
      <c r="R17" s="336"/>
      <c r="S17" s="336"/>
      <c r="T17" s="336"/>
      <c r="U17" s="336"/>
      <c r="V17" s="336"/>
      <c r="Z17" s="323" t="str">
        <f t="shared" si="10"/>
        <v>Secure Architecture</v>
      </c>
      <c r="AA17" s="343">
        <f t="shared" si="0"/>
        <v>1.875</v>
      </c>
      <c r="AB17" s="343">
        <f t="shared" si="1"/>
        <v>1.875</v>
      </c>
      <c r="AC17" s="343">
        <f t="shared" si="2"/>
        <v>1.875</v>
      </c>
      <c r="AD17" s="343">
        <f t="shared" si="3"/>
        <v>1.875</v>
      </c>
      <c r="AE17" s="343">
        <f t="shared" si="4"/>
        <v>1.875</v>
      </c>
    </row>
    <row r="18" spans="1:31">
      <c r="A18" s="354" t="s">
        <v>121</v>
      </c>
      <c r="B18" s="355">
        <f>IF(ISNUMBER(Interview!$J$104),Interview!$J$104,SUM(LEFT(Interview!$J$104),".5"))</f>
        <v>1.5</v>
      </c>
      <c r="C18" s="356">
        <f>Roadmap!M74</f>
        <v>0</v>
      </c>
      <c r="D18" s="340">
        <f t="shared" si="5"/>
        <v>0</v>
      </c>
      <c r="E18" s="356">
        <f>Roadmap!Q74</f>
        <v>0</v>
      </c>
      <c r="F18" s="340">
        <f t="shared" si="6"/>
        <v>0</v>
      </c>
      <c r="G18" s="356">
        <f>Roadmap!U74</f>
        <v>0</v>
      </c>
      <c r="H18" s="340">
        <f t="shared" si="7"/>
        <v>0</v>
      </c>
      <c r="I18" s="356">
        <f>Roadmap!Y74</f>
        <v>0</v>
      </c>
      <c r="J18" s="340">
        <f t="shared" si="8"/>
        <v>0</v>
      </c>
      <c r="K18" s="342">
        <f t="shared" si="9"/>
        <v>-1.5</v>
      </c>
      <c r="L18" s="336"/>
      <c r="M18" s="336"/>
      <c r="N18" s="336"/>
      <c r="O18" s="336"/>
      <c r="P18" s="336"/>
      <c r="Q18" s="336"/>
      <c r="R18" s="336"/>
      <c r="S18" s="336"/>
      <c r="T18" s="336"/>
      <c r="U18" s="336"/>
      <c r="V18" s="336"/>
      <c r="Z18" s="323" t="str">
        <f t="shared" si="10"/>
        <v>Secure Build</v>
      </c>
      <c r="AA18" s="343">
        <f t="shared" si="0"/>
        <v>0</v>
      </c>
      <c r="AB18" s="343">
        <f t="shared" si="1"/>
        <v>0</v>
      </c>
      <c r="AC18" s="343">
        <f t="shared" si="2"/>
        <v>0</v>
      </c>
      <c r="AD18" s="343">
        <f t="shared" si="3"/>
        <v>0</v>
      </c>
      <c r="AE18" s="343">
        <f t="shared" si="4"/>
        <v>1.5</v>
      </c>
    </row>
    <row r="19" spans="1:31">
      <c r="A19" s="354" t="s">
        <v>129</v>
      </c>
      <c r="B19" s="355">
        <f>IF(ISNUMBER(Interview!$J$118),Interview!$J$118,SUM(LEFT(Interview!$J$118),".5"))</f>
        <v>1.875</v>
      </c>
      <c r="C19" s="345">
        <f>Roadmap!M83</f>
        <v>0</v>
      </c>
      <c r="D19" s="340">
        <f t="shared" si="5"/>
        <v>0</v>
      </c>
      <c r="E19" s="345">
        <f>Roadmap!Q83</f>
        <v>0</v>
      </c>
      <c r="F19" s="340">
        <f t="shared" si="6"/>
        <v>0</v>
      </c>
      <c r="G19" s="345">
        <f>Roadmap!U83</f>
        <v>0</v>
      </c>
      <c r="H19" s="340">
        <f t="shared" si="7"/>
        <v>0</v>
      </c>
      <c r="I19" s="345">
        <f>Roadmap!Y83</f>
        <v>0</v>
      </c>
      <c r="J19" s="340">
        <f t="shared" si="8"/>
        <v>0</v>
      </c>
      <c r="K19" s="342">
        <f t="shared" si="9"/>
        <v>-1.875</v>
      </c>
      <c r="L19" s="336"/>
      <c r="M19" s="336"/>
      <c r="N19" s="336"/>
      <c r="O19" s="336"/>
      <c r="P19" s="336"/>
      <c r="Q19" s="336"/>
      <c r="R19" s="336"/>
      <c r="S19" s="336"/>
      <c r="T19" s="336"/>
      <c r="U19" s="336"/>
      <c r="V19" s="336"/>
      <c r="Z19" s="323" t="str">
        <f t="shared" si="10"/>
        <v>Secure Deployment</v>
      </c>
      <c r="AA19" s="343">
        <f t="shared" si="0"/>
        <v>0</v>
      </c>
      <c r="AB19" s="343">
        <f t="shared" si="1"/>
        <v>0</v>
      </c>
      <c r="AC19" s="343">
        <f t="shared" si="2"/>
        <v>0</v>
      </c>
      <c r="AD19" s="343">
        <f t="shared" si="3"/>
        <v>0</v>
      </c>
      <c r="AE19" s="343">
        <f t="shared" si="4"/>
        <v>1.875</v>
      </c>
    </row>
    <row r="20" spans="1:31">
      <c r="A20" s="354" t="s">
        <v>137</v>
      </c>
      <c r="B20" s="355">
        <f>IF(ISNUMBER(Interview!$J$132),Interview!$J$132,SUM(LEFT(Interview!$J$132),".5"))</f>
        <v>2.5</v>
      </c>
      <c r="C20" s="345">
        <f>Roadmap!M92</f>
        <v>0</v>
      </c>
      <c r="D20" s="340">
        <f t="shared" si="5"/>
        <v>0</v>
      </c>
      <c r="E20" s="345">
        <f>Roadmap!Q92</f>
        <v>0</v>
      </c>
      <c r="F20" s="340">
        <f t="shared" si="6"/>
        <v>0</v>
      </c>
      <c r="G20" s="345">
        <f>Roadmap!U92</f>
        <v>0</v>
      </c>
      <c r="H20" s="340">
        <f t="shared" si="7"/>
        <v>0</v>
      </c>
      <c r="I20" s="345">
        <f>Roadmap!Y92</f>
        <v>0</v>
      </c>
      <c r="J20" s="340">
        <f t="shared" si="8"/>
        <v>0</v>
      </c>
      <c r="K20" s="342">
        <f t="shared" si="9"/>
        <v>-2.5</v>
      </c>
      <c r="L20" s="336"/>
      <c r="M20" s="336"/>
      <c r="N20" s="336"/>
      <c r="O20" s="336"/>
      <c r="P20" s="336"/>
      <c r="Q20" s="336"/>
      <c r="R20" s="336"/>
      <c r="S20" s="336"/>
      <c r="T20" s="336"/>
      <c r="U20" s="336"/>
      <c r="V20" s="336"/>
      <c r="Z20" s="323" t="str">
        <f t="shared" si="10"/>
        <v>Defect Management</v>
      </c>
      <c r="AA20" s="343">
        <f t="shared" si="0"/>
        <v>0</v>
      </c>
      <c r="AB20" s="343">
        <f t="shared" si="1"/>
        <v>0</v>
      </c>
      <c r="AC20" s="343">
        <f t="shared" si="2"/>
        <v>0</v>
      </c>
      <c r="AD20" s="343">
        <f t="shared" si="3"/>
        <v>0</v>
      </c>
      <c r="AE20" s="343">
        <f t="shared" si="4"/>
        <v>2.5</v>
      </c>
    </row>
    <row r="21" spans="1:31">
      <c r="A21" s="357" t="s">
        <v>145</v>
      </c>
      <c r="B21" s="358">
        <f>IF(ISNUMBER(Interview!$J$147),Interview!$J$147,SUM(LEFT(Interview!$J$147),".5"))</f>
        <v>0.75</v>
      </c>
      <c r="C21" s="356">
        <f>Roadmap!M102</f>
        <v>0.75</v>
      </c>
      <c r="D21" s="351">
        <f t="shared" si="5"/>
        <v>0.75</v>
      </c>
      <c r="E21" s="356">
        <f>Roadmap!Q102</f>
        <v>0.75</v>
      </c>
      <c r="F21" s="351">
        <f t="shared" si="6"/>
        <v>0.75</v>
      </c>
      <c r="G21" s="356">
        <f>Roadmap!U102</f>
        <v>0.75</v>
      </c>
      <c r="H21" s="351">
        <f t="shared" si="7"/>
        <v>0.75</v>
      </c>
      <c r="I21" s="356">
        <f>Roadmap!Y102</f>
        <v>0.75</v>
      </c>
      <c r="J21" s="351">
        <f t="shared" si="8"/>
        <v>0.75</v>
      </c>
      <c r="K21" s="342">
        <f t="shared" si="9"/>
        <v>0</v>
      </c>
      <c r="L21" s="336"/>
      <c r="M21" s="336"/>
      <c r="N21" s="336"/>
      <c r="O21" s="336"/>
      <c r="P21" s="336"/>
      <c r="Q21" s="336"/>
      <c r="R21" s="336"/>
      <c r="S21" s="336"/>
      <c r="T21" s="336"/>
      <c r="U21" s="336"/>
      <c r="V21" s="336"/>
      <c r="Z21" s="323" t="str">
        <f t="shared" si="10"/>
        <v>Architecture Assessment</v>
      </c>
      <c r="AA21" s="343">
        <f t="shared" si="0"/>
        <v>0.75</v>
      </c>
      <c r="AB21" s="343">
        <f t="shared" si="1"/>
        <v>0.75</v>
      </c>
      <c r="AC21" s="343">
        <f t="shared" si="2"/>
        <v>0.75</v>
      </c>
      <c r="AD21" s="343">
        <f t="shared" si="3"/>
        <v>0.75</v>
      </c>
      <c r="AE21" s="343">
        <f t="shared" si="4"/>
        <v>0.75</v>
      </c>
    </row>
    <row r="22" spans="1:31">
      <c r="A22" s="359" t="s">
        <v>152</v>
      </c>
      <c r="B22" s="338">
        <f>IF(ISNUMBER(Interview!$J$161),Interview!$J$161,SUM(LEFT(Interview!$J$161),".5"))</f>
        <v>0</v>
      </c>
      <c r="C22" s="345">
        <f>Roadmap!M111</f>
        <v>0</v>
      </c>
      <c r="D22" s="340">
        <f t="shared" si="5"/>
        <v>0</v>
      </c>
      <c r="E22" s="345">
        <f>Roadmap!Q111</f>
        <v>0</v>
      </c>
      <c r="F22" s="340">
        <f t="shared" si="6"/>
        <v>0</v>
      </c>
      <c r="G22" s="345">
        <f>Roadmap!U111</f>
        <v>0</v>
      </c>
      <c r="H22" s="340">
        <f t="shared" si="7"/>
        <v>0</v>
      </c>
      <c r="I22" s="345">
        <f>Roadmap!Y111</f>
        <v>0</v>
      </c>
      <c r="J22" s="340">
        <f t="shared" si="8"/>
        <v>0</v>
      </c>
      <c r="K22" s="342">
        <f t="shared" si="9"/>
        <v>0</v>
      </c>
      <c r="L22" s="336"/>
      <c r="M22" s="336"/>
      <c r="N22" s="336"/>
      <c r="O22" s="336"/>
      <c r="P22" s="336"/>
      <c r="Q22" s="336"/>
      <c r="R22" s="336"/>
      <c r="S22" s="336"/>
      <c r="T22" s="336"/>
      <c r="U22" s="336"/>
      <c r="V22" s="336"/>
      <c r="Z22" s="323" t="str">
        <f t="shared" si="10"/>
        <v>Requirements Testing</v>
      </c>
      <c r="AA22" s="343">
        <f t="shared" si="0"/>
        <v>0</v>
      </c>
      <c r="AB22" s="343">
        <f t="shared" si="1"/>
        <v>0</v>
      </c>
      <c r="AC22" s="343">
        <f t="shared" si="2"/>
        <v>0</v>
      </c>
      <c r="AD22" s="343">
        <f t="shared" si="3"/>
        <v>0</v>
      </c>
      <c r="AE22" s="343">
        <f t="shared" si="4"/>
        <v>0</v>
      </c>
    </row>
    <row r="23" spans="1:31">
      <c r="A23" s="360" t="s">
        <v>159</v>
      </c>
      <c r="B23" s="347">
        <f>IF(ISNUMBER(Interview!$J$175),Interview!$J$175,SUM(LEFT(Interview!$J$175),".5"))</f>
        <v>0.875</v>
      </c>
      <c r="C23" s="345">
        <f>Roadmap!M120</f>
        <v>0.875</v>
      </c>
      <c r="D23" s="348">
        <f t="shared" si="5"/>
        <v>0.875</v>
      </c>
      <c r="E23" s="345">
        <f>Roadmap!Q120</f>
        <v>0.875</v>
      </c>
      <c r="F23" s="348">
        <f t="shared" si="6"/>
        <v>0.875</v>
      </c>
      <c r="G23" s="345">
        <f>Roadmap!U120</f>
        <v>0.875</v>
      </c>
      <c r="H23" s="348">
        <f t="shared" si="7"/>
        <v>0.875</v>
      </c>
      <c r="I23" s="345">
        <f>Roadmap!Y120</f>
        <v>0.875</v>
      </c>
      <c r="J23" s="348">
        <f t="shared" si="8"/>
        <v>0.875</v>
      </c>
      <c r="K23" s="342">
        <f t="shared" si="9"/>
        <v>0</v>
      </c>
      <c r="L23" s="336"/>
      <c r="M23" s="336"/>
      <c r="N23" s="336"/>
      <c r="O23" s="336"/>
      <c r="P23" s="336"/>
      <c r="Q23" s="336"/>
      <c r="R23" s="336"/>
      <c r="S23" s="336"/>
      <c r="T23" s="336"/>
      <c r="U23" s="336"/>
      <c r="V23" s="336"/>
      <c r="Z23" s="323" t="str">
        <f t="shared" si="10"/>
        <v>Security Testing</v>
      </c>
      <c r="AA23" s="343">
        <f t="shared" si="0"/>
        <v>0.875</v>
      </c>
      <c r="AB23" s="343">
        <f t="shared" si="1"/>
        <v>0.875</v>
      </c>
      <c r="AC23" s="343">
        <f t="shared" si="2"/>
        <v>0.875</v>
      </c>
      <c r="AD23" s="343">
        <f t="shared" si="3"/>
        <v>0.875</v>
      </c>
      <c r="AE23" s="343">
        <f t="shared" si="4"/>
        <v>0.875</v>
      </c>
    </row>
    <row r="24" spans="1:31">
      <c r="A24" s="361" t="s">
        <v>169</v>
      </c>
      <c r="B24" s="338">
        <f>IF(ISNUMBER(Interview!$J$190),Interview!$J$190,SUM(LEFT(Interview!$J$190),".5"))</f>
        <v>0</v>
      </c>
      <c r="C24" s="350">
        <f>Roadmap!M130</f>
        <v>0</v>
      </c>
      <c r="D24" s="351">
        <f t="shared" si="5"/>
        <v>0</v>
      </c>
      <c r="E24" s="350">
        <f>Roadmap!Q130</f>
        <v>0</v>
      </c>
      <c r="F24" s="351">
        <f t="shared" si="6"/>
        <v>0</v>
      </c>
      <c r="G24" s="350">
        <f>Roadmap!U130</f>
        <v>0</v>
      </c>
      <c r="H24" s="351">
        <f t="shared" si="7"/>
        <v>0</v>
      </c>
      <c r="I24" s="350">
        <f>Roadmap!Y130</f>
        <v>0</v>
      </c>
      <c r="J24" s="351">
        <f t="shared" si="8"/>
        <v>0</v>
      </c>
      <c r="K24" s="342">
        <f t="shared" si="9"/>
        <v>0</v>
      </c>
      <c r="L24" s="336"/>
      <c r="M24" s="336"/>
      <c r="N24" s="336"/>
      <c r="O24" s="336"/>
      <c r="P24" s="336"/>
      <c r="Q24" s="336"/>
      <c r="R24" s="336"/>
      <c r="S24" s="336"/>
      <c r="T24" s="336"/>
      <c r="U24" s="336"/>
      <c r="V24" s="336"/>
      <c r="Z24" s="323" t="str">
        <f t="shared" si="10"/>
        <v>Incident Management</v>
      </c>
      <c r="AA24" s="343">
        <f t="shared" si="0"/>
        <v>0</v>
      </c>
      <c r="AB24" s="343">
        <f t="shared" si="1"/>
        <v>0</v>
      </c>
      <c r="AC24" s="343">
        <f t="shared" si="2"/>
        <v>0</v>
      </c>
      <c r="AD24" s="343">
        <f t="shared" si="3"/>
        <v>0</v>
      </c>
      <c r="AE24" s="343">
        <f t="shared" si="4"/>
        <v>0</v>
      </c>
    </row>
    <row r="25" spans="1:31">
      <c r="A25" s="362" t="s">
        <v>176</v>
      </c>
      <c r="B25" s="338">
        <f>IF(ISNUMBER(Interview!$J$204),Interview!$J$204,SUM(LEFT(Interview!$J$204),".5"))</f>
        <v>0.375</v>
      </c>
      <c r="C25" s="345">
        <f>Roadmap!M139</f>
        <v>0.375</v>
      </c>
      <c r="D25" s="340">
        <f t="shared" si="5"/>
        <v>0.375</v>
      </c>
      <c r="E25" s="345">
        <f>Roadmap!Q139</f>
        <v>0.375</v>
      </c>
      <c r="F25" s="340">
        <f t="shared" si="6"/>
        <v>0.375</v>
      </c>
      <c r="G25" s="345">
        <f>Roadmap!U139</f>
        <v>0.375</v>
      </c>
      <c r="H25" s="340">
        <f t="shared" si="7"/>
        <v>0.375</v>
      </c>
      <c r="I25" s="345">
        <f>Roadmap!Y139</f>
        <v>0.375</v>
      </c>
      <c r="J25" s="340">
        <f t="shared" si="8"/>
        <v>0.375</v>
      </c>
      <c r="K25" s="342">
        <f t="shared" si="9"/>
        <v>0</v>
      </c>
      <c r="L25" s="336"/>
      <c r="M25" s="336"/>
      <c r="N25" s="336"/>
      <c r="O25" s="336"/>
      <c r="P25" s="336"/>
      <c r="Q25" s="336"/>
      <c r="R25" s="336"/>
      <c r="S25" s="336"/>
      <c r="T25" s="336"/>
      <c r="U25" s="336"/>
      <c r="V25" s="336"/>
      <c r="Z25" s="323" t="str">
        <f t="shared" si="10"/>
        <v>Environment Management</v>
      </c>
      <c r="AA25" s="343">
        <f t="shared" si="0"/>
        <v>0.375</v>
      </c>
      <c r="AB25" s="343">
        <f t="shared" si="1"/>
        <v>0.375</v>
      </c>
      <c r="AC25" s="343">
        <f t="shared" si="2"/>
        <v>0.375</v>
      </c>
      <c r="AD25" s="343">
        <f t="shared" si="3"/>
        <v>0.375</v>
      </c>
      <c r="AE25" s="343">
        <f t="shared" si="4"/>
        <v>0.375</v>
      </c>
    </row>
    <row r="26" spans="1:31">
      <c r="A26" s="363" t="s">
        <v>185</v>
      </c>
      <c r="B26" s="364">
        <f>IF(ISNUMBER(Interview!$J$218),Interview!$J$218,SUM(LEFT(Interview!$J$218),".5"))</f>
        <v>0</v>
      </c>
      <c r="C26" s="365">
        <f>Roadmap!M148</f>
        <v>0</v>
      </c>
      <c r="D26" s="366">
        <f t="shared" si="5"/>
        <v>0</v>
      </c>
      <c r="E26" s="365">
        <f>Roadmap!Q148</f>
        <v>0</v>
      </c>
      <c r="F26" s="366">
        <f t="shared" si="6"/>
        <v>0</v>
      </c>
      <c r="G26" s="365">
        <f>Roadmap!U148</f>
        <v>0</v>
      </c>
      <c r="H26" s="366">
        <f t="shared" si="7"/>
        <v>0</v>
      </c>
      <c r="I26" s="365">
        <f>Roadmap!Y148</f>
        <v>0</v>
      </c>
      <c r="J26" s="366">
        <f t="shared" si="8"/>
        <v>0</v>
      </c>
      <c r="K26" s="342">
        <f t="shared" si="9"/>
        <v>0</v>
      </c>
      <c r="L26" s="336"/>
      <c r="M26" s="336"/>
      <c r="N26" s="336"/>
      <c r="O26" s="336"/>
      <c r="P26" s="336"/>
      <c r="Q26" s="336"/>
      <c r="R26" s="336"/>
      <c r="S26" s="336"/>
      <c r="T26" s="336"/>
      <c r="U26" s="336"/>
      <c r="V26" s="336"/>
      <c r="Z26" s="323" t="str">
        <f t="shared" si="10"/>
        <v>Operational Management</v>
      </c>
      <c r="AA26" s="343">
        <f t="shared" si="0"/>
        <v>0</v>
      </c>
      <c r="AB26" s="343">
        <f t="shared" si="1"/>
        <v>0</v>
      </c>
      <c r="AC26" s="343">
        <f t="shared" si="2"/>
        <v>0</v>
      </c>
      <c r="AD26" s="343">
        <f t="shared" si="3"/>
        <v>0</v>
      </c>
      <c r="AE26" s="343">
        <f t="shared" si="4"/>
        <v>0</v>
      </c>
    </row>
    <row r="27" spans="1:31">
      <c r="L27" s="336" t="str">
        <f>A13</f>
        <v>Policy &amp; Compliance</v>
      </c>
      <c r="M27" s="336"/>
      <c r="N27" s="336"/>
      <c r="O27" s="336"/>
      <c r="P27" s="336"/>
      <c r="Q27" s="336"/>
      <c r="R27" s="336"/>
      <c r="S27" s="336"/>
      <c r="T27" s="336"/>
      <c r="U27" s="336"/>
      <c r="V27" s="336"/>
    </row>
    <row r="28" spans="1:31">
      <c r="B28" s="367" t="s">
        <v>233</v>
      </c>
      <c r="C28" s="343">
        <f>SUM(C12:C26)-SUM(B12:B26)</f>
        <v>-5.875</v>
      </c>
      <c r="D28" s="343"/>
      <c r="E28" s="343">
        <f>SUM(E12:E26)-SUM(C12:C26)</f>
        <v>0</v>
      </c>
      <c r="F28" s="343"/>
      <c r="G28" s="343">
        <f>SUM(G12:G26)-SUM(E12:E26)</f>
        <v>0</v>
      </c>
      <c r="H28" s="343"/>
      <c r="I28" s="343">
        <f>SUM(I12:I26)-SUM(G12:G26)</f>
        <v>0</v>
      </c>
      <c r="J28" s="343"/>
      <c r="K28" s="342">
        <f>SUM(K12:K26)</f>
        <v>-5.875</v>
      </c>
      <c r="L28" s="336"/>
      <c r="M28" s="336"/>
      <c r="N28" s="336"/>
      <c r="O28" s="336"/>
      <c r="P28" s="336"/>
      <c r="Q28" s="336"/>
      <c r="R28" s="336"/>
      <c r="S28" s="336"/>
      <c r="T28" s="336"/>
      <c r="U28" s="336"/>
      <c r="V28" s="336"/>
    </row>
    <row r="29" spans="1:31">
      <c r="B29" s="367"/>
      <c r="C29" s="368">
        <f>C28/$K$28</f>
        <v>1</v>
      </c>
      <c r="E29" s="368">
        <f>E28/$K$28</f>
        <v>0</v>
      </c>
      <c r="G29" s="368">
        <f>G28/$K$28</f>
        <v>0</v>
      </c>
      <c r="I29" s="368">
        <f>I28/$K$28</f>
        <v>0</v>
      </c>
      <c r="K29" s="369">
        <f>1-K28/24</f>
        <v>1.2447916666666667</v>
      </c>
      <c r="L29" s="336"/>
      <c r="M29" s="336"/>
      <c r="N29" s="336"/>
      <c r="O29" s="336"/>
      <c r="P29" s="336"/>
      <c r="Q29" s="336"/>
      <c r="R29" s="336"/>
      <c r="S29" s="336"/>
      <c r="T29" s="336"/>
      <c r="U29" s="336"/>
      <c r="V29" s="336"/>
    </row>
    <row r="30" spans="1:31">
      <c r="B30" s="367"/>
      <c r="L30" s="336"/>
      <c r="M30" s="336"/>
      <c r="N30" s="336"/>
      <c r="O30" s="336"/>
      <c r="P30" s="336"/>
      <c r="Q30" s="336"/>
      <c r="R30" s="336"/>
      <c r="S30" s="336"/>
      <c r="T30" s="336"/>
      <c r="U30" s="336"/>
      <c r="V30" s="336"/>
    </row>
    <row r="31" spans="1:31">
      <c r="L31" s="336"/>
      <c r="M31" s="336"/>
      <c r="N31" s="336"/>
      <c r="O31" s="336"/>
      <c r="P31" s="336"/>
      <c r="Q31" s="336"/>
      <c r="R31" s="336"/>
      <c r="S31" s="336"/>
      <c r="T31" s="336"/>
      <c r="U31" s="336"/>
      <c r="V31" s="336"/>
    </row>
    <row r="32" spans="1:31">
      <c r="A32" s="370" t="s">
        <v>234</v>
      </c>
      <c r="B32" s="371">
        <v>0</v>
      </c>
      <c r="L32" s="336"/>
      <c r="M32" s="336"/>
      <c r="N32" s="336"/>
      <c r="O32" s="336"/>
      <c r="P32" s="336"/>
      <c r="Q32" s="336"/>
      <c r="R32" s="336"/>
      <c r="S32" s="336"/>
      <c r="T32" s="336"/>
      <c r="U32" s="336"/>
      <c r="V32" s="336"/>
    </row>
    <row r="33" spans="1:22">
      <c r="B33" s="334">
        <v>0.5</v>
      </c>
      <c r="L33" s="336"/>
      <c r="M33" s="336"/>
      <c r="N33" s="336"/>
      <c r="O33" s="336"/>
      <c r="P33" s="336"/>
      <c r="Q33" s="336"/>
      <c r="R33" s="336"/>
      <c r="S33" s="336"/>
      <c r="T33" s="336"/>
      <c r="U33" s="336"/>
      <c r="V33" s="336"/>
    </row>
    <row r="34" spans="1:22">
      <c r="B34" s="334">
        <v>1</v>
      </c>
      <c r="L34" s="336" t="str">
        <f>A14</f>
        <v>Education &amp; Guidance</v>
      </c>
      <c r="M34" s="336"/>
      <c r="N34" s="336"/>
      <c r="O34" s="336"/>
      <c r="P34" s="336"/>
      <c r="Q34" s="336"/>
      <c r="R34" s="336"/>
      <c r="S34" s="336"/>
      <c r="T34" s="336"/>
      <c r="U34" s="336"/>
      <c r="V34" s="336"/>
    </row>
    <row r="35" spans="1:22">
      <c r="B35" s="334">
        <v>1.5</v>
      </c>
      <c r="L35" s="336"/>
      <c r="M35" s="336"/>
      <c r="N35" s="336"/>
      <c r="O35" s="336"/>
      <c r="P35" s="336"/>
      <c r="Q35" s="336"/>
      <c r="R35" s="336"/>
      <c r="S35" s="336"/>
      <c r="T35" s="336"/>
      <c r="U35" s="336"/>
      <c r="V35" s="336"/>
    </row>
    <row r="36" spans="1:22">
      <c r="B36" s="334">
        <v>2</v>
      </c>
      <c r="L36" s="336"/>
      <c r="M36" s="336"/>
      <c r="N36" s="336"/>
      <c r="O36" s="336"/>
      <c r="P36" s="336"/>
      <c r="Q36" s="336"/>
      <c r="R36" s="336"/>
      <c r="S36" s="336"/>
      <c r="T36" s="336"/>
      <c r="U36" s="336"/>
      <c r="V36" s="336"/>
    </row>
    <row r="37" spans="1:22">
      <c r="B37" s="334">
        <v>2.5</v>
      </c>
      <c r="L37" s="336"/>
      <c r="M37" s="336"/>
      <c r="N37" s="336"/>
      <c r="O37" s="336"/>
      <c r="P37" s="336"/>
      <c r="Q37" s="336"/>
      <c r="R37" s="336"/>
      <c r="S37" s="336"/>
      <c r="T37" s="336"/>
      <c r="U37" s="336"/>
      <c r="V37" s="336"/>
    </row>
    <row r="38" spans="1:22">
      <c r="A38" s="372"/>
      <c r="B38" s="373">
        <v>3</v>
      </c>
      <c r="L38" s="336"/>
      <c r="M38" s="336"/>
      <c r="N38" s="336"/>
      <c r="O38" s="336"/>
      <c r="P38" s="336"/>
      <c r="Q38" s="336"/>
      <c r="R38" s="336"/>
      <c r="S38" s="336"/>
      <c r="T38" s="336"/>
      <c r="U38" s="336"/>
      <c r="V38" s="336"/>
    </row>
    <row r="39" spans="1:22">
      <c r="L39" s="336"/>
      <c r="M39" s="336"/>
      <c r="N39" s="336"/>
      <c r="O39" s="336"/>
      <c r="P39" s="336"/>
      <c r="Q39" s="336"/>
      <c r="R39" s="336"/>
      <c r="S39" s="336"/>
      <c r="T39" s="336"/>
      <c r="U39" s="336"/>
      <c r="V39" s="336"/>
    </row>
    <row r="40" spans="1:22">
      <c r="L40" s="336"/>
      <c r="M40" s="336"/>
      <c r="N40" s="336"/>
      <c r="O40" s="336"/>
      <c r="P40" s="336"/>
      <c r="Q40" s="336"/>
      <c r="R40" s="336"/>
      <c r="S40" s="336"/>
      <c r="T40" s="336"/>
      <c r="U40" s="336"/>
      <c r="V40" s="336"/>
    </row>
    <row r="41" spans="1:22">
      <c r="L41" s="336" t="str">
        <f>A15</f>
        <v>Threat Assessment</v>
      </c>
      <c r="M41" s="336"/>
      <c r="N41" s="336"/>
      <c r="O41" s="336"/>
      <c r="P41" s="336"/>
      <c r="Q41" s="336"/>
      <c r="R41" s="336"/>
      <c r="S41" s="336"/>
      <c r="T41" s="336"/>
      <c r="U41" s="336"/>
      <c r="V41" s="336"/>
    </row>
    <row r="42" spans="1:22">
      <c r="L42" s="336"/>
      <c r="M42" s="336"/>
      <c r="N42" s="336"/>
      <c r="O42" s="336"/>
      <c r="P42" s="336"/>
      <c r="Q42" s="336"/>
      <c r="R42" s="336"/>
      <c r="S42" s="336"/>
      <c r="T42" s="336"/>
      <c r="U42" s="336"/>
      <c r="V42" s="336"/>
    </row>
    <row r="43" spans="1:22">
      <c r="L43" s="336"/>
      <c r="M43" s="336"/>
      <c r="N43" s="336"/>
      <c r="O43" s="336"/>
      <c r="P43" s="336"/>
      <c r="Q43" s="336"/>
      <c r="R43" s="336"/>
      <c r="S43" s="336"/>
      <c r="T43" s="336"/>
      <c r="U43" s="336"/>
      <c r="V43" s="336"/>
    </row>
    <row r="44" spans="1:22">
      <c r="L44" s="336"/>
      <c r="M44" s="336"/>
      <c r="N44" s="336"/>
      <c r="O44" s="336"/>
      <c r="P44" s="336"/>
      <c r="Q44" s="336"/>
      <c r="R44" s="336"/>
      <c r="S44" s="336"/>
      <c r="T44" s="336"/>
      <c r="U44" s="336"/>
      <c r="V44" s="336"/>
    </row>
    <row r="45" spans="1:22">
      <c r="L45" s="336"/>
      <c r="M45" s="336"/>
      <c r="N45" s="336"/>
      <c r="O45" s="336"/>
      <c r="P45" s="336"/>
      <c r="Q45" s="336"/>
      <c r="R45" s="336"/>
      <c r="S45" s="336"/>
      <c r="T45" s="336"/>
      <c r="U45" s="336"/>
      <c r="V45" s="336"/>
    </row>
    <row r="46" spans="1:22">
      <c r="L46" s="336"/>
      <c r="M46" s="336"/>
      <c r="N46" s="336"/>
      <c r="O46" s="336"/>
      <c r="P46" s="336"/>
      <c r="Q46" s="336"/>
      <c r="R46" s="336"/>
      <c r="S46" s="336"/>
      <c r="T46" s="336"/>
      <c r="U46" s="336"/>
      <c r="V46" s="336"/>
    </row>
    <row r="47" spans="1:22">
      <c r="L47" s="336"/>
      <c r="M47" s="336"/>
      <c r="N47" s="336"/>
      <c r="O47" s="336"/>
      <c r="P47" s="336"/>
      <c r="Q47" s="336"/>
      <c r="R47" s="336"/>
      <c r="S47" s="336"/>
      <c r="T47" s="336"/>
      <c r="U47" s="336"/>
      <c r="V47" s="336"/>
    </row>
    <row r="48" spans="1:22">
      <c r="L48" s="336" t="str">
        <f>A16</f>
        <v>Security Requirements</v>
      </c>
      <c r="M48" s="336"/>
      <c r="N48" s="336"/>
      <c r="O48" s="336"/>
      <c r="P48" s="336"/>
      <c r="Q48" s="336"/>
      <c r="R48" s="336"/>
      <c r="S48" s="336"/>
      <c r="T48" s="336"/>
      <c r="U48" s="336"/>
      <c r="V48" s="336"/>
    </row>
    <row r="49" spans="12:22">
      <c r="L49" s="336"/>
      <c r="M49" s="336"/>
      <c r="N49" s="336"/>
      <c r="O49" s="336"/>
      <c r="P49" s="336"/>
      <c r="Q49" s="336"/>
      <c r="R49" s="336"/>
      <c r="S49" s="336"/>
      <c r="T49" s="336"/>
      <c r="U49" s="336"/>
      <c r="V49" s="336"/>
    </row>
    <row r="50" spans="12:22">
      <c r="L50" s="336"/>
      <c r="M50" s="336"/>
      <c r="N50" s="336"/>
      <c r="O50" s="336"/>
      <c r="P50" s="336"/>
      <c r="Q50" s="336"/>
      <c r="R50" s="336"/>
      <c r="S50" s="336"/>
      <c r="T50" s="336"/>
      <c r="U50" s="336"/>
      <c r="V50" s="336"/>
    </row>
    <row r="51" spans="12:22">
      <c r="L51" s="336"/>
      <c r="M51" s="336"/>
      <c r="N51" s="336"/>
      <c r="O51" s="336"/>
      <c r="P51" s="336"/>
      <c r="Q51" s="336"/>
      <c r="R51" s="336"/>
      <c r="S51" s="336"/>
      <c r="T51" s="336"/>
      <c r="U51" s="336"/>
      <c r="V51" s="336"/>
    </row>
    <row r="52" spans="12:22">
      <c r="L52" s="336"/>
      <c r="M52" s="336"/>
      <c r="N52" s="336"/>
      <c r="O52" s="336"/>
      <c r="P52" s="336"/>
      <c r="Q52" s="336"/>
      <c r="R52" s="336"/>
      <c r="S52" s="336"/>
      <c r="T52" s="336"/>
      <c r="U52" s="336"/>
      <c r="V52" s="336"/>
    </row>
    <row r="53" spans="12:22">
      <c r="L53" s="336"/>
      <c r="M53" s="336"/>
      <c r="N53" s="336"/>
      <c r="O53" s="336"/>
      <c r="P53" s="336"/>
      <c r="Q53" s="336"/>
      <c r="R53" s="336"/>
      <c r="S53" s="336"/>
      <c r="T53" s="336"/>
      <c r="U53" s="336"/>
      <c r="V53" s="336"/>
    </row>
    <row r="54" spans="12:22">
      <c r="L54" s="336"/>
      <c r="M54" s="336"/>
      <c r="N54" s="336"/>
      <c r="O54" s="336"/>
      <c r="P54" s="336"/>
      <c r="Q54" s="336"/>
      <c r="R54" s="336"/>
      <c r="S54" s="336"/>
      <c r="T54" s="336"/>
      <c r="U54" s="336"/>
      <c r="V54" s="336"/>
    </row>
    <row r="55" spans="12:22">
      <c r="L55" s="336"/>
      <c r="M55" s="336"/>
      <c r="N55" s="336"/>
      <c r="O55" s="336"/>
      <c r="P55" s="336"/>
      <c r="Q55" s="336"/>
      <c r="R55" s="336"/>
      <c r="S55" s="336"/>
      <c r="T55" s="336"/>
      <c r="U55" s="336"/>
      <c r="V55" s="336"/>
    </row>
    <row r="56" spans="12:22">
      <c r="L56" s="336" t="str">
        <f>A17</f>
        <v>Secure Architecture</v>
      </c>
    </row>
    <row r="63" spans="12:22">
      <c r="L63" s="323" t="s">
        <v>121</v>
      </c>
    </row>
    <row r="70" spans="12:22">
      <c r="L70" s="323" t="s">
        <v>129</v>
      </c>
    </row>
    <row r="77" spans="12:22">
      <c r="L77" s="323" t="s">
        <v>137</v>
      </c>
    </row>
    <row r="80" spans="12:22">
      <c r="M80" s="336"/>
      <c r="N80" s="336"/>
      <c r="O80" s="336"/>
      <c r="P80" s="336"/>
      <c r="Q80" s="336"/>
      <c r="R80" s="336"/>
      <c r="S80" s="336"/>
      <c r="T80" s="336"/>
      <c r="U80" s="336"/>
      <c r="V80" s="336"/>
    </row>
    <row r="81" spans="12:22">
      <c r="L81" s="336"/>
      <c r="M81" s="336"/>
      <c r="N81" s="336"/>
      <c r="O81" s="336"/>
      <c r="P81" s="336"/>
      <c r="Q81" s="336"/>
      <c r="R81" s="336"/>
      <c r="S81" s="336"/>
      <c r="T81" s="336"/>
      <c r="U81" s="336"/>
      <c r="V81" s="336"/>
    </row>
    <row r="82" spans="12:22">
      <c r="L82" s="336"/>
      <c r="M82" s="336"/>
      <c r="N82" s="336"/>
      <c r="O82" s="336"/>
      <c r="P82" s="336"/>
      <c r="Q82" s="336"/>
      <c r="R82" s="336"/>
      <c r="S82" s="336"/>
      <c r="T82" s="336"/>
      <c r="U82" s="336"/>
      <c r="V82" s="336"/>
    </row>
    <row r="83" spans="12:22">
      <c r="L83" s="336"/>
      <c r="M83" s="336"/>
      <c r="N83" s="336"/>
      <c r="O83" s="336"/>
      <c r="P83" s="336"/>
      <c r="Q83" s="336"/>
      <c r="R83" s="336"/>
      <c r="S83" s="336"/>
      <c r="T83" s="336"/>
      <c r="U83" s="336"/>
      <c r="V83" s="336"/>
    </row>
    <row r="84" spans="12:22">
      <c r="L84" s="336"/>
      <c r="M84" s="336"/>
      <c r="N84" s="336"/>
      <c r="O84" s="336"/>
      <c r="P84" s="336"/>
      <c r="Q84" s="336"/>
      <c r="R84" s="336"/>
      <c r="S84" s="336"/>
      <c r="T84" s="336"/>
      <c r="U84" s="336"/>
      <c r="V84" s="336"/>
    </row>
    <row r="85" spans="12:22">
      <c r="L85" s="336"/>
      <c r="M85" s="336"/>
      <c r="N85" s="336"/>
      <c r="O85" s="336"/>
      <c r="P85" s="336"/>
      <c r="Q85" s="336"/>
      <c r="R85" s="336"/>
      <c r="S85" s="336"/>
      <c r="T85" s="336"/>
      <c r="U85" s="336"/>
      <c r="V85" s="336"/>
    </row>
    <row r="86" spans="12:22">
      <c r="L86" s="336"/>
      <c r="M86" s="336"/>
      <c r="N86" s="336"/>
      <c r="O86" s="336"/>
      <c r="P86" s="336"/>
      <c r="Q86" s="336"/>
      <c r="R86" s="336"/>
      <c r="S86" s="336"/>
      <c r="T86" s="336"/>
      <c r="U86" s="336"/>
      <c r="V86" s="336"/>
    </row>
    <row r="87" spans="12:22">
      <c r="L87" s="336"/>
      <c r="M87" s="336"/>
      <c r="N87" s="336"/>
      <c r="O87" s="336"/>
      <c r="P87" s="336"/>
      <c r="Q87" s="336"/>
      <c r="R87" s="336"/>
      <c r="S87" s="336"/>
      <c r="T87" s="336"/>
      <c r="U87" s="336"/>
      <c r="V87" s="336"/>
    </row>
    <row r="88" spans="12:22">
      <c r="L88" s="336" t="str">
        <f>A21</f>
        <v>Architecture Assessment</v>
      </c>
      <c r="M88" s="336"/>
      <c r="N88" s="336"/>
      <c r="O88" s="336"/>
      <c r="P88" s="336"/>
      <c r="Q88" s="336"/>
      <c r="R88" s="336"/>
      <c r="S88" s="336"/>
      <c r="T88" s="336"/>
      <c r="U88" s="336"/>
      <c r="V88" s="336"/>
    </row>
    <row r="89" spans="12:22">
      <c r="L89" s="336"/>
      <c r="M89" s="336"/>
      <c r="N89" s="336"/>
      <c r="O89" s="336"/>
      <c r="P89" s="336"/>
      <c r="Q89" s="336"/>
      <c r="R89" s="336"/>
      <c r="S89" s="336"/>
      <c r="T89" s="336"/>
      <c r="U89" s="336"/>
      <c r="V89" s="336"/>
    </row>
    <row r="90" spans="12:22">
      <c r="L90" s="336"/>
      <c r="M90" s="336"/>
      <c r="N90" s="336"/>
      <c r="O90" s="336"/>
      <c r="P90" s="336"/>
      <c r="Q90" s="336"/>
      <c r="R90" s="336"/>
      <c r="S90" s="336"/>
      <c r="T90" s="336"/>
      <c r="U90" s="336"/>
      <c r="V90" s="336"/>
    </row>
    <row r="91" spans="12:22">
      <c r="L91" s="336"/>
      <c r="M91" s="336"/>
      <c r="N91" s="336"/>
      <c r="O91" s="336"/>
      <c r="P91" s="336"/>
      <c r="Q91" s="336"/>
      <c r="R91" s="336"/>
      <c r="S91" s="336"/>
      <c r="T91" s="336"/>
      <c r="U91" s="336"/>
      <c r="V91" s="336"/>
    </row>
    <row r="92" spans="12:22">
      <c r="L92" s="336"/>
      <c r="M92" s="336"/>
      <c r="N92" s="336"/>
      <c r="O92" s="336"/>
      <c r="P92" s="336"/>
      <c r="Q92" s="336"/>
      <c r="R92" s="336"/>
      <c r="S92" s="336"/>
      <c r="T92" s="336"/>
      <c r="U92" s="336"/>
      <c r="V92" s="336"/>
    </row>
    <row r="93" spans="12:22">
      <c r="L93" s="336"/>
      <c r="M93" s="336"/>
      <c r="N93" s="336"/>
      <c r="O93" s="336"/>
      <c r="P93" s="336"/>
      <c r="Q93" s="336"/>
      <c r="R93" s="336"/>
      <c r="S93" s="336"/>
      <c r="T93" s="336"/>
      <c r="U93" s="336"/>
      <c r="V93" s="336"/>
    </row>
    <row r="94" spans="12:22">
      <c r="L94" s="336"/>
      <c r="M94" s="336"/>
      <c r="N94" s="336"/>
      <c r="O94" s="336"/>
      <c r="P94" s="336"/>
      <c r="Q94" s="336"/>
      <c r="R94" s="336"/>
      <c r="S94" s="336"/>
      <c r="T94" s="336"/>
      <c r="U94" s="336"/>
      <c r="V94" s="336"/>
    </row>
    <row r="95" spans="12:22">
      <c r="L95" s="336"/>
      <c r="M95" s="336"/>
      <c r="N95" s="336"/>
      <c r="O95" s="336"/>
      <c r="P95" s="336"/>
      <c r="Q95" s="336"/>
      <c r="R95" s="336"/>
      <c r="S95" s="336"/>
      <c r="T95" s="336"/>
      <c r="U95" s="336"/>
      <c r="V95" s="336"/>
    </row>
    <row r="96" spans="12:22">
      <c r="L96" s="336" t="str">
        <f>A22</f>
        <v>Requirements Testing</v>
      </c>
      <c r="M96" s="336"/>
      <c r="N96" s="336"/>
      <c r="O96" s="336"/>
      <c r="P96" s="336"/>
      <c r="Q96" s="336"/>
      <c r="R96" s="336"/>
      <c r="S96" s="336"/>
      <c r="T96" s="336"/>
      <c r="U96" s="336"/>
      <c r="V96" s="336"/>
    </row>
    <row r="97" spans="12:22">
      <c r="L97" s="336"/>
      <c r="M97" s="336"/>
      <c r="N97" s="336"/>
      <c r="O97" s="336"/>
      <c r="P97" s="336"/>
      <c r="Q97" s="336"/>
      <c r="R97" s="336"/>
      <c r="S97" s="336"/>
      <c r="T97" s="336"/>
      <c r="U97" s="336"/>
      <c r="V97" s="336"/>
    </row>
    <row r="98" spans="12:22">
      <c r="L98" s="336"/>
      <c r="M98" s="336"/>
      <c r="N98" s="336"/>
      <c r="O98" s="336"/>
      <c r="P98" s="336"/>
      <c r="Q98" s="336"/>
      <c r="R98" s="336"/>
      <c r="S98" s="336"/>
      <c r="T98" s="336"/>
      <c r="U98" s="336"/>
      <c r="V98" s="336"/>
    </row>
    <row r="99" spans="12:22">
      <c r="L99" s="336"/>
      <c r="M99" s="336"/>
      <c r="N99" s="336"/>
      <c r="O99" s="336"/>
      <c r="P99" s="336"/>
      <c r="Q99" s="336"/>
      <c r="R99" s="336"/>
      <c r="S99" s="336"/>
      <c r="T99" s="336"/>
      <c r="U99" s="336"/>
      <c r="V99" s="336"/>
    </row>
    <row r="100" spans="12:22">
      <c r="L100" s="336"/>
      <c r="M100" s="336"/>
      <c r="N100" s="336"/>
      <c r="O100" s="336"/>
      <c r="P100" s="336"/>
      <c r="Q100" s="336"/>
      <c r="R100" s="336"/>
      <c r="S100" s="336"/>
      <c r="T100" s="336"/>
      <c r="U100" s="336"/>
      <c r="V100" s="336"/>
    </row>
    <row r="101" spans="12:22">
      <c r="L101" s="336"/>
      <c r="M101" s="336"/>
      <c r="N101" s="336"/>
      <c r="O101" s="336"/>
      <c r="P101" s="336"/>
      <c r="Q101" s="336"/>
      <c r="R101" s="336"/>
      <c r="S101" s="336"/>
      <c r="T101" s="336"/>
      <c r="U101" s="336"/>
      <c r="V101" s="336"/>
    </row>
    <row r="102" spans="12:22">
      <c r="L102" s="336"/>
      <c r="M102" s="336"/>
      <c r="N102" s="336"/>
      <c r="O102" s="336"/>
      <c r="P102" s="336"/>
      <c r="Q102" s="336"/>
      <c r="R102" s="336"/>
      <c r="S102" s="336"/>
      <c r="T102" s="336"/>
      <c r="U102" s="336"/>
      <c r="V102" s="336"/>
    </row>
    <row r="103" spans="12:22">
      <c r="L103" s="336"/>
      <c r="M103" s="336"/>
      <c r="N103" s="336"/>
      <c r="O103" s="336"/>
      <c r="P103" s="336"/>
      <c r="Q103" s="336"/>
      <c r="R103" s="336"/>
      <c r="S103" s="336"/>
      <c r="T103" s="336"/>
      <c r="U103" s="336"/>
      <c r="V103" s="336"/>
    </row>
    <row r="104" spans="12:22">
      <c r="L104" s="336" t="str">
        <f>A23</f>
        <v>Security Testing</v>
      </c>
      <c r="M104" s="336"/>
      <c r="N104" s="336"/>
      <c r="O104" s="336"/>
      <c r="P104" s="336"/>
      <c r="Q104" s="336"/>
      <c r="R104" s="336"/>
      <c r="S104" s="336"/>
      <c r="T104" s="336"/>
      <c r="U104" s="336"/>
      <c r="V104" s="336"/>
    </row>
    <row r="105" spans="12:22">
      <c r="L105" s="336"/>
      <c r="M105" s="336"/>
      <c r="N105" s="336"/>
      <c r="O105" s="336"/>
      <c r="P105" s="336"/>
      <c r="Q105" s="336"/>
      <c r="R105" s="336"/>
      <c r="S105" s="336"/>
      <c r="T105" s="336"/>
      <c r="U105" s="336"/>
      <c r="V105" s="336"/>
    </row>
    <row r="106" spans="12:22">
      <c r="L106" s="336"/>
      <c r="M106" s="336"/>
      <c r="N106" s="336"/>
      <c r="O106" s="336"/>
      <c r="P106" s="336"/>
      <c r="Q106" s="336"/>
      <c r="R106" s="336"/>
      <c r="S106" s="336"/>
      <c r="T106" s="336"/>
      <c r="U106" s="336"/>
      <c r="V106" s="336"/>
    </row>
    <row r="107" spans="12:22">
      <c r="L107" s="336"/>
      <c r="M107" s="336"/>
      <c r="N107" s="336"/>
      <c r="O107" s="336"/>
      <c r="P107" s="336"/>
      <c r="Q107" s="336"/>
      <c r="R107" s="336"/>
      <c r="S107" s="336"/>
      <c r="T107" s="336"/>
      <c r="U107" s="336"/>
      <c r="V107" s="336"/>
    </row>
    <row r="108" spans="12:22">
      <c r="L108" s="336"/>
      <c r="M108" s="336"/>
      <c r="N108" s="336"/>
      <c r="O108" s="336"/>
      <c r="P108" s="336"/>
      <c r="Q108" s="336"/>
      <c r="R108" s="336"/>
      <c r="S108" s="336"/>
      <c r="T108" s="336"/>
      <c r="U108" s="336"/>
      <c r="V108" s="336"/>
    </row>
    <row r="109" spans="12:22">
      <c r="L109" s="336"/>
      <c r="M109" s="336"/>
      <c r="N109" s="336"/>
      <c r="O109" s="336"/>
      <c r="P109" s="336"/>
      <c r="Q109" s="336"/>
      <c r="R109" s="336"/>
      <c r="S109" s="336"/>
      <c r="T109" s="336"/>
      <c r="U109" s="336"/>
      <c r="V109" s="336"/>
    </row>
    <row r="110" spans="12:22">
      <c r="L110" s="336"/>
      <c r="M110" s="336"/>
      <c r="N110" s="336"/>
      <c r="O110" s="336"/>
      <c r="P110" s="336"/>
      <c r="Q110" s="336"/>
      <c r="R110" s="336"/>
      <c r="S110" s="336"/>
      <c r="T110" s="336"/>
      <c r="U110" s="336"/>
      <c r="V110" s="336"/>
    </row>
    <row r="111" spans="12:22">
      <c r="L111" s="336"/>
      <c r="M111" s="336"/>
      <c r="N111" s="336"/>
      <c r="O111" s="336"/>
      <c r="P111" s="336"/>
      <c r="Q111" s="336"/>
      <c r="R111" s="336"/>
      <c r="S111" s="336"/>
      <c r="T111" s="336"/>
      <c r="U111" s="336"/>
      <c r="V111" s="336"/>
    </row>
    <row r="112" spans="12:22">
      <c r="L112" s="336" t="str">
        <f>A24</f>
        <v>Incident Management</v>
      </c>
      <c r="M112" s="336"/>
      <c r="N112" s="336"/>
      <c r="O112" s="336"/>
      <c r="P112" s="336"/>
      <c r="Q112" s="336"/>
      <c r="R112" s="336"/>
      <c r="S112" s="336"/>
      <c r="T112" s="336"/>
      <c r="U112" s="336"/>
      <c r="V112" s="336"/>
    </row>
    <row r="113" spans="12:22">
      <c r="L113" s="336"/>
      <c r="M113" s="336"/>
      <c r="N113" s="336"/>
      <c r="O113" s="336"/>
      <c r="P113" s="336"/>
      <c r="Q113" s="336"/>
      <c r="R113" s="336"/>
      <c r="S113" s="336"/>
      <c r="T113" s="336"/>
      <c r="U113" s="336"/>
      <c r="V113" s="336"/>
    </row>
    <row r="114" spans="12:22">
      <c r="L114" s="336"/>
      <c r="M114" s="336"/>
      <c r="N114" s="336"/>
      <c r="O114" s="336"/>
      <c r="P114" s="336"/>
      <c r="Q114" s="336"/>
      <c r="R114" s="336"/>
      <c r="S114" s="336"/>
      <c r="T114" s="336"/>
      <c r="U114" s="336"/>
      <c r="V114" s="336"/>
    </row>
    <row r="115" spans="12:22">
      <c r="L115" s="336"/>
      <c r="M115" s="336"/>
      <c r="N115" s="336"/>
      <c r="O115" s="336"/>
      <c r="P115" s="336"/>
      <c r="Q115" s="336"/>
      <c r="R115" s="336"/>
      <c r="S115" s="336"/>
      <c r="T115" s="336"/>
      <c r="U115" s="336"/>
      <c r="V115" s="336"/>
    </row>
    <row r="116" spans="12:22">
      <c r="L116" s="336"/>
      <c r="M116" s="336"/>
      <c r="N116" s="336"/>
      <c r="O116" s="336"/>
      <c r="P116" s="336"/>
      <c r="Q116" s="336"/>
      <c r="R116" s="336"/>
      <c r="S116" s="336"/>
      <c r="T116" s="336"/>
      <c r="U116" s="336"/>
      <c r="V116" s="336"/>
    </row>
    <row r="117" spans="12:22">
      <c r="L117" s="336"/>
      <c r="M117" s="336"/>
      <c r="N117" s="336"/>
      <c r="O117" s="336"/>
      <c r="P117" s="336"/>
      <c r="Q117" s="336"/>
      <c r="R117" s="336"/>
      <c r="S117" s="336"/>
      <c r="T117" s="336"/>
      <c r="U117" s="336"/>
      <c r="V117" s="336"/>
    </row>
    <row r="118" spans="12:22">
      <c r="L118" s="336"/>
      <c r="M118" s="336"/>
      <c r="N118" s="336"/>
      <c r="O118" s="336"/>
      <c r="P118" s="336"/>
      <c r="Q118" s="336"/>
      <c r="R118" s="336"/>
      <c r="S118" s="336"/>
      <c r="T118" s="336"/>
      <c r="U118" s="336"/>
      <c r="V118" s="336"/>
    </row>
    <row r="119" spans="12:22">
      <c r="L119" s="336"/>
      <c r="M119" s="336"/>
      <c r="N119" s="336"/>
      <c r="O119" s="336"/>
      <c r="P119" s="336"/>
      <c r="Q119" s="336"/>
      <c r="R119" s="336"/>
      <c r="S119" s="336"/>
      <c r="T119" s="336"/>
      <c r="U119" s="336"/>
      <c r="V119" s="336"/>
    </row>
    <row r="120" spans="12:22">
      <c r="L120" s="336" t="str">
        <f>A25</f>
        <v>Environment Management</v>
      </c>
      <c r="M120" s="336"/>
      <c r="N120" s="336"/>
      <c r="O120" s="336"/>
      <c r="P120" s="336"/>
      <c r="Q120" s="336"/>
      <c r="R120" s="336"/>
      <c r="S120" s="336"/>
      <c r="T120" s="336"/>
      <c r="U120" s="336"/>
      <c r="V120" s="336"/>
    </row>
    <row r="121" spans="12:22">
      <c r="L121" s="336"/>
      <c r="M121" s="336"/>
      <c r="N121" s="336"/>
      <c r="O121" s="336"/>
      <c r="P121" s="336"/>
      <c r="Q121" s="336"/>
      <c r="R121" s="336"/>
      <c r="S121" s="336"/>
      <c r="T121" s="336"/>
      <c r="U121" s="336"/>
      <c r="V121" s="336"/>
    </row>
    <row r="122" spans="12:22">
      <c r="L122" s="336"/>
      <c r="M122" s="336"/>
      <c r="N122" s="336"/>
      <c r="O122" s="336"/>
      <c r="P122" s="336"/>
      <c r="Q122" s="336"/>
      <c r="R122" s="336"/>
      <c r="S122" s="336"/>
      <c r="T122" s="336"/>
      <c r="U122" s="336"/>
      <c r="V122" s="336"/>
    </row>
    <row r="123" spans="12:22">
      <c r="L123" s="336"/>
      <c r="M123" s="336"/>
      <c r="N123" s="336"/>
      <c r="O123" s="336"/>
      <c r="P123" s="336"/>
      <c r="Q123" s="336"/>
      <c r="R123" s="336"/>
      <c r="S123" s="336"/>
      <c r="T123" s="336"/>
      <c r="U123" s="336"/>
      <c r="V123" s="336"/>
    </row>
    <row r="124" spans="12:22">
      <c r="L124" s="336"/>
      <c r="M124" s="336"/>
      <c r="N124" s="336"/>
      <c r="O124" s="336"/>
      <c r="P124" s="336"/>
      <c r="Q124" s="336"/>
      <c r="R124" s="336"/>
      <c r="S124" s="336"/>
      <c r="T124" s="336"/>
      <c r="U124" s="336"/>
      <c r="V124" s="336"/>
    </row>
    <row r="125" spans="12:22">
      <c r="L125" s="336"/>
      <c r="M125" s="336"/>
      <c r="N125" s="336"/>
      <c r="O125" s="336"/>
      <c r="P125" s="336"/>
      <c r="Q125" s="336"/>
      <c r="R125" s="336"/>
      <c r="S125" s="336"/>
      <c r="T125" s="336"/>
      <c r="U125" s="336"/>
      <c r="V125" s="336"/>
    </row>
    <row r="126" spans="12:22">
      <c r="L126" s="336"/>
      <c r="M126" s="336"/>
      <c r="N126" s="336"/>
      <c r="O126" s="336"/>
      <c r="P126" s="336"/>
      <c r="Q126" s="336"/>
      <c r="R126" s="336"/>
      <c r="S126" s="336"/>
      <c r="T126" s="336"/>
      <c r="U126" s="336"/>
      <c r="V126" s="336"/>
    </row>
    <row r="127" spans="12:22">
      <c r="L127" s="336"/>
      <c r="M127" s="336"/>
      <c r="N127" s="336"/>
      <c r="O127" s="336"/>
      <c r="P127" s="336"/>
      <c r="Q127" s="336"/>
      <c r="R127" s="336"/>
      <c r="S127" s="336"/>
      <c r="T127" s="336"/>
      <c r="U127" s="336"/>
      <c r="V127" s="336"/>
    </row>
    <row r="128" spans="12:22">
      <c r="L128" s="336" t="str">
        <f>A26</f>
        <v>Operational Management</v>
      </c>
      <c r="M128" s="336"/>
      <c r="N128" s="336"/>
      <c r="O128" s="336"/>
      <c r="P128" s="336"/>
      <c r="Q128" s="336"/>
      <c r="R128" s="336"/>
      <c r="S128" s="336"/>
      <c r="T128" s="336"/>
      <c r="U128" s="336"/>
      <c r="V128" s="336"/>
    </row>
    <row r="129" spans="12:22">
      <c r="L129" s="336"/>
      <c r="M129" s="336"/>
      <c r="N129" s="336"/>
      <c r="O129" s="336"/>
      <c r="P129" s="336"/>
      <c r="Q129" s="336"/>
      <c r="R129" s="336"/>
      <c r="S129" s="336"/>
      <c r="T129" s="336"/>
      <c r="U129" s="336"/>
      <c r="V129" s="336"/>
    </row>
    <row r="130" spans="12:22">
      <c r="L130" s="336"/>
      <c r="M130" s="336"/>
      <c r="N130" s="336"/>
      <c r="O130" s="336"/>
      <c r="P130" s="336"/>
      <c r="Q130" s="336"/>
      <c r="R130" s="336"/>
      <c r="S130" s="336"/>
      <c r="T130" s="336"/>
      <c r="U130" s="336"/>
      <c r="V130" s="336"/>
    </row>
    <row r="131" spans="12:22">
      <c r="L131" s="336"/>
      <c r="M131" s="336"/>
      <c r="N131" s="336"/>
      <c r="O131" s="336"/>
      <c r="P131" s="336"/>
      <c r="Q131" s="336"/>
      <c r="R131" s="336"/>
      <c r="S131" s="336"/>
      <c r="T131" s="336"/>
      <c r="U131" s="336"/>
      <c r="V131" s="336"/>
    </row>
    <row r="132" spans="12:22">
      <c r="L132" s="336"/>
      <c r="M132" s="374"/>
      <c r="N132" s="374"/>
      <c r="O132" s="374"/>
      <c r="P132" s="374"/>
      <c r="Q132" s="374"/>
      <c r="R132" s="374"/>
      <c r="S132" s="374"/>
      <c r="T132" s="374"/>
      <c r="U132" s="374"/>
      <c r="V132" s="374"/>
    </row>
  </sheetData>
  <mergeCells count="20">
    <mergeCell ref="A1:K1"/>
    <mergeCell ref="B4:C4"/>
    <mergeCell ref="B5:C5"/>
    <mergeCell ref="B6:C6"/>
    <mergeCell ref="B7:C7"/>
    <mergeCell ref="B8:C8"/>
    <mergeCell ref="O8:R8"/>
    <mergeCell ref="S8:V8"/>
    <mergeCell ref="O9:P9"/>
    <mergeCell ref="Q9:R9"/>
    <mergeCell ref="S9:T9"/>
    <mergeCell ref="U9:V9"/>
    <mergeCell ref="O10:P10"/>
    <mergeCell ref="Q10:R10"/>
    <mergeCell ref="S10:T10"/>
    <mergeCell ref="U10:V10"/>
    <mergeCell ref="O11:P11"/>
    <mergeCell ref="Q11:R11"/>
    <mergeCell ref="S11:T11"/>
    <mergeCell ref="U11:V11"/>
  </mergeCells>
  <dataValidations count="1">
    <dataValidation operator="equal" allowBlank="1" showInputMessage="1" showErrorMessage="1" sqref="B12:B26" xr:uid="{00000000-0002-0000-0400-000000000000}">
      <formula1>0</formula1>
      <formula2>0</formula2>
    </dataValidation>
  </dataValidations>
  <pageMargins left="0.55138888888888904" right="0.55138888888888904" top="0.39374999999999999" bottom="0.39374999999999999" header="0.51180555555555496" footer="0.51180555555555496"/>
  <pageSetup paperSize="9" firstPageNumber="0" orientation="portrait"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52"/>
  <sheetViews>
    <sheetView topLeftCell="H111" zoomScale="110" zoomScaleNormal="110" workbookViewId="0">
      <selection activeCell="P130" sqref="P130"/>
    </sheetView>
  </sheetViews>
  <sheetFormatPr baseColWidth="10" defaultColWidth="8.83203125" defaultRowHeight="13"/>
  <cols>
    <col min="1" max="8" width="8.83203125" customWidth="1"/>
    <col min="9" max="9" width="22.6640625" style="10" customWidth="1"/>
    <col min="10" max="10" width="35.1640625" customWidth="1"/>
    <col min="11" max="14" width="8.83203125" customWidth="1"/>
    <col min="15" max="15" width="21.83203125" customWidth="1"/>
    <col min="16" max="16" width="29.1640625" customWidth="1"/>
    <col min="17" max="1025" width="8.83203125" customWidth="1"/>
  </cols>
  <sheetData>
    <row r="1" spans="1:17" ht="66" customHeight="1">
      <c r="A1" s="475" t="s">
        <v>235</v>
      </c>
      <c r="B1" s="475"/>
      <c r="C1" s="475"/>
      <c r="D1" s="475"/>
      <c r="E1" s="475"/>
      <c r="F1" s="475"/>
      <c r="G1" s="475"/>
      <c r="H1" s="475"/>
      <c r="I1" s="475"/>
      <c r="J1" s="475"/>
      <c r="K1" s="475"/>
      <c r="M1" s="29" t="str">
        <f>IF(M2=M3,"OK","Problem")</f>
        <v>OK</v>
      </c>
    </row>
    <row r="2" spans="1:17">
      <c r="M2">
        <f>COUNTA(M4:M200)</f>
        <v>25</v>
      </c>
    </row>
    <row r="3" spans="1:17">
      <c r="A3" s="375" t="s">
        <v>52</v>
      </c>
      <c r="B3" s="376"/>
      <c r="C3" s="512" t="s">
        <v>236</v>
      </c>
      <c r="D3" s="512"/>
      <c r="E3" s="512"/>
      <c r="F3" s="376"/>
      <c r="G3" s="376"/>
      <c r="H3" s="376"/>
      <c r="I3" s="14"/>
      <c r="M3">
        <f>COUNTA('imp-answers'!A2:A200)</f>
        <v>25</v>
      </c>
    </row>
    <row r="4" spans="1:17">
      <c r="A4" s="377" t="s">
        <v>237</v>
      </c>
      <c r="C4" s="378">
        <v>3</v>
      </c>
      <c r="D4" s="378">
        <v>3</v>
      </c>
      <c r="E4" s="378">
        <v>3</v>
      </c>
      <c r="F4" s="378">
        <v>6</v>
      </c>
      <c r="G4" s="230"/>
      <c r="H4" s="511" t="s">
        <v>238</v>
      </c>
      <c r="I4" s="379">
        <v>1</v>
      </c>
      <c r="J4" t="s">
        <v>64</v>
      </c>
      <c r="K4">
        <v>0</v>
      </c>
      <c r="M4" s="511" t="str">
        <f>CHAR(65+N4)</f>
        <v>A</v>
      </c>
      <c r="N4" s="511">
        <v>0</v>
      </c>
      <c r="O4" s="379"/>
      <c r="P4" t="str">
        <f>VLOOKUP(N4,'imp-answers'!$A$2:$I$50,2,0)</f>
        <v>No</v>
      </c>
      <c r="Q4">
        <f>VLOOKUP(N4,'imp-answers'!$A$2:$I$50,6,0)</f>
        <v>0</v>
      </c>
    </row>
    <row r="5" spans="1:17">
      <c r="A5" s="377" t="s">
        <v>64</v>
      </c>
      <c r="C5" s="378">
        <v>2.0099999999999998</v>
      </c>
      <c r="D5" s="378">
        <v>2.99</v>
      </c>
      <c r="E5" s="380" t="s">
        <v>239</v>
      </c>
      <c r="F5" s="381">
        <v>5</v>
      </c>
      <c r="G5" s="10"/>
      <c r="H5" s="511"/>
      <c r="I5" s="382"/>
      <c r="J5" t="s">
        <v>240</v>
      </c>
      <c r="K5">
        <v>0.2</v>
      </c>
      <c r="M5" s="511"/>
      <c r="N5" s="511"/>
      <c r="O5" s="382"/>
      <c r="P5" t="str">
        <f>VLOOKUP(N4,'imp-answers'!$A$2:$I$50,3,0)</f>
        <v>Yes, some content</v>
      </c>
      <c r="Q5">
        <f>VLOOKUP(N4,'imp-answers'!$A$2:$I$50,7,0)</f>
        <v>0.25</v>
      </c>
    </row>
    <row r="6" spans="1:17">
      <c r="C6" s="378">
        <v>2</v>
      </c>
      <c r="D6" s="378">
        <v>2</v>
      </c>
      <c r="E6" s="378">
        <v>2</v>
      </c>
      <c r="F6" s="378">
        <v>4</v>
      </c>
      <c r="G6" s="230"/>
      <c r="H6" s="511"/>
      <c r="I6" s="383"/>
      <c r="J6" t="s">
        <v>241</v>
      </c>
      <c r="K6">
        <v>0.5</v>
      </c>
      <c r="M6" s="511"/>
      <c r="N6" s="511"/>
      <c r="O6" s="384"/>
      <c r="P6" t="str">
        <f>VLOOKUP(N4,'imp-answers'!$A$2:$I$50,4,0)</f>
        <v>Yes, at least half of the content</v>
      </c>
      <c r="Q6">
        <f>VLOOKUP(N4,'imp-answers'!$A$2:$I$50,8,0)</f>
        <v>0.5</v>
      </c>
    </row>
    <row r="7" spans="1:17">
      <c r="C7" s="378">
        <v>1.01</v>
      </c>
      <c r="D7" s="378">
        <v>1.99</v>
      </c>
      <c r="E7" s="380" t="s">
        <v>242</v>
      </c>
      <c r="F7" s="381">
        <v>3</v>
      </c>
      <c r="G7" s="10"/>
      <c r="H7" s="511"/>
      <c r="I7" s="385">
        <v>2</v>
      </c>
      <c r="J7" t="s">
        <v>243</v>
      </c>
      <c r="K7">
        <v>1</v>
      </c>
      <c r="M7" s="511"/>
      <c r="N7" s="511"/>
      <c r="O7" s="383"/>
      <c r="P7" t="str">
        <f>VLOOKUP(N4,'imp-answers'!$A$2:$I$50,5,0)</f>
        <v>Yes, most or all of the content</v>
      </c>
      <c r="Q7">
        <f>VLOOKUP(N4,'imp-answers'!$A$2:$I$50,9,0)</f>
        <v>1</v>
      </c>
    </row>
    <row r="8" spans="1:17">
      <c r="C8" s="378">
        <v>1</v>
      </c>
      <c r="D8" s="378">
        <v>1</v>
      </c>
      <c r="E8" s="378">
        <v>1</v>
      </c>
      <c r="F8" s="378">
        <v>2</v>
      </c>
      <c r="G8" s="230"/>
      <c r="M8" s="511"/>
      <c r="N8" s="511"/>
      <c r="O8" s="386"/>
    </row>
    <row r="9" spans="1:17">
      <c r="C9" s="378">
        <v>0.01</v>
      </c>
      <c r="D9" s="378">
        <v>0.99</v>
      </c>
      <c r="E9" s="380" t="s">
        <v>244</v>
      </c>
      <c r="F9" s="381">
        <v>1</v>
      </c>
      <c r="G9" s="10"/>
      <c r="H9" s="511" t="s">
        <v>245</v>
      </c>
      <c r="I9" s="387" t="s">
        <v>246</v>
      </c>
      <c r="J9" t="s">
        <v>64</v>
      </c>
      <c r="K9">
        <v>0</v>
      </c>
    </row>
    <row r="10" spans="1:17">
      <c r="C10" s="378">
        <v>0</v>
      </c>
      <c r="D10" s="378">
        <v>0</v>
      </c>
      <c r="E10" s="378">
        <v>0</v>
      </c>
      <c r="F10" s="378">
        <v>0</v>
      </c>
      <c r="G10" s="230"/>
      <c r="H10" s="511"/>
      <c r="I10" s="382">
        <v>5</v>
      </c>
      <c r="J10" t="s">
        <v>247</v>
      </c>
      <c r="K10">
        <v>0.2</v>
      </c>
      <c r="M10" s="511" t="str">
        <f>CHAR(65+N10)</f>
        <v>B</v>
      </c>
      <c r="N10" s="511">
        <v>1</v>
      </c>
      <c r="O10" s="379"/>
      <c r="P10" t="str">
        <f>VLOOKUP(N10,'imp-answers'!$A$2:$I$50,2,0)</f>
        <v>No</v>
      </c>
      <c r="Q10">
        <f>VLOOKUP(N10,'imp-answers'!$A$2:$I$50,6,0)</f>
        <v>0</v>
      </c>
    </row>
    <row r="11" spans="1:17">
      <c r="H11" s="511"/>
      <c r="I11" s="383" t="s">
        <v>248</v>
      </c>
      <c r="J11" t="s">
        <v>249</v>
      </c>
      <c r="K11">
        <v>0.5</v>
      </c>
      <c r="M11" s="511"/>
      <c r="N11" s="511"/>
      <c r="O11" s="382"/>
      <c r="P11" t="str">
        <f>VLOOKUP(N10,'imp-answers'!$A$2:$I$50,3,0)</f>
        <v>Yes, for some of the metrics</v>
      </c>
      <c r="Q11">
        <f>VLOOKUP(N10,'imp-answers'!$A$2:$I$50,7,0)</f>
        <v>0.25</v>
      </c>
    </row>
    <row r="12" spans="1:17">
      <c r="H12" s="511"/>
      <c r="I12" s="385" t="s">
        <v>250</v>
      </c>
      <c r="J12" t="s">
        <v>251</v>
      </c>
      <c r="K12">
        <v>1</v>
      </c>
      <c r="M12" s="511"/>
      <c r="N12" s="511"/>
      <c r="O12" s="384"/>
      <c r="P12" t="str">
        <f>VLOOKUP(N10,'imp-answers'!$A$2:$I$50,4,0)</f>
        <v>Yes, for at least half of the metrics</v>
      </c>
      <c r="Q12">
        <f>VLOOKUP(N10,'imp-answers'!$A$2:$I$50,8,0)</f>
        <v>0.5</v>
      </c>
    </row>
    <row r="13" spans="1:17">
      <c r="M13" s="511"/>
      <c r="N13" s="511"/>
      <c r="O13" s="383"/>
      <c r="P13" t="str">
        <f>VLOOKUP(N10,'imp-answers'!$A$2:$I$50,5,0)</f>
        <v>Yes, for most or all of the metrics</v>
      </c>
      <c r="Q13">
        <f>VLOOKUP(N10,'imp-answers'!$A$2:$I$50,9,0)</f>
        <v>1</v>
      </c>
    </row>
    <row r="14" spans="1:17">
      <c r="H14" s="511" t="s">
        <v>252</v>
      </c>
      <c r="I14" s="387" t="s">
        <v>253</v>
      </c>
      <c r="J14" t="s">
        <v>64</v>
      </c>
      <c r="K14">
        <v>0</v>
      </c>
      <c r="M14" s="511"/>
      <c r="N14" s="511"/>
      <c r="O14" s="386"/>
    </row>
    <row r="15" spans="1:17">
      <c r="H15" s="511"/>
      <c r="I15" s="382" t="s">
        <v>254</v>
      </c>
      <c r="J15" t="s">
        <v>255</v>
      </c>
      <c r="K15">
        <v>0.2</v>
      </c>
    </row>
    <row r="16" spans="1:17">
      <c r="H16" s="511"/>
      <c r="I16" s="383" t="s">
        <v>256</v>
      </c>
      <c r="J16" t="s">
        <v>257</v>
      </c>
      <c r="K16">
        <v>0.5</v>
      </c>
      <c r="M16" s="511" t="str">
        <f>CHAR(65+N16)</f>
        <v>C</v>
      </c>
      <c r="N16" s="511">
        <v>2</v>
      </c>
      <c r="O16" s="379"/>
      <c r="P16" t="str">
        <f>VLOOKUP(N16,'imp-answers'!$A$2:$I$50,2,0)</f>
        <v>No</v>
      </c>
      <c r="Q16">
        <f>VLOOKUP(N16,'imp-answers'!$A$2:$I$50,6,0)</f>
        <v>0</v>
      </c>
    </row>
    <row r="17" spans="8:17">
      <c r="H17" s="511"/>
      <c r="I17" s="385" t="s">
        <v>258</v>
      </c>
      <c r="J17" t="s">
        <v>259</v>
      </c>
      <c r="K17">
        <v>1</v>
      </c>
      <c r="M17" s="511"/>
      <c r="N17" s="511"/>
      <c r="O17" s="382"/>
      <c r="P17" t="str">
        <f>VLOOKUP(N16,'imp-answers'!$A$2:$I$50,3,0)</f>
        <v>Yes, some of them</v>
      </c>
      <c r="Q17">
        <f>VLOOKUP(N16,'imp-answers'!$A$2:$I$50,7,0)</f>
        <v>0.25</v>
      </c>
    </row>
    <row r="18" spans="8:17">
      <c r="M18" s="511"/>
      <c r="N18" s="511"/>
      <c r="O18" s="384"/>
      <c r="P18" t="str">
        <f>VLOOKUP(N16,'imp-answers'!$A$2:$I$50,4,0)</f>
        <v>Yes, at least half of them</v>
      </c>
      <c r="Q18">
        <f>VLOOKUP(N16,'imp-answers'!$A$2:$I$50,8,0)</f>
        <v>0.5</v>
      </c>
    </row>
    <row r="19" spans="8:17">
      <c r="H19" s="511" t="s">
        <v>260</v>
      </c>
      <c r="I19" s="387" t="s">
        <v>261</v>
      </c>
      <c r="J19" t="s">
        <v>64</v>
      </c>
      <c r="K19">
        <v>0</v>
      </c>
      <c r="M19" s="511"/>
      <c r="N19" s="511"/>
      <c r="O19" s="383"/>
      <c r="P19" t="str">
        <f>VLOOKUP(N16,'imp-answers'!$A$2:$I$50,5,0)</f>
        <v>Yes, most or all of them</v>
      </c>
      <c r="Q19">
        <f>VLOOKUP(N16,'imp-answers'!$A$2:$I$50,9,0)</f>
        <v>1</v>
      </c>
    </row>
    <row r="20" spans="8:17">
      <c r="H20" s="511"/>
      <c r="I20" s="382">
        <v>13</v>
      </c>
      <c r="J20" t="s">
        <v>262</v>
      </c>
      <c r="K20">
        <v>0.2</v>
      </c>
      <c r="M20" s="511"/>
      <c r="N20" s="511"/>
      <c r="O20" s="386"/>
    </row>
    <row r="21" spans="8:17">
      <c r="H21" s="511"/>
      <c r="I21" s="383"/>
      <c r="J21" t="s">
        <v>263</v>
      </c>
      <c r="K21">
        <v>0.5</v>
      </c>
    </row>
    <row r="22" spans="8:17">
      <c r="H22" s="511"/>
      <c r="I22" s="385">
        <v>18</v>
      </c>
      <c r="J22" t="s">
        <v>264</v>
      </c>
      <c r="K22">
        <v>1</v>
      </c>
      <c r="M22" s="511" t="str">
        <f>CHAR(65+N22)</f>
        <v>D</v>
      </c>
      <c r="N22" s="511">
        <v>3</v>
      </c>
      <c r="O22" s="379"/>
      <c r="P22" t="str">
        <f>VLOOKUP(N22,'imp-answers'!$A$2:$I$50,2,0)</f>
        <v>No</v>
      </c>
      <c r="Q22">
        <f>VLOOKUP(N22,'imp-answers'!$A$2:$I$50,6,0)</f>
        <v>0</v>
      </c>
    </row>
    <row r="23" spans="8:17">
      <c r="M23" s="511"/>
      <c r="N23" s="511"/>
      <c r="O23" s="382"/>
      <c r="P23" t="str">
        <f>VLOOKUP(N22,'imp-answers'!$A$2:$I$50,3,0)</f>
        <v>Yes, for some obligations</v>
      </c>
      <c r="Q23">
        <f>VLOOKUP(N22,'imp-answers'!$A$2:$I$50,7,0)</f>
        <v>0.25</v>
      </c>
    </row>
    <row r="24" spans="8:17">
      <c r="H24" s="511" t="s">
        <v>265</v>
      </c>
      <c r="I24" s="387">
        <v>10</v>
      </c>
      <c r="J24" t="s">
        <v>64</v>
      </c>
      <c r="K24">
        <v>0</v>
      </c>
      <c r="M24" s="511"/>
      <c r="N24" s="511"/>
      <c r="O24" s="384"/>
      <c r="P24" t="str">
        <f>VLOOKUP(N22,'imp-answers'!$A$2:$I$50,4,0)</f>
        <v>Yes, for at least half of the obligations</v>
      </c>
      <c r="Q24">
        <f>VLOOKUP(N22,'imp-answers'!$A$2:$I$50,8,0)</f>
        <v>0.5</v>
      </c>
    </row>
    <row r="25" spans="8:17">
      <c r="H25" s="511"/>
      <c r="I25" s="382"/>
      <c r="J25" t="s">
        <v>266</v>
      </c>
      <c r="K25">
        <v>1</v>
      </c>
      <c r="M25" s="511"/>
      <c r="N25" s="511"/>
      <c r="O25" s="383"/>
      <c r="P25" t="str">
        <f>VLOOKUP(N22,'imp-answers'!$A$2:$I$50,5,0)</f>
        <v>Yes, for most or all of the obligations</v>
      </c>
      <c r="Q25">
        <f>VLOOKUP(N22,'imp-answers'!$A$2:$I$50,9,0)</f>
        <v>1</v>
      </c>
    </row>
    <row r="26" spans="8:17">
      <c r="H26" s="511"/>
      <c r="I26" s="383"/>
      <c r="J26" t="s">
        <v>267</v>
      </c>
      <c r="K26">
        <v>0.5</v>
      </c>
      <c r="M26" s="511"/>
      <c r="N26" s="511"/>
      <c r="O26" s="386"/>
    </row>
    <row r="27" spans="8:17">
      <c r="H27" s="511"/>
      <c r="I27" s="385">
        <v>19</v>
      </c>
      <c r="J27" t="s">
        <v>237</v>
      </c>
      <c r="K27">
        <v>1</v>
      </c>
    </row>
    <row r="28" spans="8:17">
      <c r="M28" s="511" t="str">
        <f>CHAR(65+N28)</f>
        <v>E</v>
      </c>
      <c r="N28" s="511">
        <v>4</v>
      </c>
      <c r="O28" s="379"/>
      <c r="P28" t="str">
        <f>VLOOKUP(N28,'imp-answers'!$A$2:$I$50,2,0)</f>
        <v>No</v>
      </c>
      <c r="Q28">
        <f>VLOOKUP(N28,'imp-answers'!$A$2:$I$50,6,0)</f>
        <v>0</v>
      </c>
    </row>
    <row r="29" spans="8:17">
      <c r="H29" s="511" t="s">
        <v>268</v>
      </c>
      <c r="I29" s="387" t="s">
        <v>269</v>
      </c>
      <c r="J29" t="s">
        <v>64</v>
      </c>
      <c r="K29">
        <v>0</v>
      </c>
      <c r="M29" s="511"/>
      <c r="N29" s="511"/>
      <c r="O29" s="382"/>
      <c r="P29" t="str">
        <f>VLOOKUP(N28,'imp-answers'!$A$2:$I$50,3,0)</f>
        <v>Yes, but reporting is ad-hoc</v>
      </c>
      <c r="Q29">
        <f>VLOOKUP(N28,'imp-answers'!$A$2:$I$50,7,0)</f>
        <v>0.25</v>
      </c>
    </row>
    <row r="30" spans="8:17">
      <c r="H30" s="511"/>
      <c r="I30" s="382" t="s">
        <v>270</v>
      </c>
      <c r="J30" t="s">
        <v>271</v>
      </c>
      <c r="K30">
        <v>0.2</v>
      </c>
      <c r="M30" s="511"/>
      <c r="N30" s="511"/>
      <c r="O30" s="384"/>
      <c r="P30" t="str">
        <f>VLOOKUP(N28,'imp-answers'!$A$2:$I$50,4,0)</f>
        <v>Yes, we report at regular times</v>
      </c>
      <c r="Q30">
        <f>VLOOKUP(N28,'imp-answers'!$A$2:$I$50,8,0)</f>
        <v>0.5</v>
      </c>
    </row>
    <row r="31" spans="8:17">
      <c r="H31" s="511"/>
      <c r="I31" s="383"/>
      <c r="J31" t="s">
        <v>272</v>
      </c>
      <c r="K31">
        <v>0.5</v>
      </c>
      <c r="M31" s="511"/>
      <c r="N31" s="511"/>
      <c r="O31" s="383"/>
      <c r="P31" t="str">
        <f>VLOOKUP(N28,'imp-answers'!$A$2:$I$50,5,0)</f>
        <v>Yes, we report at least annually</v>
      </c>
      <c r="Q31">
        <f>VLOOKUP(N28,'imp-answers'!$A$2:$I$50,9,0)</f>
        <v>1</v>
      </c>
    </row>
    <row r="32" spans="8:17">
      <c r="H32" s="511"/>
      <c r="I32" s="385"/>
      <c r="J32" t="s">
        <v>273</v>
      </c>
      <c r="K32">
        <v>1</v>
      </c>
      <c r="M32" s="511"/>
      <c r="N32" s="511"/>
      <c r="O32" s="386"/>
    </row>
    <row r="34" spans="8:17">
      <c r="H34" s="511" t="s">
        <v>274</v>
      </c>
      <c r="I34" s="387"/>
      <c r="J34" t="s">
        <v>64</v>
      </c>
      <c r="K34">
        <v>0</v>
      </c>
      <c r="M34" s="511" t="str">
        <f>CHAR(65+N34)</f>
        <v>F</v>
      </c>
      <c r="N34" s="511">
        <v>5</v>
      </c>
      <c r="O34" s="379"/>
      <c r="P34" t="str">
        <f>VLOOKUP(N34,'imp-answers'!$A$2:$I$50,2,0)</f>
        <v>No</v>
      </c>
      <c r="Q34">
        <f>VLOOKUP(N34,'imp-answers'!$A$2:$I$50,6,0)</f>
        <v>0</v>
      </c>
    </row>
    <row r="35" spans="8:17">
      <c r="H35" s="511"/>
      <c r="I35" s="382" t="s">
        <v>275</v>
      </c>
      <c r="J35" t="s">
        <v>276</v>
      </c>
      <c r="K35">
        <v>0.2</v>
      </c>
      <c r="M35" s="511"/>
      <c r="N35" s="511"/>
      <c r="O35" s="382"/>
      <c r="P35" t="str">
        <f>VLOOKUP(N34,'imp-answers'!$A$2:$I$50,3,0)</f>
        <v>Yes, for some applications</v>
      </c>
      <c r="Q35">
        <f>VLOOKUP(N34,'imp-answers'!$A$2:$I$50,7,0)</f>
        <v>0.25</v>
      </c>
    </row>
    <row r="36" spans="8:17">
      <c r="H36" s="511"/>
      <c r="I36" s="383" t="s">
        <v>277</v>
      </c>
      <c r="J36" t="s">
        <v>278</v>
      </c>
      <c r="K36">
        <v>0.5</v>
      </c>
      <c r="M36" s="511"/>
      <c r="N36" s="511"/>
      <c r="O36" s="384"/>
      <c r="P36" t="str">
        <f>VLOOKUP(N34,'imp-answers'!$A$2:$I$50,4,0)</f>
        <v>Yes, for at least half of the applications</v>
      </c>
      <c r="Q36">
        <f>VLOOKUP(N34,'imp-answers'!$A$2:$I$50,8,0)</f>
        <v>0.5</v>
      </c>
    </row>
    <row r="37" spans="8:17">
      <c r="H37" s="511"/>
      <c r="I37" s="385" t="s">
        <v>279</v>
      </c>
      <c r="J37" t="s">
        <v>280</v>
      </c>
      <c r="K37">
        <v>1</v>
      </c>
      <c r="M37" s="511"/>
      <c r="N37" s="511"/>
      <c r="O37" s="383"/>
      <c r="P37" t="str">
        <f>VLOOKUP(N34,'imp-answers'!$A$2:$I$50,5,0)</f>
        <v>Yes, for most or all of the applications</v>
      </c>
      <c r="Q37">
        <f>VLOOKUP(N34,'imp-answers'!$A$2:$I$50,9,0)</f>
        <v>1</v>
      </c>
    </row>
    <row r="38" spans="8:17">
      <c r="M38" s="511"/>
      <c r="N38" s="511"/>
      <c r="O38" s="386"/>
    </row>
    <row r="39" spans="8:17">
      <c r="H39" s="511" t="s">
        <v>281</v>
      </c>
      <c r="I39" s="387"/>
    </row>
    <row r="40" spans="8:17">
      <c r="H40" s="511"/>
      <c r="I40" s="382"/>
      <c r="M40" s="511" t="str">
        <f>CHAR(65+N40)</f>
        <v>G</v>
      </c>
      <c r="N40" s="511">
        <v>6</v>
      </c>
      <c r="O40" s="379"/>
      <c r="P40" t="str">
        <f>VLOOKUP(N40,'imp-answers'!$A$2:$I$50,2,0)</f>
        <v>No</v>
      </c>
      <c r="Q40">
        <f>VLOOKUP(N40,'imp-answers'!$A$2:$I$50,6,0)</f>
        <v>0</v>
      </c>
    </row>
    <row r="41" spans="8:17">
      <c r="H41" s="511"/>
      <c r="I41" s="383"/>
      <c r="M41" s="511"/>
      <c r="N41" s="511"/>
      <c r="O41" s="382"/>
      <c r="P41" t="str">
        <f>VLOOKUP(N40,'imp-answers'!$A$2:$I$50,3,0)</f>
        <v>Yes, sporadically</v>
      </c>
      <c r="Q41">
        <f>VLOOKUP(N40,'imp-answers'!$A$2:$I$50,7,0)</f>
        <v>0.25</v>
      </c>
    </row>
    <row r="42" spans="8:17">
      <c r="H42" s="511"/>
      <c r="I42" s="385"/>
      <c r="M42" s="511"/>
      <c r="N42" s="511"/>
      <c r="O42" s="384"/>
      <c r="P42" t="str">
        <f>VLOOKUP(N40,'imp-answers'!$A$2:$I$50,4,0)</f>
        <v>Yes, upon change of the application</v>
      </c>
      <c r="Q42">
        <f>VLOOKUP(N40,'imp-answers'!$A$2:$I$50,8,0)</f>
        <v>0.5</v>
      </c>
    </row>
    <row r="43" spans="8:17">
      <c r="M43" s="511"/>
      <c r="N43" s="511"/>
      <c r="O43" s="383"/>
      <c r="P43" t="str">
        <f>VLOOKUP(N40,'imp-answers'!$A$2:$I$50,5,0)</f>
        <v>Yes, at least annually</v>
      </c>
      <c r="Q43">
        <f>VLOOKUP(N40,'imp-answers'!$A$2:$I$50,9,0)</f>
        <v>1</v>
      </c>
    </row>
    <row r="44" spans="8:17">
      <c r="M44" s="511"/>
      <c r="N44" s="511"/>
      <c r="O44" s="386"/>
    </row>
    <row r="46" spans="8:17">
      <c r="M46" s="511" t="str">
        <f>CHAR(65+N46)</f>
        <v>H</v>
      </c>
      <c r="N46" s="511">
        <v>7</v>
      </c>
      <c r="O46" s="379"/>
      <c r="P46" t="str">
        <f>VLOOKUP(N46,'imp-answers'!$A$2:$I$50,2,0)</f>
        <v>No</v>
      </c>
      <c r="Q46">
        <f>VLOOKUP(N46,'imp-answers'!$A$2:$I$50,6,0)</f>
        <v>0</v>
      </c>
    </row>
    <row r="47" spans="8:17">
      <c r="M47" s="511"/>
      <c r="N47" s="511"/>
      <c r="O47" s="382"/>
      <c r="P47" t="str">
        <f>VLOOKUP(N46,'imp-answers'!$A$2:$I$50,3,0)</f>
        <v>Yes, some of the time</v>
      </c>
      <c r="Q47">
        <f>VLOOKUP(N46,'imp-answers'!$A$2:$I$50,7,0)</f>
        <v>0.25</v>
      </c>
    </row>
    <row r="48" spans="8:17">
      <c r="M48" s="511"/>
      <c r="N48" s="511"/>
      <c r="O48" s="384"/>
      <c r="P48" t="str">
        <f>VLOOKUP(N46,'imp-answers'!$A$2:$I$50,4,0)</f>
        <v>Yes, at least half of the time</v>
      </c>
      <c r="Q48">
        <f>VLOOKUP(N46,'imp-answers'!$A$2:$I$50,8,0)</f>
        <v>0.5</v>
      </c>
    </row>
    <row r="49" spans="13:17">
      <c r="M49" s="511"/>
      <c r="N49" s="511"/>
      <c r="O49" s="383"/>
      <c r="P49" t="str">
        <f>VLOOKUP(N46,'imp-answers'!$A$2:$I$50,5,0)</f>
        <v>Yes, most or all of the time</v>
      </c>
      <c r="Q49">
        <f>VLOOKUP(N46,'imp-answers'!$A$2:$I$50,9,0)</f>
        <v>1</v>
      </c>
    </row>
    <row r="50" spans="13:17">
      <c r="M50" s="511"/>
      <c r="N50" s="511"/>
      <c r="O50" s="386"/>
    </row>
    <row r="52" spans="13:17">
      <c r="M52" s="511" t="str">
        <f>CHAR(65+N52)</f>
        <v>I</v>
      </c>
      <c r="N52" s="511">
        <v>8</v>
      </c>
      <c r="O52" s="379"/>
      <c r="P52" t="str">
        <f>VLOOKUP(N52,'imp-answers'!$A$2:$I$50,2,0)</f>
        <v>No</v>
      </c>
      <c r="Q52">
        <f>VLOOKUP(N52,'imp-answers'!$A$2:$I$50,6,0)</f>
        <v>0</v>
      </c>
    </row>
    <row r="53" spans="13:17">
      <c r="M53" s="511"/>
      <c r="N53" s="511"/>
      <c r="O53" s="382"/>
      <c r="P53" t="str">
        <f>VLOOKUP(N52,'imp-answers'!$A$2:$I$50,3,0)</f>
        <v>Yes, for some of the training</v>
      </c>
      <c r="Q53">
        <f>VLOOKUP(N52,'imp-answers'!$A$2:$I$50,7,0)</f>
        <v>0.25</v>
      </c>
    </row>
    <row r="54" spans="13:17">
      <c r="M54" s="511"/>
      <c r="N54" s="511"/>
      <c r="O54" s="384"/>
      <c r="P54" t="str">
        <f>VLOOKUP(N52,'imp-answers'!$A$2:$I$50,4,0)</f>
        <v>Yes, for at least half of the training</v>
      </c>
      <c r="Q54">
        <f>VLOOKUP(N52,'imp-answers'!$A$2:$I$50,8,0)</f>
        <v>0.5</v>
      </c>
    </row>
    <row r="55" spans="13:17">
      <c r="M55" s="511"/>
      <c r="N55" s="511"/>
      <c r="O55" s="383"/>
      <c r="P55" t="str">
        <f>VLOOKUP(N52,'imp-answers'!$A$2:$I$50,5,0)</f>
        <v>Yes, for most or all of the training</v>
      </c>
      <c r="Q55">
        <f>VLOOKUP(N52,'imp-answers'!$A$2:$I$50,9,0)</f>
        <v>1</v>
      </c>
    </row>
    <row r="56" spans="13:17">
      <c r="M56" s="511"/>
      <c r="N56" s="511"/>
      <c r="O56" s="386"/>
    </row>
    <row r="58" spans="13:17">
      <c r="M58" s="511" t="str">
        <f>CHAR(65+N58)</f>
        <v>J</v>
      </c>
      <c r="N58" s="511">
        <v>9</v>
      </c>
      <c r="O58" s="379"/>
      <c r="P58" t="str">
        <f>VLOOKUP(N58,'imp-answers'!$A$2:$I$50,2,0)</f>
        <v>No</v>
      </c>
      <c r="Q58">
        <f>VLOOKUP(N58,'imp-answers'!$A$2:$I$50,6,0)</f>
        <v>0</v>
      </c>
    </row>
    <row r="59" spans="13:17">
      <c r="M59" s="511"/>
      <c r="N59" s="511"/>
      <c r="O59" s="382"/>
      <c r="P59" t="str">
        <f>VLOOKUP(N58,'imp-answers'!$A$2:$I$50,3,0)</f>
        <v>Yes, for some of the policies and standards</v>
      </c>
      <c r="Q59">
        <f>VLOOKUP(N58,'imp-answers'!$A$2:$I$50,7,0)</f>
        <v>0.25</v>
      </c>
    </row>
    <row r="60" spans="13:17">
      <c r="M60" s="511"/>
      <c r="N60" s="511"/>
      <c r="O60" s="384"/>
      <c r="P60" t="str">
        <f>VLOOKUP(N58,'imp-answers'!$A$2:$I$50,4,0)</f>
        <v>Yes, for at least half of the policies and standards</v>
      </c>
      <c r="Q60">
        <f>VLOOKUP(N58,'imp-answers'!$A$2:$I$50,8,0)</f>
        <v>0.5</v>
      </c>
    </row>
    <row r="61" spans="13:17">
      <c r="M61" s="511"/>
      <c r="N61" s="511"/>
      <c r="O61" s="383"/>
      <c r="P61" t="str">
        <f>VLOOKUP(N58,'imp-answers'!$A$2:$I$50,5,0)</f>
        <v>Yes, for most or all of the policies and standards</v>
      </c>
      <c r="Q61">
        <f>VLOOKUP(N58,'imp-answers'!$A$2:$I$50,9,0)</f>
        <v>1</v>
      </c>
    </row>
    <row r="62" spans="13:17">
      <c r="M62" s="511"/>
      <c r="N62" s="511"/>
      <c r="O62" s="386"/>
    </row>
    <row r="64" spans="13:17">
      <c r="M64" s="511" t="str">
        <f>CHAR(65+N64)</f>
        <v>K</v>
      </c>
      <c r="N64" s="511">
        <v>10</v>
      </c>
      <c r="O64" s="379"/>
      <c r="P64" t="str">
        <f>VLOOKUP(N64,'imp-answers'!$A$2:$I$50,2,0)</f>
        <v>No</v>
      </c>
      <c r="Q64">
        <f>VLOOKUP(N64,'imp-answers'!$A$2:$I$50,6,0)</f>
        <v>0</v>
      </c>
    </row>
    <row r="65" spans="13:17">
      <c r="M65" s="511"/>
      <c r="N65" s="511"/>
      <c r="O65" s="382"/>
      <c r="P65" t="str">
        <f>VLOOKUP(N64,'imp-answers'!$A$2:$I$50,3,0)</f>
        <v>Yes, for one metrics category</v>
      </c>
      <c r="Q65">
        <f>VLOOKUP(N64,'imp-answers'!$A$2:$I$50,7,0)</f>
        <v>0.25</v>
      </c>
    </row>
    <row r="66" spans="13:17">
      <c r="M66" s="511"/>
      <c r="N66" s="511"/>
      <c r="O66" s="384"/>
      <c r="P66" t="str">
        <f>VLOOKUP(N64,'imp-answers'!$A$2:$I$50,4,0)</f>
        <v>Yes, for two metrics categories</v>
      </c>
      <c r="Q66">
        <f>VLOOKUP(N64,'imp-answers'!$A$2:$I$50,8,0)</f>
        <v>0.5</v>
      </c>
    </row>
    <row r="67" spans="13:17">
      <c r="M67" s="511"/>
      <c r="N67" s="511"/>
      <c r="O67" s="383"/>
      <c r="P67" t="str">
        <f>VLOOKUP(N64,'imp-answers'!$A$2:$I$50,5,0)</f>
        <v>Yes, for all three metrics categories</v>
      </c>
      <c r="Q67">
        <f>VLOOKUP(N64,'imp-answers'!$A$2:$I$50,9,0)</f>
        <v>1</v>
      </c>
    </row>
    <row r="68" spans="13:17">
      <c r="M68" s="511"/>
      <c r="N68" s="511"/>
      <c r="O68" s="386"/>
    </row>
    <row r="70" spans="13:17">
      <c r="M70" s="511" t="str">
        <f>CHAR(65+N70)</f>
        <v>L</v>
      </c>
      <c r="N70" s="511">
        <v>11</v>
      </c>
      <c r="O70" s="379"/>
      <c r="P70" t="str">
        <f>VLOOKUP(N70,'imp-answers'!$A$2:$I$50,2,0)</f>
        <v>No</v>
      </c>
      <c r="Q70">
        <f>VLOOKUP(N70,'imp-answers'!$A$2:$I$50,6,0)</f>
        <v>0</v>
      </c>
    </row>
    <row r="71" spans="13:17">
      <c r="M71" s="511"/>
      <c r="N71" s="511"/>
      <c r="O71" s="382"/>
      <c r="P71" t="str">
        <f>VLOOKUP(N70,'imp-answers'!$A$2:$I$50,3,0)</f>
        <v>Yes, we started implementing it</v>
      </c>
      <c r="Q71">
        <f>VLOOKUP(N70,'imp-answers'!$A$2:$I$50,7,0)</f>
        <v>0.25</v>
      </c>
    </row>
    <row r="72" spans="13:17">
      <c r="M72" s="511"/>
      <c r="N72" s="511"/>
      <c r="O72" s="384"/>
      <c r="P72" t="str">
        <f>VLOOKUP(N70,'imp-answers'!$A$2:$I$50,4,0)</f>
        <v>Yes, for part of the organization</v>
      </c>
      <c r="Q72">
        <f>VLOOKUP(N70,'imp-answers'!$A$2:$I$50,8,0)</f>
        <v>0.5</v>
      </c>
    </row>
    <row r="73" spans="13:17">
      <c r="M73" s="511"/>
      <c r="N73" s="511"/>
      <c r="O73" s="383"/>
      <c r="P73" t="str">
        <f>VLOOKUP(N70,'imp-answers'!$A$2:$I$50,5,0)</f>
        <v>Yes, for the entire organization</v>
      </c>
      <c r="Q73">
        <f>VLOOKUP(N70,'imp-answers'!$A$2:$I$50,9,0)</f>
        <v>1</v>
      </c>
    </row>
    <row r="74" spans="13:17">
      <c r="M74" s="511"/>
      <c r="N74" s="511"/>
      <c r="O74" s="386"/>
    </row>
    <row r="76" spans="13:17">
      <c r="M76" s="511" t="str">
        <f>CHAR(65+N76)</f>
        <v>M</v>
      </c>
      <c r="N76" s="511">
        <v>12</v>
      </c>
      <c r="O76" s="379"/>
      <c r="P76" t="str">
        <f>VLOOKUP(N76,'imp-answers'!$A$2:$I$50,2,0)</f>
        <v>No</v>
      </c>
      <c r="Q76">
        <f>VLOOKUP(N76,'imp-answers'!$A$2:$I$50,6,0)</f>
        <v>0</v>
      </c>
    </row>
    <row r="77" spans="13:17">
      <c r="M77" s="511"/>
      <c r="N77" s="511"/>
      <c r="O77" s="382"/>
      <c r="P77" t="str">
        <f>VLOOKUP(N76,'imp-answers'!$A$2:$I$50,3,0)</f>
        <v>Yes, for some components</v>
      </c>
      <c r="Q77">
        <f>VLOOKUP(N76,'imp-answers'!$A$2:$I$50,7,0)</f>
        <v>0.25</v>
      </c>
    </row>
    <row r="78" spans="13:17">
      <c r="M78" s="511"/>
      <c r="N78" s="511"/>
      <c r="O78" s="384"/>
      <c r="P78" t="str">
        <f>VLOOKUP(N76,'imp-answers'!$A$2:$I$50,4,0)</f>
        <v>Yes, for at least half of the components</v>
      </c>
      <c r="Q78">
        <f>VLOOKUP(N76,'imp-answers'!$A$2:$I$50,8,0)</f>
        <v>0.5</v>
      </c>
    </row>
    <row r="79" spans="13:17">
      <c r="M79" s="511"/>
      <c r="N79" s="511"/>
      <c r="O79" s="383"/>
      <c r="P79" t="str">
        <f>VLOOKUP(N76,'imp-answers'!$A$2:$I$50,5,0)</f>
        <v>Yes, for most or all of the components</v>
      </c>
      <c r="Q79">
        <f>VLOOKUP(N76,'imp-answers'!$A$2:$I$50,9,0)</f>
        <v>1</v>
      </c>
    </row>
    <row r="80" spans="13:17">
      <c r="M80" s="511"/>
      <c r="N80" s="511"/>
      <c r="O80" s="386"/>
    </row>
    <row r="82" spans="13:17">
      <c r="M82" s="511" t="str">
        <f>CHAR(65+N82)</f>
        <v>N</v>
      </c>
      <c r="N82" s="511">
        <v>13</v>
      </c>
      <c r="O82" s="379"/>
      <c r="P82" t="str">
        <f>VLOOKUP(N82,'imp-answers'!$A$2:$I$50,2,0)</f>
        <v>No</v>
      </c>
      <c r="Q82">
        <f>VLOOKUP(N82,'imp-answers'!$A$2:$I$50,6,0)</f>
        <v>0</v>
      </c>
    </row>
    <row r="83" spans="13:17">
      <c r="M83" s="511"/>
      <c r="N83" s="511"/>
      <c r="O83" s="382"/>
      <c r="P83" t="str">
        <f>VLOOKUP(N82,'imp-answers'!$A$2:$I$50,3,0)</f>
        <v>Yes, but review is ad-hoc</v>
      </c>
      <c r="Q83">
        <f>VLOOKUP(N82,'imp-answers'!$A$2:$I$50,7,0)</f>
        <v>0.25</v>
      </c>
    </row>
    <row r="84" spans="13:17">
      <c r="M84" s="511"/>
      <c r="N84" s="511"/>
      <c r="O84" s="384"/>
      <c r="P84" t="str">
        <f>VLOOKUP(N82,'imp-answers'!$A$2:$I$50,4,0)</f>
        <v>Yes, we review it at regular times</v>
      </c>
      <c r="Q84">
        <f>VLOOKUP(N82,'imp-answers'!$A$2:$I$50,8,0)</f>
        <v>0.5</v>
      </c>
    </row>
    <row r="85" spans="13:17">
      <c r="M85" s="511"/>
      <c r="N85" s="511"/>
      <c r="O85" s="383"/>
      <c r="P85" t="str">
        <f>VLOOKUP(N82,'imp-answers'!$A$2:$I$50,5,0)</f>
        <v>Yes, we review it at least annually</v>
      </c>
      <c r="Q85">
        <f>VLOOKUP(N82,'imp-answers'!$A$2:$I$50,9,0)</f>
        <v>1</v>
      </c>
    </row>
    <row r="86" spans="13:17">
      <c r="M86" s="511"/>
      <c r="N86" s="511"/>
      <c r="O86" s="386"/>
    </row>
    <row r="88" spans="13:17">
      <c r="M88" s="511" t="str">
        <f>CHAR(65+N88)</f>
        <v>O</v>
      </c>
      <c r="N88" s="511">
        <v>14</v>
      </c>
      <c r="O88" s="379"/>
      <c r="P88" t="str">
        <f>VLOOKUP(N88,'imp-answers'!$A$2:$I$50,2,0)</f>
        <v>No</v>
      </c>
      <c r="Q88">
        <f>VLOOKUP(N88,'imp-answers'!$A$2:$I$50,6,0)</f>
        <v>0</v>
      </c>
    </row>
    <row r="89" spans="13:17">
      <c r="M89" s="511"/>
      <c r="N89" s="511"/>
      <c r="O89" s="382"/>
      <c r="P89" t="str">
        <f>VLOOKUP(N88,'imp-answers'!$A$2:$I$50,3,0)</f>
        <v>Yes, for some of our data</v>
      </c>
      <c r="Q89">
        <f>VLOOKUP(N88,'imp-answers'!$A$2:$I$50,7,0)</f>
        <v>0.25</v>
      </c>
    </row>
    <row r="90" spans="13:17">
      <c r="M90" s="511"/>
      <c r="N90" s="511"/>
      <c r="O90" s="384"/>
      <c r="P90" t="str">
        <f>VLOOKUP(N88,'imp-answers'!$A$2:$I$50,4,0)</f>
        <v>Yes, for at least half of our data</v>
      </c>
      <c r="Q90">
        <f>VLOOKUP(N88,'imp-answers'!$A$2:$I$50,8,0)</f>
        <v>0.5</v>
      </c>
    </row>
    <row r="91" spans="13:17">
      <c r="M91" s="511"/>
      <c r="N91" s="511"/>
      <c r="O91" s="383"/>
      <c r="P91" t="str">
        <f>VLOOKUP(N88,'imp-answers'!$A$2:$I$50,5,0)</f>
        <v>Yes, for most or all of our data</v>
      </c>
      <c r="Q91">
        <f>VLOOKUP(N88,'imp-answers'!$A$2:$I$50,9,0)</f>
        <v>1</v>
      </c>
    </row>
    <row r="92" spans="13:17">
      <c r="M92" s="511"/>
      <c r="N92" s="511"/>
      <c r="O92" s="386"/>
    </row>
    <row r="94" spans="13:17">
      <c r="M94" s="511" t="str">
        <f>CHAR(65+N94)</f>
        <v>P</v>
      </c>
      <c r="N94" s="511">
        <v>15</v>
      </c>
      <c r="O94" s="379"/>
      <c r="P94" t="str">
        <f>VLOOKUP(N94,'imp-answers'!$A$2:$I$50,2,0)</f>
        <v>No</v>
      </c>
      <c r="Q94">
        <f>VLOOKUP(N94,'imp-answers'!$A$2:$I$50,6,0)</f>
        <v>0</v>
      </c>
    </row>
    <row r="95" spans="13:17">
      <c r="M95" s="511"/>
      <c r="N95" s="511"/>
      <c r="O95" s="382"/>
      <c r="P95" t="str">
        <f>VLOOKUP(N94,'imp-answers'!$A$2:$I$50,3,0)</f>
        <v>Yes, we do it when requested</v>
      </c>
      <c r="Q95">
        <f>VLOOKUP(N94,'imp-answers'!$A$2:$I$50,7,0)</f>
        <v>0.25</v>
      </c>
    </row>
    <row r="96" spans="13:17">
      <c r="M96" s="511"/>
      <c r="N96" s="511"/>
      <c r="O96" s="384"/>
      <c r="P96" t="str">
        <f>VLOOKUP(N94,'imp-answers'!$A$2:$I$50,4,0)</f>
        <v>Yes, we do it every few years</v>
      </c>
      <c r="Q96">
        <f>VLOOKUP(N94,'imp-answers'!$A$2:$I$50,8,0)</f>
        <v>0.5</v>
      </c>
    </row>
    <row r="97" spans="13:17">
      <c r="M97" s="511"/>
      <c r="N97" s="511"/>
      <c r="O97" s="383"/>
      <c r="P97" t="str">
        <f>VLOOKUP(N94,'imp-answers'!$A$2:$I$50,5,0)</f>
        <v>Yes, we do it at least annually</v>
      </c>
      <c r="Q97">
        <f>VLOOKUP(N94,'imp-answers'!$A$2:$I$50,9,0)</f>
        <v>1</v>
      </c>
    </row>
    <row r="98" spans="13:17">
      <c r="M98" s="511"/>
      <c r="N98" s="511"/>
      <c r="O98" s="386"/>
    </row>
    <row r="100" spans="13:17">
      <c r="M100" s="511" t="str">
        <f>CHAR(65+N100)</f>
        <v>Q</v>
      </c>
      <c r="N100" s="511">
        <v>16</v>
      </c>
      <c r="O100" s="379"/>
      <c r="P100" t="str">
        <f>VLOOKUP(N100,'imp-answers'!$A$2:$I$50,2,0)</f>
        <v>No</v>
      </c>
      <c r="Q100">
        <f>VLOOKUP(N100,'imp-answers'!$A$2:$I$50,6,0)</f>
        <v>0</v>
      </c>
    </row>
    <row r="101" spans="13:17">
      <c r="M101" s="511"/>
      <c r="N101" s="511"/>
      <c r="O101" s="382"/>
      <c r="P101" t="str">
        <f>VLOOKUP(N100,'imp-answers'!$A$2:$I$50,3,0)</f>
        <v>Yes, for some incident types</v>
      </c>
      <c r="Q101">
        <f>VLOOKUP(N100,'imp-answers'!$A$2:$I$50,7,0)</f>
        <v>0.25</v>
      </c>
    </row>
    <row r="102" spans="13:17">
      <c r="M102" s="511"/>
      <c r="N102" s="511"/>
      <c r="O102" s="384"/>
      <c r="P102" t="str">
        <f>VLOOKUP(N100,'imp-answers'!$A$2:$I$50,4,0)</f>
        <v>Yes, for at least half of the incident types</v>
      </c>
      <c r="Q102">
        <f>VLOOKUP(N100,'imp-answers'!$A$2:$I$50,8,0)</f>
        <v>0.5</v>
      </c>
    </row>
    <row r="103" spans="13:17">
      <c r="M103" s="511"/>
      <c r="N103" s="511"/>
      <c r="O103" s="383"/>
      <c r="P103" t="str">
        <f>VLOOKUP(N100,'imp-answers'!$A$2:$I$50,5,0)</f>
        <v>Yes, for most or all of the incident types</v>
      </c>
      <c r="Q103">
        <f>VLOOKUP(N100,'imp-answers'!$A$2:$I$50,9,0)</f>
        <v>1</v>
      </c>
    </row>
    <row r="104" spans="13:17">
      <c r="M104" s="511"/>
      <c r="N104" s="511"/>
      <c r="O104" s="386"/>
    </row>
    <row r="106" spans="13:17">
      <c r="M106" s="511" t="str">
        <f>CHAR(65+N106)</f>
        <v>R</v>
      </c>
      <c r="N106" s="511">
        <v>17</v>
      </c>
      <c r="O106" s="379"/>
      <c r="P106" t="str">
        <f>VLOOKUP(N106,'imp-answers'!$A$2:$I$50,2,0)</f>
        <v>No</v>
      </c>
      <c r="Q106">
        <f>VLOOKUP(N106,'imp-answers'!$A$2:$I$50,6,0)</f>
        <v>0</v>
      </c>
    </row>
    <row r="107" spans="13:17">
      <c r="M107" s="511"/>
      <c r="N107" s="511"/>
      <c r="O107" s="382"/>
      <c r="P107" t="str">
        <f>VLOOKUP(N106,'imp-answers'!$A$2:$I$50,3,0)</f>
        <v>Yes, for some incidents</v>
      </c>
      <c r="Q107">
        <f>VLOOKUP(N106,'imp-answers'!$A$2:$I$50,7,0)</f>
        <v>0.25</v>
      </c>
    </row>
    <row r="108" spans="13:17">
      <c r="M108" s="511"/>
      <c r="N108" s="511"/>
      <c r="O108" s="384"/>
      <c r="P108" t="str">
        <f>VLOOKUP(N106,'imp-answers'!$A$2:$I$50,4,0)</f>
        <v>Yes, for at least half of the incidents</v>
      </c>
      <c r="Q108">
        <f>VLOOKUP(N106,'imp-answers'!$A$2:$I$50,8,0)</f>
        <v>0.5</v>
      </c>
    </row>
    <row r="109" spans="13:17">
      <c r="M109" s="511"/>
      <c r="N109" s="511"/>
      <c r="O109" s="383"/>
      <c r="P109" t="str">
        <f>VLOOKUP(N106,'imp-answers'!$A$2:$I$50,5,0)</f>
        <v>Yes, for most or all of the incidents</v>
      </c>
      <c r="Q109">
        <f>VLOOKUP(N106,'imp-answers'!$A$2:$I$50,9,0)</f>
        <v>1</v>
      </c>
    </row>
    <row r="110" spans="13:17">
      <c r="M110" s="511"/>
      <c r="N110" s="511"/>
      <c r="O110" s="386"/>
    </row>
    <row r="112" spans="13:17">
      <c r="M112" s="511" t="str">
        <f>CHAR(65+N112)</f>
        <v>S</v>
      </c>
      <c r="N112" s="511">
        <v>18</v>
      </c>
      <c r="O112" s="379"/>
      <c r="P112" t="str">
        <f>VLOOKUP(N112,'imp-answers'!$A$2:$I$50,2,0)</f>
        <v>No</v>
      </c>
      <c r="Q112">
        <f>VLOOKUP(N112,'imp-answers'!$A$2:$I$50,6,0)</f>
        <v>0</v>
      </c>
    </row>
    <row r="113" spans="13:17">
      <c r="M113" s="511"/>
      <c r="N113" s="511"/>
      <c r="O113" s="382"/>
      <c r="P113" t="str">
        <f>VLOOKUP(N112,'imp-answers'!$A$2:$I$50,3,0)</f>
        <v>Yes, for some of the assets</v>
      </c>
      <c r="Q113">
        <f>VLOOKUP(N112,'imp-answers'!$A$2:$I$50,7,0)</f>
        <v>0.25</v>
      </c>
    </row>
    <row r="114" spans="13:17">
      <c r="M114" s="511"/>
      <c r="N114" s="511"/>
      <c r="O114" s="384"/>
      <c r="P114" t="str">
        <f>VLOOKUP(N112,'imp-answers'!$A$2:$I$50,4,0)</f>
        <v>Yes, for at least half of the assets</v>
      </c>
      <c r="Q114">
        <f>VLOOKUP(N112,'imp-answers'!$A$2:$I$50,8,0)</f>
        <v>0.5</v>
      </c>
    </row>
    <row r="115" spans="13:17">
      <c r="M115" s="511"/>
      <c r="N115" s="511"/>
      <c r="O115" s="383"/>
      <c r="P115" t="str">
        <f>VLOOKUP(N112,'imp-answers'!$A$2:$I$50,5,0)</f>
        <v>Yes, for most or all of the assets</v>
      </c>
      <c r="Q115">
        <f>VLOOKUP(N112,'imp-answers'!$A$2:$I$50,9,0)</f>
        <v>1</v>
      </c>
    </row>
    <row r="116" spans="13:17">
      <c r="M116" s="511"/>
      <c r="N116" s="511"/>
      <c r="O116" s="386"/>
    </row>
    <row r="118" spans="13:17">
      <c r="M118" s="511" t="str">
        <f>CHAR(65+N118)</f>
        <v>T</v>
      </c>
      <c r="N118" s="511">
        <v>19</v>
      </c>
      <c r="O118" s="379"/>
      <c r="P118" t="str">
        <f>VLOOKUP(N118,'imp-answers'!$A$2:$I$50,2,0)</f>
        <v>No</v>
      </c>
      <c r="Q118">
        <f>VLOOKUP(N118,'imp-answers'!$A$2:$I$50,6,0)</f>
        <v>0</v>
      </c>
    </row>
    <row r="119" spans="13:17">
      <c r="M119" s="511"/>
      <c r="N119" s="511"/>
      <c r="O119" s="382"/>
      <c r="P119" t="str">
        <f>VLOOKUP(N118,'imp-answers'!$A$2:$I$50,3,0)</f>
        <v>Yes, but we improve it ad-hoc</v>
      </c>
      <c r="Q119">
        <f>VLOOKUP(N118,'imp-answers'!$A$2:$I$50,7,0)</f>
        <v>0.25</v>
      </c>
    </row>
    <row r="120" spans="13:17">
      <c r="M120" s="511"/>
      <c r="N120" s="511"/>
      <c r="O120" s="384"/>
      <c r="P120" t="str">
        <f>VLOOKUP(N118,'imp-answers'!$A$2:$I$50,4,0)</f>
        <v>Yes, we we improve it at regular times</v>
      </c>
      <c r="Q120">
        <f>VLOOKUP(N118,'imp-answers'!$A$2:$I$50,8,0)</f>
        <v>0.5</v>
      </c>
    </row>
    <row r="121" spans="13:17">
      <c r="M121" s="511"/>
      <c r="N121" s="511"/>
      <c r="O121" s="383"/>
      <c r="P121" t="str">
        <f>VLOOKUP(N118,'imp-answers'!$A$2:$I$50,5,0)</f>
        <v>Yes, we improve it at least annually</v>
      </c>
      <c r="Q121">
        <f>VLOOKUP(N118,'imp-answers'!$A$2:$I$50,9,0)</f>
        <v>1</v>
      </c>
    </row>
    <row r="122" spans="13:17">
      <c r="M122" s="511"/>
      <c r="N122" s="511"/>
      <c r="O122" s="386"/>
    </row>
    <row r="124" spans="13:17">
      <c r="M124" s="511" t="str">
        <f>CHAR(65+N124)</f>
        <v>U</v>
      </c>
      <c r="N124" s="511">
        <v>20</v>
      </c>
      <c r="O124" s="379"/>
      <c r="P124" t="str">
        <f>VLOOKUP(N124,'imp-answers'!$A$2:$I$50,2,0)</f>
        <v>No</v>
      </c>
      <c r="Q124">
        <f>VLOOKUP(N124,'imp-answers'!$A$2:$I$50,6,0)</f>
        <v>0</v>
      </c>
    </row>
    <row r="125" spans="13:17">
      <c r="M125" s="511"/>
      <c r="N125" s="511"/>
      <c r="O125" s="382"/>
      <c r="P125" t="str">
        <f>VLOOKUP(N124,'imp-answers'!$A$2:$I$50,3,0)</f>
        <v>Yes, for some of the technology domains</v>
      </c>
      <c r="Q125">
        <f>VLOOKUP(N124,'imp-answers'!$A$2:$I$50,7,0)</f>
        <v>0.25</v>
      </c>
    </row>
    <row r="126" spans="13:17">
      <c r="M126" s="511"/>
      <c r="N126" s="511"/>
      <c r="O126" s="384"/>
      <c r="P126" t="str">
        <f>VLOOKUP(N124,'imp-answers'!$A$2:$I$50,4,0)</f>
        <v>Yes, for at least half of the technology domains</v>
      </c>
      <c r="Q126">
        <f>VLOOKUP(N124,'imp-answers'!$A$2:$I$50,8,0)</f>
        <v>0.5</v>
      </c>
    </row>
    <row r="127" spans="13:17">
      <c r="M127" s="511"/>
      <c r="N127" s="511"/>
      <c r="O127" s="383"/>
      <c r="P127" t="str">
        <f>VLOOKUP(N124,'imp-answers'!$A$2:$I$50,5,0)</f>
        <v>Yes, for most or all of the technology domains</v>
      </c>
      <c r="Q127">
        <f>VLOOKUP(N124,'imp-answers'!$A$2:$I$50,9,0)</f>
        <v>1</v>
      </c>
    </row>
    <row r="128" spans="13:17">
      <c r="M128" s="511"/>
      <c r="N128" s="511"/>
      <c r="O128" s="386"/>
    </row>
    <row r="130" spans="13:17">
      <c r="M130" s="511" t="str">
        <f>CHAR(65+N130)</f>
        <v>V</v>
      </c>
      <c r="N130" s="511">
        <v>21</v>
      </c>
      <c r="O130" s="379"/>
      <c r="P130" t="str">
        <f>VLOOKUP(N130,'imp-answers'!$A$2:$I$50,2,0)</f>
        <v>No</v>
      </c>
      <c r="Q130">
        <f>VLOOKUP(N130,'imp-answers'!$A$2:$I$50,6,0)</f>
        <v>0</v>
      </c>
    </row>
    <row r="131" spans="13:17">
      <c r="M131" s="511"/>
      <c r="N131" s="511"/>
      <c r="O131" s="382"/>
      <c r="P131" t="str">
        <f>VLOOKUP(N130,'imp-answers'!$A$2:$I$50,3,0)</f>
        <v>Yes, we review it annually</v>
      </c>
      <c r="Q131">
        <f>VLOOKUP(N130,'imp-answers'!$A$2:$I$50,7,0)</f>
        <v>0.25</v>
      </c>
    </row>
    <row r="132" spans="13:17">
      <c r="M132" s="511"/>
      <c r="N132" s="511"/>
      <c r="O132" s="384"/>
      <c r="P132" t="str">
        <f>VLOOKUP(N130,'imp-answers'!$A$2:$I$50,4,0)</f>
        <v>Yes, we consult the plan before making significant decisions</v>
      </c>
      <c r="Q132">
        <f>VLOOKUP(N130,'imp-answers'!$A$2:$I$50,8,0)</f>
        <v>0.5</v>
      </c>
    </row>
    <row r="133" spans="13:17">
      <c r="M133" s="511"/>
      <c r="N133" s="511"/>
      <c r="O133" s="383"/>
      <c r="P133" t="str">
        <f>VLOOKUP(N130,'imp-answers'!$A$2:$I$50,5,0)</f>
        <v>Yes, we consult the plan often, and it is aligned with our application security strategy</v>
      </c>
      <c r="Q133">
        <f>VLOOKUP(N130,'imp-answers'!$A$2:$I$50,9,0)</f>
        <v>1</v>
      </c>
    </row>
    <row r="134" spans="13:17">
      <c r="M134" s="511"/>
      <c r="N134" s="511"/>
      <c r="O134" s="386"/>
    </row>
    <row r="136" spans="13:17">
      <c r="M136" s="511" t="str">
        <f>CHAR(65+N136)</f>
        <v>W</v>
      </c>
      <c r="N136" s="511">
        <v>22</v>
      </c>
      <c r="O136" s="379"/>
      <c r="P136" t="str">
        <f>VLOOKUP(N136,'imp-answers'!$A$2:$I$50,2,0)</f>
        <v>No</v>
      </c>
      <c r="Q136">
        <f>VLOOKUP(N136,'imp-answers'!$A$2:$I$50,6,0)</f>
        <v>0</v>
      </c>
    </row>
    <row r="137" spans="13:17">
      <c r="M137" s="511"/>
      <c r="N137" s="511"/>
      <c r="O137" s="382"/>
      <c r="P137" t="str">
        <f>VLOOKUP(N136,'imp-answers'!$A$2:$I$50,3,0)</f>
        <v>Yes, for some teams</v>
      </c>
      <c r="Q137">
        <f>VLOOKUP(N136,'imp-answers'!$A$2:$I$50,7,0)</f>
        <v>0.25</v>
      </c>
    </row>
    <row r="138" spans="13:17">
      <c r="M138" s="511"/>
      <c r="N138" s="511"/>
      <c r="O138" s="384"/>
      <c r="P138" t="str">
        <f>VLOOKUP(N136,'imp-answers'!$A$2:$I$50,4,0)</f>
        <v>Yes, for at least half of the teams</v>
      </c>
      <c r="Q138">
        <f>VLOOKUP(N136,'imp-answers'!$A$2:$I$50,8,0)</f>
        <v>0.5</v>
      </c>
    </row>
    <row r="139" spans="13:17">
      <c r="M139" s="511"/>
      <c r="N139" s="511"/>
      <c r="O139" s="383"/>
      <c r="P139" t="str">
        <f>VLOOKUP(N136,'imp-answers'!$A$2:$I$50,5,0)</f>
        <v>Yes, for most or all of the teams</v>
      </c>
      <c r="Q139">
        <f>VLOOKUP(N136,'imp-answers'!$A$2:$I$50,9,0)</f>
        <v>1</v>
      </c>
    </row>
    <row r="140" spans="13:17">
      <c r="M140" s="511"/>
      <c r="N140" s="511"/>
      <c r="O140" s="386"/>
    </row>
    <row r="142" spans="13:17">
      <c r="M142" s="511" t="str">
        <f>CHAR(65+N142)</f>
        <v>X</v>
      </c>
      <c r="N142" s="511">
        <v>23</v>
      </c>
      <c r="O142" s="379"/>
      <c r="P142" t="str">
        <f>VLOOKUP(N142,'imp-answers'!$A$2:$I$50,2,0)</f>
        <v>No</v>
      </c>
      <c r="Q142">
        <f>VLOOKUP(N142,'imp-answers'!$A$2:$I$50,6,0)</f>
        <v>0</v>
      </c>
    </row>
    <row r="143" spans="13:17">
      <c r="M143" s="511"/>
      <c r="N143" s="511"/>
      <c r="O143" s="382"/>
      <c r="P143" t="str">
        <f>VLOOKUP(N142,'imp-answers'!$A$2:$I$50,3,0)</f>
        <v>Yes, some of it</v>
      </c>
      <c r="Q143">
        <f>VLOOKUP(N142,'imp-answers'!$A$2:$I$50,7,0)</f>
        <v>0.25</v>
      </c>
    </row>
    <row r="144" spans="13:17">
      <c r="M144" s="511"/>
      <c r="N144" s="511"/>
      <c r="O144" s="384"/>
      <c r="P144" t="str">
        <f>VLOOKUP(N142,'imp-answers'!$A$2:$I$50,4,0)</f>
        <v>Yes, at least half of it</v>
      </c>
      <c r="Q144">
        <f>VLOOKUP(N142,'imp-answers'!$A$2:$I$50,8,0)</f>
        <v>0.5</v>
      </c>
    </row>
    <row r="145" spans="13:17">
      <c r="M145" s="511"/>
      <c r="N145" s="511"/>
      <c r="O145" s="383"/>
      <c r="P145" t="str">
        <f>VLOOKUP(N142,'imp-answers'!$A$2:$I$50,5,0)</f>
        <v>Yes, most or all of it</v>
      </c>
      <c r="Q145">
        <f>VLOOKUP(N142,'imp-answers'!$A$2:$I$50,9,0)</f>
        <v>1</v>
      </c>
    </row>
    <row r="146" spans="13:17">
      <c r="M146" s="511"/>
      <c r="N146" s="511"/>
      <c r="O146" s="386"/>
    </row>
    <row r="148" spans="13:17">
      <c r="M148" s="511" t="str">
        <f>CHAR(65+N148)</f>
        <v>Y</v>
      </c>
      <c r="N148" s="511">
        <v>24</v>
      </c>
      <c r="O148" s="379"/>
      <c r="P148" t="str">
        <f>VLOOKUP(N148,'imp-answers'!$A$2:$I$50,2,0)</f>
        <v>No</v>
      </c>
      <c r="Q148">
        <f>VLOOKUP(N148,'imp-answers'!$A$2:$I$50,6,0)</f>
        <v>0</v>
      </c>
    </row>
    <row r="149" spans="13:17">
      <c r="M149" s="511"/>
      <c r="N149" s="511"/>
      <c r="O149" s="382"/>
      <c r="P149" t="str">
        <f>VLOOKUP(N148,'imp-answers'!$A$2:$I$50,3,0)</f>
        <v>Yes, it covers general risks</v>
      </c>
      <c r="Q149">
        <f>VLOOKUP(N148,'imp-answers'!$A$2:$I$50,7,0)</f>
        <v>0.25</v>
      </c>
    </row>
    <row r="150" spans="13:17">
      <c r="M150" s="511"/>
      <c r="N150" s="511"/>
      <c r="O150" s="384"/>
      <c r="P150" t="str">
        <f>VLOOKUP(N148,'imp-answers'!$A$2:$I$50,4,0)</f>
        <v>Yes, it covers organization-specific risks</v>
      </c>
      <c r="Q150">
        <f>VLOOKUP(N148,'imp-answers'!$A$2:$I$50,8,0)</f>
        <v>0.5</v>
      </c>
    </row>
    <row r="151" spans="13:17">
      <c r="M151" s="511"/>
      <c r="N151" s="511"/>
      <c r="O151" s="383"/>
      <c r="P151" t="str">
        <f>VLOOKUP(N148,'imp-answers'!$A$2:$I$50,5,0)</f>
        <v>Yes, it covers risks and opportunities</v>
      </c>
      <c r="Q151">
        <f>VLOOKUP(N148,'imp-answers'!$A$2:$I$50,9,0)</f>
        <v>1</v>
      </c>
    </row>
    <row r="152" spans="13:17">
      <c r="M152" s="511"/>
      <c r="N152" s="511"/>
      <c r="O152" s="386"/>
    </row>
  </sheetData>
  <mergeCells count="60">
    <mergeCell ref="A1:K1"/>
    <mergeCell ref="C3:E3"/>
    <mergeCell ref="H4:H7"/>
    <mergeCell ref="M4:M8"/>
    <mergeCell ref="N4:N8"/>
    <mergeCell ref="H9:H12"/>
    <mergeCell ref="M10:M14"/>
    <mergeCell ref="N10:N14"/>
    <mergeCell ref="H14:H17"/>
    <mergeCell ref="M16:M20"/>
    <mergeCell ref="N16:N20"/>
    <mergeCell ref="H19:H22"/>
    <mergeCell ref="M22:M26"/>
    <mergeCell ref="N22:N26"/>
    <mergeCell ref="H24:H27"/>
    <mergeCell ref="M28:M32"/>
    <mergeCell ref="N28:N32"/>
    <mergeCell ref="H29:H32"/>
    <mergeCell ref="H34:H37"/>
    <mergeCell ref="M34:M38"/>
    <mergeCell ref="N34:N38"/>
    <mergeCell ref="H39:H42"/>
    <mergeCell ref="M40:M44"/>
    <mergeCell ref="N40:N44"/>
    <mergeCell ref="M46:M50"/>
    <mergeCell ref="N46:N50"/>
    <mergeCell ref="M52:M56"/>
    <mergeCell ref="N52:N56"/>
    <mergeCell ref="M58:M62"/>
    <mergeCell ref="N58:N62"/>
    <mergeCell ref="M64:M68"/>
    <mergeCell ref="N64:N68"/>
    <mergeCell ref="M70:M74"/>
    <mergeCell ref="N70:N74"/>
    <mergeCell ref="M76:M80"/>
    <mergeCell ref="N76:N80"/>
    <mergeCell ref="M82:M86"/>
    <mergeCell ref="N82:N86"/>
    <mergeCell ref="M88:M92"/>
    <mergeCell ref="N88:N92"/>
    <mergeCell ref="M94:M98"/>
    <mergeCell ref="N94:N98"/>
    <mergeCell ref="M100:M104"/>
    <mergeCell ref="N100:N104"/>
    <mergeCell ref="M106:M110"/>
    <mergeCell ref="N106:N110"/>
    <mergeCell ref="M112:M116"/>
    <mergeCell ref="N112:N116"/>
    <mergeCell ref="M118:M122"/>
    <mergeCell ref="N118:N122"/>
    <mergeCell ref="M142:M146"/>
    <mergeCell ref="N142:N146"/>
    <mergeCell ref="M148:M152"/>
    <mergeCell ref="N148:N152"/>
    <mergeCell ref="M124:M128"/>
    <mergeCell ref="N124:N128"/>
    <mergeCell ref="M130:M134"/>
    <mergeCell ref="N130:N134"/>
    <mergeCell ref="M136:M140"/>
    <mergeCell ref="N136:N140"/>
  </mergeCell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91"/>
  <sheetViews>
    <sheetView zoomScale="110" zoomScaleNormal="110" workbookViewId="0">
      <selection activeCell="F26" sqref="F26"/>
    </sheetView>
  </sheetViews>
  <sheetFormatPr baseColWidth="10" defaultColWidth="8.83203125" defaultRowHeight="13"/>
  <cols>
    <col min="1" max="3" width="11.5" customWidth="1"/>
    <col min="4" max="4" width="19.6640625" customWidth="1"/>
    <col min="5" max="5" width="11.5" customWidth="1"/>
    <col min="6" max="6" width="90.6640625" customWidth="1"/>
    <col min="7" max="7" width="64.33203125" customWidth="1"/>
    <col min="8" max="1025" width="11.5" customWidth="1"/>
  </cols>
  <sheetData>
    <row r="1" spans="1:8">
      <c r="A1" s="96" t="s">
        <v>282</v>
      </c>
      <c r="B1" s="96" t="s">
        <v>283</v>
      </c>
      <c r="C1" s="96" t="s">
        <v>220</v>
      </c>
      <c r="D1" s="96" t="s">
        <v>284</v>
      </c>
      <c r="E1" s="96" t="s">
        <v>196</v>
      </c>
      <c r="F1" s="96" t="s">
        <v>285</v>
      </c>
      <c r="G1" s="96" t="s">
        <v>286</v>
      </c>
      <c r="H1" s="96" t="s">
        <v>287</v>
      </c>
    </row>
    <row r="2" spans="1:8" ht="56">
      <c r="A2" s="96" t="s">
        <v>181</v>
      </c>
      <c r="B2" s="96" t="s">
        <v>168</v>
      </c>
      <c r="C2" s="96" t="s">
        <v>176</v>
      </c>
      <c r="D2" s="96" t="s">
        <v>288</v>
      </c>
      <c r="E2" s="96">
        <v>3</v>
      </c>
      <c r="F2" s="96" t="s">
        <v>289</v>
      </c>
      <c r="G2" s="12" t="s">
        <v>290</v>
      </c>
      <c r="H2" s="96">
        <v>12</v>
      </c>
    </row>
    <row r="3" spans="1:8" ht="56">
      <c r="A3" s="96" t="s">
        <v>191</v>
      </c>
      <c r="B3" s="96" t="s">
        <v>168</v>
      </c>
      <c r="C3" s="96" t="s">
        <v>185</v>
      </c>
      <c r="D3" s="96" t="s">
        <v>291</v>
      </c>
      <c r="E3" s="96">
        <v>3</v>
      </c>
      <c r="F3" s="96" t="s">
        <v>292</v>
      </c>
      <c r="G3" s="12" t="s">
        <v>293</v>
      </c>
      <c r="H3" s="96">
        <v>18</v>
      </c>
    </row>
    <row r="4" spans="1:8" ht="56">
      <c r="A4" s="96" t="s">
        <v>163</v>
      </c>
      <c r="B4" s="96" t="s">
        <v>144</v>
      </c>
      <c r="C4" s="96" t="s">
        <v>159</v>
      </c>
      <c r="D4" s="96" t="s">
        <v>294</v>
      </c>
      <c r="E4" s="96">
        <v>3</v>
      </c>
      <c r="F4" s="96" t="s">
        <v>295</v>
      </c>
      <c r="G4" s="12" t="s">
        <v>296</v>
      </c>
      <c r="H4" s="96">
        <v>23</v>
      </c>
    </row>
    <row r="5" spans="1:8" ht="112">
      <c r="A5" s="96" t="s">
        <v>110</v>
      </c>
      <c r="B5" s="96" t="s">
        <v>91</v>
      </c>
      <c r="C5" s="96" t="s">
        <v>102</v>
      </c>
      <c r="D5" s="96" t="s">
        <v>297</v>
      </c>
      <c r="E5" s="96">
        <v>3</v>
      </c>
      <c r="F5" s="96" t="s">
        <v>298</v>
      </c>
      <c r="G5" s="12" t="s">
        <v>299</v>
      </c>
      <c r="H5" s="96">
        <v>7</v>
      </c>
    </row>
    <row r="6" spans="1:8" ht="56">
      <c r="A6" s="96" t="s">
        <v>155</v>
      </c>
      <c r="B6" s="96" t="s">
        <v>144</v>
      </c>
      <c r="C6" s="96" t="s">
        <v>300</v>
      </c>
      <c r="D6" s="96" t="s">
        <v>301</v>
      </c>
      <c r="E6" s="96">
        <v>3</v>
      </c>
      <c r="F6" s="96" t="s">
        <v>302</v>
      </c>
      <c r="G6" s="12" t="s">
        <v>303</v>
      </c>
      <c r="H6" s="96">
        <v>5</v>
      </c>
    </row>
    <row r="7" spans="1:8" ht="56">
      <c r="A7" s="96" t="s">
        <v>131</v>
      </c>
      <c r="B7" s="96" t="s">
        <v>120</v>
      </c>
      <c r="C7" s="96" t="s">
        <v>129</v>
      </c>
      <c r="D7" s="96" t="s">
        <v>304</v>
      </c>
      <c r="E7" s="96">
        <v>2</v>
      </c>
      <c r="F7" s="96" t="s">
        <v>305</v>
      </c>
      <c r="G7" s="12" t="s">
        <v>306</v>
      </c>
      <c r="H7" s="96">
        <v>5</v>
      </c>
    </row>
    <row r="8" spans="1:8" ht="42">
      <c r="A8" s="96" t="s">
        <v>156</v>
      </c>
      <c r="B8" s="96" t="s">
        <v>144</v>
      </c>
      <c r="C8" s="96" t="s">
        <v>300</v>
      </c>
      <c r="D8" s="96" t="s">
        <v>307</v>
      </c>
      <c r="E8" s="96">
        <v>1</v>
      </c>
      <c r="F8" s="96" t="s">
        <v>308</v>
      </c>
      <c r="G8" s="12" t="s">
        <v>309</v>
      </c>
      <c r="H8" s="96">
        <v>5</v>
      </c>
    </row>
    <row r="9" spans="1:8" ht="56">
      <c r="A9" s="96" t="s">
        <v>103</v>
      </c>
      <c r="B9" s="96" t="s">
        <v>91</v>
      </c>
      <c r="C9" s="96" t="s">
        <v>102</v>
      </c>
      <c r="D9" s="96" t="s">
        <v>310</v>
      </c>
      <c r="E9" s="96">
        <v>1</v>
      </c>
      <c r="F9" s="96" t="s">
        <v>311</v>
      </c>
      <c r="G9" s="12" t="s">
        <v>312</v>
      </c>
      <c r="H9" s="96">
        <v>5</v>
      </c>
    </row>
    <row r="10" spans="1:8" ht="56">
      <c r="A10" s="96" t="s">
        <v>165</v>
      </c>
      <c r="B10" s="96" t="s">
        <v>144</v>
      </c>
      <c r="C10" s="96" t="s">
        <v>159</v>
      </c>
      <c r="D10" s="96" t="s">
        <v>313</v>
      </c>
      <c r="E10" s="96">
        <v>1</v>
      </c>
      <c r="F10" s="96" t="s">
        <v>314</v>
      </c>
      <c r="G10" s="12" t="s">
        <v>315</v>
      </c>
      <c r="H10" s="96">
        <v>12</v>
      </c>
    </row>
    <row r="11" spans="1:8" ht="56">
      <c r="A11" s="96" t="s">
        <v>186</v>
      </c>
      <c r="B11" s="96" t="s">
        <v>168</v>
      </c>
      <c r="C11" s="96" t="s">
        <v>185</v>
      </c>
      <c r="D11" s="96" t="s">
        <v>316</v>
      </c>
      <c r="E11" s="96">
        <v>1</v>
      </c>
      <c r="F11" s="96" t="s">
        <v>317</v>
      </c>
      <c r="G11" s="12" t="s">
        <v>318</v>
      </c>
      <c r="H11" s="96">
        <v>5</v>
      </c>
    </row>
    <row r="12" spans="1:8" ht="56">
      <c r="A12" s="96" t="s">
        <v>150</v>
      </c>
      <c r="B12" s="96" t="s">
        <v>144</v>
      </c>
      <c r="C12" s="96" t="s">
        <v>145</v>
      </c>
      <c r="D12" s="96" t="s">
        <v>319</v>
      </c>
      <c r="E12" s="96">
        <v>2</v>
      </c>
      <c r="F12" s="96" t="s">
        <v>320</v>
      </c>
      <c r="G12" s="12" t="s">
        <v>321</v>
      </c>
      <c r="H12" s="96">
        <v>5</v>
      </c>
    </row>
    <row r="13" spans="1:8" ht="42">
      <c r="A13" s="96" t="s">
        <v>182</v>
      </c>
      <c r="B13" s="96" t="s">
        <v>168</v>
      </c>
      <c r="C13" s="96" t="s">
        <v>176</v>
      </c>
      <c r="D13" s="96" t="s">
        <v>322</v>
      </c>
      <c r="E13" s="96">
        <v>1</v>
      </c>
      <c r="F13" s="96" t="s">
        <v>323</v>
      </c>
      <c r="G13" s="12" t="s">
        <v>324</v>
      </c>
      <c r="H13" s="96">
        <v>12</v>
      </c>
    </row>
    <row r="14" spans="1:8" ht="56">
      <c r="A14" s="96" t="s">
        <v>184</v>
      </c>
      <c r="B14" s="96" t="s">
        <v>168</v>
      </c>
      <c r="C14" s="96" t="s">
        <v>176</v>
      </c>
      <c r="D14" s="96" t="s">
        <v>322</v>
      </c>
      <c r="E14" s="96">
        <v>3</v>
      </c>
      <c r="F14" s="96" t="s">
        <v>325</v>
      </c>
      <c r="G14" s="12" t="s">
        <v>326</v>
      </c>
      <c r="H14" s="96">
        <v>12</v>
      </c>
    </row>
    <row r="15" spans="1:8" ht="84">
      <c r="A15" s="96" t="s">
        <v>188</v>
      </c>
      <c r="B15" s="96" t="s">
        <v>168</v>
      </c>
      <c r="C15" s="96" t="s">
        <v>185</v>
      </c>
      <c r="D15" s="96" t="s">
        <v>316</v>
      </c>
      <c r="E15" s="96">
        <v>3</v>
      </c>
      <c r="F15" s="96" t="s">
        <v>327</v>
      </c>
      <c r="G15" s="12" t="s">
        <v>328</v>
      </c>
      <c r="H15" s="96">
        <v>15</v>
      </c>
    </row>
    <row r="16" spans="1:8" ht="70">
      <c r="A16" s="96" t="s">
        <v>158</v>
      </c>
      <c r="B16" s="96" t="s">
        <v>144</v>
      </c>
      <c r="C16" s="96" t="s">
        <v>300</v>
      </c>
      <c r="D16" s="96" t="s">
        <v>307</v>
      </c>
      <c r="E16" s="96">
        <v>3</v>
      </c>
      <c r="F16" s="96" t="s">
        <v>329</v>
      </c>
      <c r="G16" s="12" t="s">
        <v>330</v>
      </c>
      <c r="H16" s="96">
        <v>7</v>
      </c>
    </row>
    <row r="17" spans="1:8" ht="84">
      <c r="A17" s="96" t="s">
        <v>106</v>
      </c>
      <c r="B17" s="96" t="s">
        <v>91</v>
      </c>
      <c r="C17" s="96" t="s">
        <v>102</v>
      </c>
      <c r="D17" s="96" t="s">
        <v>310</v>
      </c>
      <c r="E17" s="96">
        <v>3</v>
      </c>
      <c r="F17" s="96" t="s">
        <v>331</v>
      </c>
      <c r="G17" s="12" t="s">
        <v>332</v>
      </c>
      <c r="H17" s="96">
        <v>5</v>
      </c>
    </row>
    <row r="18" spans="1:8" ht="84">
      <c r="A18" s="96" t="s">
        <v>167</v>
      </c>
      <c r="B18" s="96" t="s">
        <v>144</v>
      </c>
      <c r="C18" s="96" t="s">
        <v>159</v>
      </c>
      <c r="D18" s="96" t="s">
        <v>313</v>
      </c>
      <c r="E18" s="96">
        <v>3</v>
      </c>
      <c r="F18" s="96" t="s">
        <v>333</v>
      </c>
      <c r="G18" s="12" t="s">
        <v>334</v>
      </c>
      <c r="H18" s="96">
        <v>19</v>
      </c>
    </row>
    <row r="19" spans="1:8" ht="56">
      <c r="A19" s="96" t="s">
        <v>134</v>
      </c>
      <c r="B19" s="96" t="s">
        <v>120</v>
      </c>
      <c r="C19" s="96" t="s">
        <v>129</v>
      </c>
      <c r="D19" s="96" t="s">
        <v>335</v>
      </c>
      <c r="E19" s="96">
        <v>2</v>
      </c>
      <c r="F19" s="96" t="s">
        <v>336</v>
      </c>
      <c r="G19" s="12" t="s">
        <v>337</v>
      </c>
      <c r="H19" s="96">
        <v>5</v>
      </c>
    </row>
    <row r="20" spans="1:8" ht="56">
      <c r="A20" s="96" t="s">
        <v>160</v>
      </c>
      <c r="B20" s="96" t="s">
        <v>144</v>
      </c>
      <c r="C20" s="96" t="s">
        <v>159</v>
      </c>
      <c r="D20" s="96" t="s">
        <v>294</v>
      </c>
      <c r="E20" s="96">
        <v>1</v>
      </c>
      <c r="F20" s="96" t="s">
        <v>338</v>
      </c>
      <c r="G20" s="12" t="s">
        <v>339</v>
      </c>
      <c r="H20" s="96">
        <v>2</v>
      </c>
    </row>
    <row r="21" spans="1:8" ht="56">
      <c r="A21" s="96" t="s">
        <v>107</v>
      </c>
      <c r="B21" s="96" t="s">
        <v>91</v>
      </c>
      <c r="C21" s="96" t="s">
        <v>102</v>
      </c>
      <c r="D21" s="96" t="s">
        <v>297</v>
      </c>
      <c r="E21" s="96">
        <v>1</v>
      </c>
      <c r="F21" s="96" t="s">
        <v>340</v>
      </c>
      <c r="G21" s="12" t="s">
        <v>341</v>
      </c>
      <c r="H21" s="96">
        <v>7</v>
      </c>
    </row>
    <row r="22" spans="1:8" ht="56">
      <c r="A22" s="96" t="s">
        <v>153</v>
      </c>
      <c r="B22" s="96" t="s">
        <v>144</v>
      </c>
      <c r="C22" s="96" t="s">
        <v>300</v>
      </c>
      <c r="D22" s="96" t="s">
        <v>301</v>
      </c>
      <c r="E22" s="96">
        <v>1</v>
      </c>
      <c r="F22" s="96" t="s">
        <v>342</v>
      </c>
      <c r="G22" s="12" t="s">
        <v>343</v>
      </c>
      <c r="H22" s="96">
        <v>2</v>
      </c>
    </row>
    <row r="23" spans="1:8" ht="42">
      <c r="A23" s="96" t="s">
        <v>189</v>
      </c>
      <c r="B23" s="96" t="s">
        <v>168</v>
      </c>
      <c r="C23" s="96" t="s">
        <v>185</v>
      </c>
      <c r="D23" s="96" t="s">
        <v>291</v>
      </c>
      <c r="E23" s="96">
        <v>1</v>
      </c>
      <c r="F23" s="96" t="s">
        <v>344</v>
      </c>
      <c r="G23" s="12" t="s">
        <v>345</v>
      </c>
      <c r="H23" s="96">
        <v>5</v>
      </c>
    </row>
    <row r="24" spans="1:8" ht="56">
      <c r="A24" s="96" t="s">
        <v>147</v>
      </c>
      <c r="B24" s="96" t="s">
        <v>144</v>
      </c>
      <c r="C24" s="96" t="s">
        <v>145</v>
      </c>
      <c r="D24" s="96" t="s">
        <v>346</v>
      </c>
      <c r="E24" s="96">
        <v>2</v>
      </c>
      <c r="F24" s="96" t="s">
        <v>347</v>
      </c>
      <c r="G24" s="12" t="s">
        <v>348</v>
      </c>
      <c r="H24" s="96">
        <v>5</v>
      </c>
    </row>
    <row r="25" spans="1:8" ht="28">
      <c r="A25" s="96" t="s">
        <v>177</v>
      </c>
      <c r="B25" s="96" t="s">
        <v>168</v>
      </c>
      <c r="C25" s="96" t="s">
        <v>176</v>
      </c>
      <c r="D25" s="96" t="s">
        <v>288</v>
      </c>
      <c r="E25" s="96">
        <v>1</v>
      </c>
      <c r="F25" s="96" t="s">
        <v>349</v>
      </c>
      <c r="G25" s="12" t="s">
        <v>350</v>
      </c>
      <c r="H25" s="96">
        <v>12</v>
      </c>
    </row>
    <row r="26" spans="1:8" ht="70">
      <c r="A26" s="96" t="s">
        <v>171</v>
      </c>
      <c r="B26" s="96" t="s">
        <v>168</v>
      </c>
      <c r="C26" s="96" t="s">
        <v>169</v>
      </c>
      <c r="D26" s="96" t="s">
        <v>351</v>
      </c>
      <c r="E26" s="96">
        <v>2</v>
      </c>
      <c r="F26" s="96" t="s">
        <v>352</v>
      </c>
      <c r="G26" s="12" t="s">
        <v>353</v>
      </c>
      <c r="H26" s="96">
        <v>5</v>
      </c>
    </row>
    <row r="27" spans="1:8" ht="84">
      <c r="A27" s="96" t="s">
        <v>87</v>
      </c>
      <c r="B27" s="96" t="s">
        <v>48</v>
      </c>
      <c r="C27" s="96" t="s">
        <v>77</v>
      </c>
      <c r="D27" s="96" t="s">
        <v>354</v>
      </c>
      <c r="E27" s="96">
        <v>2</v>
      </c>
      <c r="F27" s="96" t="s">
        <v>355</v>
      </c>
      <c r="G27" s="12" t="s">
        <v>356</v>
      </c>
      <c r="H27" s="96">
        <v>11</v>
      </c>
    </row>
    <row r="28" spans="1:8" ht="56">
      <c r="A28" s="96" t="s">
        <v>174</v>
      </c>
      <c r="B28" s="96" t="s">
        <v>168</v>
      </c>
      <c r="C28" s="96" t="s">
        <v>169</v>
      </c>
      <c r="D28" s="96" t="s">
        <v>357</v>
      </c>
      <c r="E28" s="96">
        <v>2</v>
      </c>
      <c r="F28" s="96" t="s">
        <v>358</v>
      </c>
      <c r="G28" s="12" t="s">
        <v>359</v>
      </c>
      <c r="H28" s="96">
        <v>16</v>
      </c>
    </row>
    <row r="29" spans="1:8" ht="84">
      <c r="A29" s="96" t="s">
        <v>80</v>
      </c>
      <c r="B29" s="96" t="s">
        <v>48</v>
      </c>
      <c r="C29" s="96" t="s">
        <v>77</v>
      </c>
      <c r="D29" s="96" t="s">
        <v>360</v>
      </c>
      <c r="E29" s="96">
        <v>2</v>
      </c>
      <c r="F29" s="96" t="s">
        <v>361</v>
      </c>
      <c r="G29" s="12" t="s">
        <v>362</v>
      </c>
      <c r="H29" s="96">
        <v>8</v>
      </c>
    </row>
    <row r="30" spans="1:8" ht="42">
      <c r="A30" s="96" t="s">
        <v>136</v>
      </c>
      <c r="B30" s="96" t="s">
        <v>120</v>
      </c>
      <c r="C30" s="96" t="s">
        <v>129</v>
      </c>
      <c r="D30" s="96" t="s">
        <v>335</v>
      </c>
      <c r="E30" s="96">
        <v>3</v>
      </c>
      <c r="F30" s="96" t="s">
        <v>363</v>
      </c>
      <c r="G30" s="12" t="s">
        <v>364</v>
      </c>
      <c r="H30" s="96">
        <v>5</v>
      </c>
    </row>
    <row r="31" spans="1:8" ht="42">
      <c r="A31" s="96" t="s">
        <v>149</v>
      </c>
      <c r="B31" s="96" t="s">
        <v>144</v>
      </c>
      <c r="C31" s="96" t="s">
        <v>145</v>
      </c>
      <c r="D31" s="96" t="s">
        <v>319</v>
      </c>
      <c r="E31" s="96">
        <v>1</v>
      </c>
      <c r="F31" s="96" t="s">
        <v>365</v>
      </c>
      <c r="G31" s="12" t="s">
        <v>366</v>
      </c>
      <c r="H31" s="96">
        <v>5</v>
      </c>
    </row>
    <row r="32" spans="1:8" ht="70">
      <c r="A32" s="96" t="s">
        <v>187</v>
      </c>
      <c r="B32" s="96" t="s">
        <v>168</v>
      </c>
      <c r="C32" s="96" t="s">
        <v>185</v>
      </c>
      <c r="D32" s="96" t="s">
        <v>316</v>
      </c>
      <c r="E32" s="96">
        <v>2</v>
      </c>
      <c r="F32" s="96" t="s">
        <v>367</v>
      </c>
      <c r="G32" s="12" t="s">
        <v>368</v>
      </c>
      <c r="H32" s="96">
        <v>14</v>
      </c>
    </row>
    <row r="33" spans="1:8" ht="84">
      <c r="A33" s="96" t="s">
        <v>104</v>
      </c>
      <c r="B33" s="96" t="s">
        <v>91</v>
      </c>
      <c r="C33" s="96" t="s">
        <v>102</v>
      </c>
      <c r="D33" s="96" t="s">
        <v>310</v>
      </c>
      <c r="E33" s="96">
        <v>2</v>
      </c>
      <c r="F33" s="96" t="s">
        <v>369</v>
      </c>
      <c r="G33" s="12" t="s">
        <v>370</v>
      </c>
      <c r="H33" s="96">
        <v>7</v>
      </c>
    </row>
    <row r="34" spans="1:8" ht="56">
      <c r="A34" s="96" t="s">
        <v>157</v>
      </c>
      <c r="B34" s="96" t="s">
        <v>144</v>
      </c>
      <c r="C34" s="96" t="s">
        <v>300</v>
      </c>
      <c r="D34" s="96" t="s">
        <v>307</v>
      </c>
      <c r="E34" s="96">
        <v>2</v>
      </c>
      <c r="F34" s="96" t="s">
        <v>371</v>
      </c>
      <c r="G34" s="12" t="s">
        <v>372</v>
      </c>
      <c r="H34" s="96">
        <v>7</v>
      </c>
    </row>
    <row r="35" spans="1:8" ht="84">
      <c r="A35" s="96" t="s">
        <v>166</v>
      </c>
      <c r="B35" s="96" t="s">
        <v>144</v>
      </c>
      <c r="C35" s="96" t="s">
        <v>159</v>
      </c>
      <c r="D35" s="96" t="s">
        <v>313</v>
      </c>
      <c r="E35" s="96">
        <v>2</v>
      </c>
      <c r="F35" s="96" t="s">
        <v>373</v>
      </c>
      <c r="G35" s="12" t="s">
        <v>374</v>
      </c>
      <c r="H35" s="96">
        <v>5</v>
      </c>
    </row>
    <row r="36" spans="1:8" ht="56">
      <c r="A36" s="96" t="s">
        <v>183</v>
      </c>
      <c r="B36" s="96" t="s">
        <v>168</v>
      </c>
      <c r="C36" s="96" t="s">
        <v>176</v>
      </c>
      <c r="D36" s="96" t="s">
        <v>322</v>
      </c>
      <c r="E36" s="96">
        <v>2</v>
      </c>
      <c r="F36" s="96" t="s">
        <v>375</v>
      </c>
      <c r="G36" s="12" t="s">
        <v>376</v>
      </c>
      <c r="H36" s="96">
        <v>12</v>
      </c>
    </row>
    <row r="37" spans="1:8" ht="84">
      <c r="A37" s="96" t="s">
        <v>148</v>
      </c>
      <c r="B37" s="96" t="s">
        <v>144</v>
      </c>
      <c r="C37" s="96" t="s">
        <v>145</v>
      </c>
      <c r="D37" s="96" t="s">
        <v>346</v>
      </c>
      <c r="E37" s="96">
        <v>3</v>
      </c>
      <c r="F37" s="96" t="s">
        <v>377</v>
      </c>
      <c r="G37" s="12" t="s">
        <v>378</v>
      </c>
      <c r="H37" s="96">
        <v>5</v>
      </c>
    </row>
    <row r="38" spans="1:8" ht="70">
      <c r="A38" s="96" t="s">
        <v>130</v>
      </c>
      <c r="B38" s="96" t="s">
        <v>120</v>
      </c>
      <c r="C38" s="96" t="s">
        <v>129</v>
      </c>
      <c r="D38" s="96" t="s">
        <v>304</v>
      </c>
      <c r="E38" s="96">
        <v>1</v>
      </c>
      <c r="F38" s="96" t="s">
        <v>379</v>
      </c>
      <c r="G38" s="12" t="s">
        <v>380</v>
      </c>
      <c r="H38" s="96">
        <v>5</v>
      </c>
    </row>
    <row r="39" spans="1:8" ht="56">
      <c r="A39" s="96" t="s">
        <v>132</v>
      </c>
      <c r="B39" s="96" t="s">
        <v>120</v>
      </c>
      <c r="C39" s="96" t="s">
        <v>129</v>
      </c>
      <c r="D39" s="96" t="s">
        <v>304</v>
      </c>
      <c r="E39" s="96">
        <v>3</v>
      </c>
      <c r="F39" s="96" t="s">
        <v>381</v>
      </c>
      <c r="G39" s="12" t="s">
        <v>382</v>
      </c>
      <c r="H39" s="96">
        <v>5</v>
      </c>
    </row>
    <row r="40" spans="1:8" ht="56">
      <c r="A40" s="96" t="s">
        <v>146</v>
      </c>
      <c r="B40" s="96" t="s">
        <v>144</v>
      </c>
      <c r="C40" s="96" t="s">
        <v>145</v>
      </c>
      <c r="D40" s="96" t="s">
        <v>346</v>
      </c>
      <c r="E40" s="96">
        <v>1</v>
      </c>
      <c r="F40" s="96" t="s">
        <v>383</v>
      </c>
      <c r="G40" s="12" t="s">
        <v>384</v>
      </c>
      <c r="H40" s="96">
        <v>5</v>
      </c>
    </row>
    <row r="41" spans="1:8" ht="84">
      <c r="A41" s="96" t="s">
        <v>190</v>
      </c>
      <c r="B41" s="96" t="s">
        <v>168</v>
      </c>
      <c r="C41" s="96" t="s">
        <v>185</v>
      </c>
      <c r="D41" s="96" t="s">
        <v>291</v>
      </c>
      <c r="E41" s="96">
        <v>2</v>
      </c>
      <c r="F41" s="96" t="s">
        <v>385</v>
      </c>
      <c r="G41" s="12" t="s">
        <v>386</v>
      </c>
      <c r="H41" s="96">
        <v>7</v>
      </c>
    </row>
    <row r="42" spans="1:8" ht="84">
      <c r="A42" s="96" t="s">
        <v>162</v>
      </c>
      <c r="B42" s="96" t="s">
        <v>144</v>
      </c>
      <c r="C42" s="96" t="s">
        <v>159</v>
      </c>
      <c r="D42" s="96" t="s">
        <v>294</v>
      </c>
      <c r="E42" s="96">
        <v>2</v>
      </c>
      <c r="F42" s="96" t="s">
        <v>387</v>
      </c>
      <c r="G42" s="12" t="s">
        <v>388</v>
      </c>
      <c r="H42" s="96">
        <v>2</v>
      </c>
    </row>
    <row r="43" spans="1:8" ht="42">
      <c r="A43" s="96" t="s">
        <v>154</v>
      </c>
      <c r="B43" s="96" t="s">
        <v>144</v>
      </c>
      <c r="C43" s="96" t="s">
        <v>300</v>
      </c>
      <c r="D43" s="96" t="s">
        <v>301</v>
      </c>
      <c r="E43" s="96">
        <v>2</v>
      </c>
      <c r="F43" s="96" t="s">
        <v>389</v>
      </c>
      <c r="G43" s="12" t="s">
        <v>390</v>
      </c>
      <c r="H43" s="96">
        <v>2</v>
      </c>
    </row>
    <row r="44" spans="1:8" ht="98">
      <c r="A44" s="96" t="s">
        <v>108</v>
      </c>
      <c r="B44" s="96" t="s">
        <v>91</v>
      </c>
      <c r="C44" s="96" t="s">
        <v>102</v>
      </c>
      <c r="D44" s="96" t="s">
        <v>297</v>
      </c>
      <c r="E44" s="96">
        <v>2</v>
      </c>
      <c r="F44" s="96" t="s">
        <v>391</v>
      </c>
      <c r="G44" s="12" t="s">
        <v>392</v>
      </c>
      <c r="H44" s="96">
        <v>7</v>
      </c>
    </row>
    <row r="45" spans="1:8" ht="56">
      <c r="A45" s="96" t="s">
        <v>179</v>
      </c>
      <c r="B45" s="96" t="s">
        <v>168</v>
      </c>
      <c r="C45" s="96" t="s">
        <v>176</v>
      </c>
      <c r="D45" s="96" t="s">
        <v>288</v>
      </c>
      <c r="E45" s="96">
        <v>2</v>
      </c>
      <c r="F45" s="96" t="s">
        <v>393</v>
      </c>
      <c r="G45" s="12" t="s">
        <v>394</v>
      </c>
      <c r="H45" s="96">
        <v>12</v>
      </c>
    </row>
    <row r="46" spans="1:8" ht="84">
      <c r="A46" s="96" t="s">
        <v>151</v>
      </c>
      <c r="B46" s="96" t="s">
        <v>144</v>
      </c>
      <c r="C46" s="96" t="s">
        <v>145</v>
      </c>
      <c r="D46" s="96" t="s">
        <v>319</v>
      </c>
      <c r="E46" s="96">
        <v>3</v>
      </c>
      <c r="F46" s="96" t="s">
        <v>395</v>
      </c>
      <c r="G46" s="12" t="s">
        <v>396</v>
      </c>
      <c r="H46" s="96">
        <v>5</v>
      </c>
    </row>
    <row r="47" spans="1:8" ht="42">
      <c r="A47" s="96" t="s">
        <v>133</v>
      </c>
      <c r="B47" s="96" t="s">
        <v>120</v>
      </c>
      <c r="C47" s="96" t="s">
        <v>129</v>
      </c>
      <c r="D47" s="96" t="s">
        <v>335</v>
      </c>
      <c r="E47" s="96">
        <v>1</v>
      </c>
      <c r="F47" s="96" t="s">
        <v>397</v>
      </c>
      <c r="G47" s="12" t="s">
        <v>398</v>
      </c>
      <c r="H47" s="96">
        <v>5</v>
      </c>
    </row>
    <row r="48" spans="1:8" ht="70">
      <c r="A48" s="96" t="s">
        <v>82</v>
      </c>
      <c r="B48" s="96" t="s">
        <v>48</v>
      </c>
      <c r="C48" s="96" t="s">
        <v>77</v>
      </c>
      <c r="D48" s="96" t="s">
        <v>360</v>
      </c>
      <c r="E48" s="96">
        <v>3</v>
      </c>
      <c r="F48" s="96" t="s">
        <v>399</v>
      </c>
      <c r="G48" s="12" t="s">
        <v>400</v>
      </c>
      <c r="H48" s="96">
        <v>8</v>
      </c>
    </row>
    <row r="49" spans="1:8" ht="42">
      <c r="A49" s="96" t="s">
        <v>175</v>
      </c>
      <c r="B49" s="96" t="s">
        <v>168</v>
      </c>
      <c r="C49" s="96" t="s">
        <v>169</v>
      </c>
      <c r="D49" s="96" t="s">
        <v>357</v>
      </c>
      <c r="E49" s="96">
        <v>3</v>
      </c>
      <c r="F49" s="96" t="s">
        <v>401</v>
      </c>
      <c r="G49" s="12" t="s">
        <v>402</v>
      </c>
      <c r="H49" s="96">
        <v>7</v>
      </c>
    </row>
    <row r="50" spans="1:8" ht="42">
      <c r="A50" s="96" t="s">
        <v>170</v>
      </c>
      <c r="B50" s="96" t="s">
        <v>168</v>
      </c>
      <c r="C50" s="96" t="s">
        <v>169</v>
      </c>
      <c r="D50" s="96" t="s">
        <v>351</v>
      </c>
      <c r="E50" s="96">
        <v>1</v>
      </c>
      <c r="F50" s="96" t="s">
        <v>403</v>
      </c>
      <c r="G50" s="12" t="s">
        <v>404</v>
      </c>
      <c r="H50" s="96">
        <v>5</v>
      </c>
    </row>
    <row r="51" spans="1:8" ht="70">
      <c r="A51" s="96" t="s">
        <v>84</v>
      </c>
      <c r="B51" s="96" t="s">
        <v>48</v>
      </c>
      <c r="C51" s="96" t="s">
        <v>77</v>
      </c>
      <c r="D51" s="96" t="s">
        <v>354</v>
      </c>
      <c r="E51" s="96">
        <v>1</v>
      </c>
      <c r="F51" s="96" t="s">
        <v>405</v>
      </c>
      <c r="G51" s="12" t="s">
        <v>406</v>
      </c>
      <c r="H51" s="96">
        <v>22</v>
      </c>
    </row>
    <row r="52" spans="1:8" ht="126">
      <c r="A52" s="96" t="s">
        <v>89</v>
      </c>
      <c r="B52" s="96" t="s">
        <v>48</v>
      </c>
      <c r="C52" s="96" t="s">
        <v>77</v>
      </c>
      <c r="D52" s="96" t="s">
        <v>354</v>
      </c>
      <c r="E52" s="96">
        <v>3</v>
      </c>
      <c r="F52" s="96" t="s">
        <v>407</v>
      </c>
      <c r="G52" s="12" t="s">
        <v>408</v>
      </c>
      <c r="H52" s="96">
        <v>11</v>
      </c>
    </row>
    <row r="53" spans="1:8" ht="28">
      <c r="A53" s="96" t="s">
        <v>172</v>
      </c>
      <c r="B53" s="96" t="s">
        <v>168</v>
      </c>
      <c r="C53" s="96" t="s">
        <v>169</v>
      </c>
      <c r="D53" s="96" t="s">
        <v>351</v>
      </c>
      <c r="E53" s="96">
        <v>3</v>
      </c>
      <c r="F53" s="96" t="s">
        <v>409</v>
      </c>
      <c r="G53" s="12" t="s">
        <v>410</v>
      </c>
      <c r="H53" s="96">
        <v>5</v>
      </c>
    </row>
    <row r="54" spans="1:8" ht="28">
      <c r="A54" s="96" t="s">
        <v>173</v>
      </c>
      <c r="B54" s="96" t="s">
        <v>168</v>
      </c>
      <c r="C54" s="96" t="s">
        <v>169</v>
      </c>
      <c r="D54" s="96" t="s">
        <v>357</v>
      </c>
      <c r="E54" s="96">
        <v>1</v>
      </c>
      <c r="F54" s="96" t="s">
        <v>411</v>
      </c>
      <c r="G54" s="12" t="s">
        <v>412</v>
      </c>
      <c r="H54" s="96">
        <v>17</v>
      </c>
    </row>
    <row r="55" spans="1:8" ht="126">
      <c r="A55" s="96" t="s">
        <v>78</v>
      </c>
      <c r="B55" s="96" t="s">
        <v>48</v>
      </c>
      <c r="C55" s="96" t="s">
        <v>77</v>
      </c>
      <c r="D55" s="96" t="s">
        <v>360</v>
      </c>
      <c r="E55" s="96">
        <v>1</v>
      </c>
      <c r="F55" s="96" t="s">
        <v>413</v>
      </c>
      <c r="G55" s="12" t="s">
        <v>414</v>
      </c>
      <c r="H55" s="96">
        <v>2</v>
      </c>
    </row>
    <row r="56" spans="1:8" ht="70">
      <c r="A56" s="96" t="s">
        <v>71</v>
      </c>
      <c r="B56" s="96" t="s">
        <v>48</v>
      </c>
      <c r="C56" s="96" t="s">
        <v>66</v>
      </c>
      <c r="D56" s="96" t="s">
        <v>415</v>
      </c>
      <c r="E56" s="96">
        <v>3</v>
      </c>
      <c r="F56" s="96" t="s">
        <v>416</v>
      </c>
      <c r="G56" s="12" t="s">
        <v>417</v>
      </c>
      <c r="H56" s="96">
        <v>4</v>
      </c>
    </row>
    <row r="57" spans="1:8" ht="56">
      <c r="A57" s="96" t="s">
        <v>95</v>
      </c>
      <c r="B57" s="96" t="s">
        <v>91</v>
      </c>
      <c r="C57" s="96" t="s">
        <v>92</v>
      </c>
      <c r="D57" s="96" t="s">
        <v>418</v>
      </c>
      <c r="E57" s="96">
        <v>2</v>
      </c>
      <c r="F57" s="96" t="s">
        <v>419</v>
      </c>
      <c r="G57" s="12" t="s">
        <v>420</v>
      </c>
      <c r="H57" s="96">
        <v>5</v>
      </c>
    </row>
    <row r="58" spans="1:8" ht="28">
      <c r="A58" s="96" t="s">
        <v>73</v>
      </c>
      <c r="B58" s="96" t="s">
        <v>48</v>
      </c>
      <c r="C58" s="96" t="s">
        <v>66</v>
      </c>
      <c r="D58" s="96" t="s">
        <v>421</v>
      </c>
      <c r="E58" s="96">
        <v>1</v>
      </c>
      <c r="F58" s="96" t="s">
        <v>422</v>
      </c>
      <c r="G58" s="12" t="s">
        <v>423</v>
      </c>
      <c r="H58" s="96">
        <v>5</v>
      </c>
    </row>
    <row r="59" spans="1:8" ht="42">
      <c r="A59" s="96" t="s">
        <v>139</v>
      </c>
      <c r="B59" s="96" t="s">
        <v>120</v>
      </c>
      <c r="C59" s="96" t="s">
        <v>137</v>
      </c>
      <c r="D59" s="96" t="s">
        <v>424</v>
      </c>
      <c r="E59" s="96">
        <v>2</v>
      </c>
      <c r="F59" s="96" t="s">
        <v>425</v>
      </c>
      <c r="G59" s="12" t="s">
        <v>426</v>
      </c>
      <c r="H59" s="96">
        <v>5</v>
      </c>
    </row>
    <row r="60" spans="1:8" ht="56">
      <c r="A60" s="96" t="s">
        <v>76</v>
      </c>
      <c r="B60" s="96" t="s">
        <v>48</v>
      </c>
      <c r="C60" s="96" t="s">
        <v>66</v>
      </c>
      <c r="D60" s="96" t="s">
        <v>421</v>
      </c>
      <c r="E60" s="96">
        <v>3</v>
      </c>
      <c r="F60" s="96" t="s">
        <v>427</v>
      </c>
      <c r="G60" s="12" t="s">
        <v>428</v>
      </c>
      <c r="H60" s="96">
        <v>4</v>
      </c>
    </row>
    <row r="61" spans="1:8" ht="126">
      <c r="A61" s="96" t="s">
        <v>99</v>
      </c>
      <c r="B61" s="96" t="s">
        <v>91</v>
      </c>
      <c r="C61" s="96" t="s">
        <v>92</v>
      </c>
      <c r="D61" s="96" t="s">
        <v>429</v>
      </c>
      <c r="E61" s="96">
        <v>2</v>
      </c>
      <c r="F61" s="96" t="s">
        <v>430</v>
      </c>
      <c r="G61" s="12" t="s">
        <v>431</v>
      </c>
      <c r="H61" s="96">
        <v>5</v>
      </c>
    </row>
    <row r="62" spans="1:8" ht="56">
      <c r="A62" s="96" t="s">
        <v>67</v>
      </c>
      <c r="B62" s="96" t="s">
        <v>48</v>
      </c>
      <c r="C62" s="96" t="s">
        <v>66</v>
      </c>
      <c r="D62" s="96" t="s">
        <v>415</v>
      </c>
      <c r="E62" s="96">
        <v>1</v>
      </c>
      <c r="F62" s="96" t="s">
        <v>432</v>
      </c>
      <c r="G62" s="12" t="s">
        <v>433</v>
      </c>
      <c r="H62" s="96">
        <v>5</v>
      </c>
    </row>
    <row r="63" spans="1:8" ht="70">
      <c r="A63" s="96" t="s">
        <v>142</v>
      </c>
      <c r="B63" s="96" t="s">
        <v>120</v>
      </c>
      <c r="C63" s="96" t="s">
        <v>137</v>
      </c>
      <c r="D63" s="96" t="s">
        <v>434</v>
      </c>
      <c r="E63" s="96">
        <v>2</v>
      </c>
      <c r="F63" s="96" t="s">
        <v>435</v>
      </c>
      <c r="G63" s="12" t="s">
        <v>436</v>
      </c>
      <c r="H63" s="96">
        <v>5</v>
      </c>
    </row>
    <row r="64" spans="1:8" ht="56">
      <c r="A64" s="96" t="s">
        <v>55</v>
      </c>
      <c r="B64" s="96" t="s">
        <v>48</v>
      </c>
      <c r="C64" s="96" t="s">
        <v>51</v>
      </c>
      <c r="D64" s="96" t="s">
        <v>437</v>
      </c>
      <c r="E64" s="96">
        <v>1</v>
      </c>
      <c r="F64" s="96" t="s">
        <v>438</v>
      </c>
      <c r="G64" s="12" t="s">
        <v>439</v>
      </c>
      <c r="H64" s="96">
        <v>24</v>
      </c>
    </row>
    <row r="65" spans="1:8" ht="42">
      <c r="A65" s="96" t="s">
        <v>112</v>
      </c>
      <c r="B65" s="96" t="s">
        <v>91</v>
      </c>
      <c r="C65" s="96" t="s">
        <v>440</v>
      </c>
      <c r="D65" s="96" t="s">
        <v>441</v>
      </c>
      <c r="E65" s="96">
        <v>1</v>
      </c>
      <c r="F65" s="96" t="s">
        <v>442</v>
      </c>
      <c r="G65" s="12" t="s">
        <v>443</v>
      </c>
      <c r="H65" s="96">
        <v>5</v>
      </c>
    </row>
    <row r="66" spans="1:8" ht="56">
      <c r="A66" s="96" t="s">
        <v>123</v>
      </c>
      <c r="B66" s="96" t="s">
        <v>120</v>
      </c>
      <c r="C66" s="96" t="s">
        <v>121</v>
      </c>
      <c r="D66" s="96" t="s">
        <v>444</v>
      </c>
      <c r="E66" s="96">
        <v>2</v>
      </c>
      <c r="F66" s="96" t="s">
        <v>445</v>
      </c>
      <c r="G66" s="12" t="s">
        <v>446</v>
      </c>
      <c r="H66" s="96">
        <v>5</v>
      </c>
    </row>
    <row r="67" spans="1:8" ht="56">
      <c r="A67" s="96" t="s">
        <v>119</v>
      </c>
      <c r="B67" s="96" t="s">
        <v>91</v>
      </c>
      <c r="C67" s="96" t="s">
        <v>440</v>
      </c>
      <c r="D67" s="96" t="s">
        <v>447</v>
      </c>
      <c r="E67" s="96">
        <v>3</v>
      </c>
      <c r="F67" s="96" t="s">
        <v>448</v>
      </c>
      <c r="G67" s="12" t="s">
        <v>449</v>
      </c>
      <c r="H67" s="96">
        <v>5</v>
      </c>
    </row>
    <row r="68" spans="1:8" ht="42">
      <c r="A68" s="96" t="s">
        <v>65</v>
      </c>
      <c r="B68" s="96" t="s">
        <v>48</v>
      </c>
      <c r="C68" s="96" t="s">
        <v>51</v>
      </c>
      <c r="D68" s="96" t="s">
        <v>450</v>
      </c>
      <c r="E68" s="96">
        <v>3</v>
      </c>
      <c r="F68" s="96" t="s">
        <v>451</v>
      </c>
      <c r="G68" s="12" t="s">
        <v>452</v>
      </c>
      <c r="H68" s="96">
        <v>13</v>
      </c>
    </row>
    <row r="69" spans="1:8" ht="112">
      <c r="A69" s="96" t="s">
        <v>61</v>
      </c>
      <c r="B69" s="96" t="s">
        <v>48</v>
      </c>
      <c r="C69" s="96" t="s">
        <v>51</v>
      </c>
      <c r="D69" s="96" t="s">
        <v>450</v>
      </c>
      <c r="E69" s="96">
        <v>1</v>
      </c>
      <c r="F69" s="96" t="s">
        <v>453</v>
      </c>
      <c r="G69" s="12" t="s">
        <v>454</v>
      </c>
      <c r="H69" s="96">
        <v>10</v>
      </c>
    </row>
    <row r="70" spans="1:8" ht="70">
      <c r="A70" s="96" t="s">
        <v>116</v>
      </c>
      <c r="B70" s="96" t="s">
        <v>91</v>
      </c>
      <c r="C70" s="96" t="s">
        <v>440</v>
      </c>
      <c r="D70" s="96" t="s">
        <v>447</v>
      </c>
      <c r="E70" s="96">
        <v>1</v>
      </c>
      <c r="F70" s="96" t="s">
        <v>455</v>
      </c>
      <c r="G70" s="12" t="s">
        <v>456</v>
      </c>
      <c r="H70" s="96">
        <v>5</v>
      </c>
    </row>
    <row r="71" spans="1:8" ht="98">
      <c r="A71" s="96" t="s">
        <v>127</v>
      </c>
      <c r="B71" s="96" t="s">
        <v>120</v>
      </c>
      <c r="C71" s="96" t="s">
        <v>121</v>
      </c>
      <c r="D71" s="96" t="s">
        <v>457</v>
      </c>
      <c r="E71" s="96">
        <v>2</v>
      </c>
      <c r="F71" s="96" t="s">
        <v>458</v>
      </c>
      <c r="G71" s="12" t="s">
        <v>459</v>
      </c>
      <c r="H71" s="96">
        <v>5</v>
      </c>
    </row>
    <row r="72" spans="1:8" ht="84">
      <c r="A72" s="96" t="s">
        <v>115</v>
      </c>
      <c r="B72" s="96" t="s">
        <v>91</v>
      </c>
      <c r="C72" s="96" t="s">
        <v>440</v>
      </c>
      <c r="D72" s="96" t="s">
        <v>441</v>
      </c>
      <c r="E72" s="96">
        <v>3</v>
      </c>
      <c r="F72" s="96" t="s">
        <v>460</v>
      </c>
      <c r="G72" s="12" t="s">
        <v>461</v>
      </c>
      <c r="H72" s="96">
        <v>5</v>
      </c>
    </row>
    <row r="73" spans="1:8" ht="112">
      <c r="A73" s="96" t="s">
        <v>59</v>
      </c>
      <c r="B73" s="96" t="s">
        <v>48</v>
      </c>
      <c r="C73" s="96" t="s">
        <v>51</v>
      </c>
      <c r="D73" s="96" t="s">
        <v>437</v>
      </c>
      <c r="E73" s="96">
        <v>3</v>
      </c>
      <c r="F73" s="96" t="s">
        <v>462</v>
      </c>
      <c r="G73" s="12" t="s">
        <v>463</v>
      </c>
      <c r="H73" s="96">
        <v>13</v>
      </c>
    </row>
    <row r="74" spans="1:8" ht="56">
      <c r="A74" s="96" t="s">
        <v>74</v>
      </c>
      <c r="B74" s="96" t="s">
        <v>48</v>
      </c>
      <c r="C74" s="96" t="s">
        <v>66</v>
      </c>
      <c r="D74" s="96" t="s">
        <v>421</v>
      </c>
      <c r="E74" s="96">
        <v>2</v>
      </c>
      <c r="F74" s="96" t="s">
        <v>464</v>
      </c>
      <c r="G74" s="12" t="s">
        <v>465</v>
      </c>
      <c r="H74" s="96">
        <v>3</v>
      </c>
    </row>
    <row r="75" spans="1:8" ht="70">
      <c r="A75" s="96" t="s">
        <v>93</v>
      </c>
      <c r="B75" s="96" t="s">
        <v>91</v>
      </c>
      <c r="C75" s="96" t="s">
        <v>92</v>
      </c>
      <c r="D75" s="96" t="s">
        <v>418</v>
      </c>
      <c r="E75" s="96">
        <v>1</v>
      </c>
      <c r="F75" s="96" t="s">
        <v>466</v>
      </c>
      <c r="G75" s="12" t="s">
        <v>467</v>
      </c>
      <c r="H75" s="96">
        <v>2</v>
      </c>
    </row>
    <row r="76" spans="1:8" ht="84">
      <c r="A76" s="96" t="s">
        <v>138</v>
      </c>
      <c r="B76" s="96" t="s">
        <v>120</v>
      </c>
      <c r="C76" s="96" t="s">
        <v>137</v>
      </c>
      <c r="D76" s="96" t="s">
        <v>424</v>
      </c>
      <c r="E76" s="96">
        <v>1</v>
      </c>
      <c r="F76" s="96" t="s">
        <v>468</v>
      </c>
      <c r="G76" s="12" t="s">
        <v>469</v>
      </c>
      <c r="H76" s="96">
        <v>5</v>
      </c>
    </row>
    <row r="77" spans="1:8" ht="84">
      <c r="A77" s="96" t="s">
        <v>143</v>
      </c>
      <c r="B77" s="96" t="s">
        <v>120</v>
      </c>
      <c r="C77" s="96" t="s">
        <v>137</v>
      </c>
      <c r="D77" s="96" t="s">
        <v>434</v>
      </c>
      <c r="E77" s="96">
        <v>3</v>
      </c>
      <c r="F77" s="96" t="s">
        <v>470</v>
      </c>
      <c r="G77" s="12" t="s">
        <v>471</v>
      </c>
      <c r="H77" s="96">
        <v>5</v>
      </c>
    </row>
    <row r="78" spans="1:8" ht="56">
      <c r="A78" s="96" t="s">
        <v>101</v>
      </c>
      <c r="B78" s="96" t="s">
        <v>91</v>
      </c>
      <c r="C78" s="96" t="s">
        <v>92</v>
      </c>
      <c r="D78" s="96" t="s">
        <v>429</v>
      </c>
      <c r="E78" s="96">
        <v>3</v>
      </c>
      <c r="F78" s="96" t="s">
        <v>472</v>
      </c>
      <c r="G78" s="12" t="s">
        <v>473</v>
      </c>
      <c r="H78" s="96">
        <v>13</v>
      </c>
    </row>
    <row r="79" spans="1:8" ht="70">
      <c r="A79" s="96" t="s">
        <v>69</v>
      </c>
      <c r="B79" s="96" t="s">
        <v>48</v>
      </c>
      <c r="C79" s="96" t="s">
        <v>66</v>
      </c>
      <c r="D79" s="96" t="s">
        <v>415</v>
      </c>
      <c r="E79" s="96">
        <v>2</v>
      </c>
      <c r="F79" s="96" t="s">
        <v>474</v>
      </c>
      <c r="G79" s="12" t="s">
        <v>475</v>
      </c>
      <c r="H79" s="96">
        <v>0</v>
      </c>
    </row>
    <row r="80" spans="1:8" ht="42">
      <c r="A80" s="96" t="s">
        <v>98</v>
      </c>
      <c r="B80" s="96" t="s">
        <v>91</v>
      </c>
      <c r="C80" s="96" t="s">
        <v>92</v>
      </c>
      <c r="D80" s="96" t="s">
        <v>429</v>
      </c>
      <c r="E80" s="96">
        <v>1</v>
      </c>
      <c r="F80" s="96" t="s">
        <v>476</v>
      </c>
      <c r="G80" s="12" t="s">
        <v>477</v>
      </c>
      <c r="H80" s="96">
        <v>2</v>
      </c>
    </row>
    <row r="81" spans="1:8" ht="56">
      <c r="A81" s="96" t="s">
        <v>141</v>
      </c>
      <c r="B81" s="96" t="s">
        <v>120</v>
      </c>
      <c r="C81" s="96" t="s">
        <v>137</v>
      </c>
      <c r="D81" s="96" t="s">
        <v>434</v>
      </c>
      <c r="E81" s="96">
        <v>1</v>
      </c>
      <c r="F81" s="96" t="s">
        <v>478</v>
      </c>
      <c r="G81" s="12" t="s">
        <v>479</v>
      </c>
      <c r="H81" s="96">
        <v>5</v>
      </c>
    </row>
    <row r="82" spans="1:8" ht="56">
      <c r="A82" s="96" t="s">
        <v>140</v>
      </c>
      <c r="B82" s="96" t="s">
        <v>120</v>
      </c>
      <c r="C82" s="96" t="s">
        <v>137</v>
      </c>
      <c r="D82" s="96" t="s">
        <v>424</v>
      </c>
      <c r="E82" s="96">
        <v>3</v>
      </c>
      <c r="F82" s="96" t="s">
        <v>480</v>
      </c>
      <c r="G82" s="12" t="s">
        <v>481</v>
      </c>
      <c r="H82" s="96">
        <v>5</v>
      </c>
    </row>
    <row r="83" spans="1:8" ht="56">
      <c r="A83" s="96" t="s">
        <v>96</v>
      </c>
      <c r="B83" s="96" t="s">
        <v>91</v>
      </c>
      <c r="C83" s="96" t="s">
        <v>92</v>
      </c>
      <c r="D83" s="96" t="s">
        <v>418</v>
      </c>
      <c r="E83" s="96">
        <v>3</v>
      </c>
      <c r="F83" s="96" t="s">
        <v>482</v>
      </c>
      <c r="G83" s="12" t="s">
        <v>483</v>
      </c>
      <c r="H83" s="96">
        <v>6</v>
      </c>
    </row>
    <row r="84" spans="1:8" ht="84">
      <c r="A84" s="96" t="s">
        <v>122</v>
      </c>
      <c r="B84" s="96" t="s">
        <v>120</v>
      </c>
      <c r="C84" s="96" t="s">
        <v>121</v>
      </c>
      <c r="D84" s="96" t="s">
        <v>444</v>
      </c>
      <c r="E84" s="96">
        <v>1</v>
      </c>
      <c r="F84" s="96" t="s">
        <v>484</v>
      </c>
      <c r="G84" s="12" t="s">
        <v>485</v>
      </c>
      <c r="H84" s="96">
        <v>5</v>
      </c>
    </row>
    <row r="85" spans="1:8" ht="70">
      <c r="A85" s="96" t="s">
        <v>113</v>
      </c>
      <c r="B85" s="96" t="s">
        <v>91</v>
      </c>
      <c r="C85" s="96" t="s">
        <v>440</v>
      </c>
      <c r="D85" s="96" t="s">
        <v>441</v>
      </c>
      <c r="E85" s="96">
        <v>2</v>
      </c>
      <c r="F85" s="96" t="s">
        <v>486</v>
      </c>
      <c r="G85" s="12" t="s">
        <v>487</v>
      </c>
      <c r="H85" s="96">
        <v>5</v>
      </c>
    </row>
    <row r="86" spans="1:8" ht="70">
      <c r="A86" s="96" t="s">
        <v>57</v>
      </c>
      <c r="B86" s="96" t="s">
        <v>48</v>
      </c>
      <c r="C86" s="96" t="s">
        <v>51</v>
      </c>
      <c r="D86" s="96" t="s">
        <v>437</v>
      </c>
      <c r="E86" s="96">
        <v>2</v>
      </c>
      <c r="F86" s="96" t="s">
        <v>488</v>
      </c>
      <c r="G86" s="12" t="s">
        <v>489</v>
      </c>
      <c r="H86" s="96">
        <v>21</v>
      </c>
    </row>
    <row r="87" spans="1:8" ht="98">
      <c r="A87" s="96" t="s">
        <v>128</v>
      </c>
      <c r="B87" s="96" t="s">
        <v>120</v>
      </c>
      <c r="C87" s="96" t="s">
        <v>121</v>
      </c>
      <c r="D87" s="96" t="s">
        <v>457</v>
      </c>
      <c r="E87" s="96">
        <v>3</v>
      </c>
      <c r="F87" s="96" t="s">
        <v>490</v>
      </c>
      <c r="G87" s="12" t="s">
        <v>491</v>
      </c>
      <c r="H87" s="96">
        <v>5</v>
      </c>
    </row>
    <row r="88" spans="1:8" ht="56">
      <c r="A88" s="96" t="s">
        <v>126</v>
      </c>
      <c r="B88" s="96" t="s">
        <v>120</v>
      </c>
      <c r="C88" s="96" t="s">
        <v>121</v>
      </c>
      <c r="D88" s="96" t="s">
        <v>457</v>
      </c>
      <c r="E88" s="96">
        <v>1</v>
      </c>
      <c r="F88" s="96" t="s">
        <v>492</v>
      </c>
      <c r="G88" s="12" t="s">
        <v>493</v>
      </c>
      <c r="H88" s="96">
        <v>5</v>
      </c>
    </row>
    <row r="89" spans="1:8" ht="56">
      <c r="A89" s="96" t="s">
        <v>117</v>
      </c>
      <c r="B89" s="96" t="s">
        <v>91</v>
      </c>
      <c r="C89" s="96" t="s">
        <v>440</v>
      </c>
      <c r="D89" s="96" t="s">
        <v>447</v>
      </c>
      <c r="E89" s="96">
        <v>2</v>
      </c>
      <c r="F89" s="96" t="s">
        <v>494</v>
      </c>
      <c r="G89" s="12" t="s">
        <v>495</v>
      </c>
      <c r="H89" s="96">
        <v>20</v>
      </c>
    </row>
    <row r="90" spans="1:8" ht="112">
      <c r="A90" s="96" t="s">
        <v>63</v>
      </c>
      <c r="B90" s="96" t="s">
        <v>48</v>
      </c>
      <c r="C90" s="96" t="s">
        <v>51</v>
      </c>
      <c r="D90" s="96" t="s">
        <v>450</v>
      </c>
      <c r="E90" s="96">
        <v>2</v>
      </c>
      <c r="F90" s="96" t="s">
        <v>496</v>
      </c>
      <c r="G90" s="12" t="s">
        <v>497</v>
      </c>
      <c r="H90" s="96">
        <v>1</v>
      </c>
    </row>
    <row r="91" spans="1:8" ht="70">
      <c r="A91" s="96" t="s">
        <v>125</v>
      </c>
      <c r="B91" s="96" t="s">
        <v>120</v>
      </c>
      <c r="C91" s="96" t="s">
        <v>121</v>
      </c>
      <c r="D91" s="96" t="s">
        <v>444</v>
      </c>
      <c r="E91" s="96">
        <v>3</v>
      </c>
      <c r="F91" s="96" t="s">
        <v>498</v>
      </c>
      <c r="G91" s="12" t="s">
        <v>499</v>
      </c>
      <c r="H91" s="96">
        <v>5</v>
      </c>
    </row>
  </sheetData>
  <autoFilter ref="A1:H91" xr:uid="{00000000-0009-0000-0000-000006000000}"/>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26"/>
  <sheetViews>
    <sheetView zoomScale="110" zoomScaleNormal="110" workbookViewId="0">
      <selection activeCell="A2" sqref="A2"/>
    </sheetView>
  </sheetViews>
  <sheetFormatPr baseColWidth="10" defaultColWidth="8.83203125" defaultRowHeight="13"/>
  <cols>
    <col min="1" max="2" width="11.5" customWidth="1"/>
    <col min="3" max="3" width="33.33203125" customWidth="1"/>
    <col min="4" max="4" width="27.5" customWidth="1"/>
    <col min="5" max="5" width="29.6640625" customWidth="1"/>
    <col min="6" max="1025" width="11.5" customWidth="1"/>
  </cols>
  <sheetData>
    <row r="1" spans="1:9">
      <c r="A1" s="96" t="s">
        <v>500</v>
      </c>
      <c r="B1" s="96" t="s">
        <v>238</v>
      </c>
      <c r="C1" s="96" t="s">
        <v>245</v>
      </c>
      <c r="D1" s="96" t="s">
        <v>252</v>
      </c>
      <c r="E1" s="96" t="s">
        <v>260</v>
      </c>
      <c r="F1" s="96" t="s">
        <v>501</v>
      </c>
      <c r="G1" s="96" t="s">
        <v>502</v>
      </c>
      <c r="H1" s="96" t="s">
        <v>503</v>
      </c>
      <c r="I1" s="96" t="s">
        <v>504</v>
      </c>
    </row>
    <row r="2" spans="1:9">
      <c r="A2" s="96">
        <v>0</v>
      </c>
      <c r="B2" s="96" t="s">
        <v>64</v>
      </c>
      <c r="C2" s="96" t="s">
        <v>70</v>
      </c>
      <c r="D2" s="96" t="s">
        <v>505</v>
      </c>
      <c r="E2" s="96" t="s">
        <v>506</v>
      </c>
      <c r="F2" s="96">
        <v>0</v>
      </c>
      <c r="G2" s="96">
        <v>0.25</v>
      </c>
      <c r="H2" s="96">
        <v>0.5</v>
      </c>
      <c r="I2" s="96">
        <v>1</v>
      </c>
    </row>
    <row r="3" spans="1:9">
      <c r="A3" s="96">
        <v>1</v>
      </c>
      <c r="B3" s="96" t="s">
        <v>64</v>
      </c>
      <c r="C3" s="96" t="s">
        <v>507</v>
      </c>
      <c r="D3" s="96" t="s">
        <v>508</v>
      </c>
      <c r="E3" s="96" t="s">
        <v>509</v>
      </c>
      <c r="F3" s="96">
        <v>0</v>
      </c>
      <c r="G3" s="96">
        <v>0.25</v>
      </c>
      <c r="H3" s="96">
        <v>0.5</v>
      </c>
      <c r="I3" s="96">
        <v>1</v>
      </c>
    </row>
    <row r="4" spans="1:9">
      <c r="A4" s="96">
        <v>2</v>
      </c>
      <c r="B4" s="96" t="s">
        <v>64</v>
      </c>
      <c r="C4" s="96" t="s">
        <v>79</v>
      </c>
      <c r="D4" s="96" t="s">
        <v>161</v>
      </c>
      <c r="E4" s="96" t="s">
        <v>94</v>
      </c>
      <c r="F4" s="96">
        <v>0</v>
      </c>
      <c r="G4" s="96">
        <v>0.25</v>
      </c>
      <c r="H4" s="96">
        <v>0.5</v>
      </c>
      <c r="I4" s="96">
        <v>1</v>
      </c>
    </row>
    <row r="5" spans="1:9">
      <c r="A5" s="96">
        <v>3</v>
      </c>
      <c r="B5" s="96" t="s">
        <v>64</v>
      </c>
      <c r="C5" s="96" t="s">
        <v>510</v>
      </c>
      <c r="D5" s="96" t="s">
        <v>75</v>
      </c>
      <c r="E5" s="96" t="s">
        <v>511</v>
      </c>
      <c r="F5" s="96">
        <v>0</v>
      </c>
      <c r="G5" s="96">
        <v>0.25</v>
      </c>
      <c r="H5" s="96">
        <v>0.5</v>
      </c>
      <c r="I5" s="96">
        <v>1</v>
      </c>
    </row>
    <row r="6" spans="1:9">
      <c r="A6" s="96">
        <v>4</v>
      </c>
      <c r="B6" s="96" t="s">
        <v>64</v>
      </c>
      <c r="C6" s="96" t="s">
        <v>512</v>
      </c>
      <c r="D6" s="96" t="s">
        <v>72</v>
      </c>
      <c r="E6" s="96" t="s">
        <v>513</v>
      </c>
      <c r="F6" s="96">
        <v>0</v>
      </c>
      <c r="G6" s="96">
        <v>0.25</v>
      </c>
      <c r="H6" s="96">
        <v>0.5</v>
      </c>
      <c r="I6" s="96">
        <v>1</v>
      </c>
    </row>
    <row r="7" spans="1:9">
      <c r="A7" s="96">
        <v>5</v>
      </c>
      <c r="B7" s="96" t="s">
        <v>64</v>
      </c>
      <c r="C7" s="96" t="s">
        <v>114</v>
      </c>
      <c r="D7" s="96" t="s">
        <v>124</v>
      </c>
      <c r="E7" s="96" t="s">
        <v>68</v>
      </c>
      <c r="F7" s="96">
        <v>0</v>
      </c>
      <c r="G7" s="96">
        <v>0.25</v>
      </c>
      <c r="H7" s="96">
        <v>0.5</v>
      </c>
      <c r="I7" s="96">
        <v>1</v>
      </c>
    </row>
    <row r="8" spans="1:9">
      <c r="A8" s="96">
        <v>6</v>
      </c>
      <c r="B8" s="96" t="s">
        <v>64</v>
      </c>
      <c r="C8" s="96" t="s">
        <v>97</v>
      </c>
      <c r="D8" s="96" t="s">
        <v>514</v>
      </c>
      <c r="E8" s="96" t="s">
        <v>515</v>
      </c>
      <c r="F8" s="96">
        <v>0</v>
      </c>
      <c r="G8" s="96">
        <v>0.25</v>
      </c>
      <c r="H8" s="96">
        <v>0.5</v>
      </c>
      <c r="I8" s="96">
        <v>1</v>
      </c>
    </row>
    <row r="9" spans="1:9">
      <c r="A9" s="96">
        <v>7</v>
      </c>
      <c r="B9" s="96" t="s">
        <v>64</v>
      </c>
      <c r="C9" s="96" t="s">
        <v>109</v>
      </c>
      <c r="D9" s="96" t="s">
        <v>516</v>
      </c>
      <c r="E9" s="96" t="s">
        <v>105</v>
      </c>
      <c r="F9" s="96">
        <v>0</v>
      </c>
      <c r="G9" s="96">
        <v>0.25</v>
      </c>
      <c r="H9" s="96">
        <v>0.5</v>
      </c>
      <c r="I9" s="96">
        <v>1</v>
      </c>
    </row>
    <row r="10" spans="1:9">
      <c r="A10" s="96">
        <v>8</v>
      </c>
      <c r="B10" s="96" t="s">
        <v>64</v>
      </c>
      <c r="C10" s="96" t="s">
        <v>517</v>
      </c>
      <c r="D10" s="96" t="s">
        <v>81</v>
      </c>
      <c r="E10" s="96" t="s">
        <v>83</v>
      </c>
      <c r="F10" s="96">
        <v>0</v>
      </c>
      <c r="G10" s="96">
        <v>0.25</v>
      </c>
      <c r="H10" s="96">
        <v>0.5</v>
      </c>
      <c r="I10" s="96">
        <v>1</v>
      </c>
    </row>
    <row r="11" spans="1:9">
      <c r="A11" s="96">
        <v>9</v>
      </c>
      <c r="B11" s="96" t="s">
        <v>64</v>
      </c>
      <c r="C11" s="96" t="s">
        <v>518</v>
      </c>
      <c r="D11" s="96" t="s">
        <v>519</v>
      </c>
      <c r="E11" s="96" t="s">
        <v>520</v>
      </c>
      <c r="F11" s="96">
        <v>0</v>
      </c>
      <c r="G11" s="96">
        <v>0.25</v>
      </c>
      <c r="H11" s="96">
        <v>0.5</v>
      </c>
      <c r="I11" s="96">
        <v>1</v>
      </c>
    </row>
    <row r="12" spans="1:9">
      <c r="A12" s="96">
        <v>10</v>
      </c>
      <c r="B12" s="96" t="s">
        <v>64</v>
      </c>
      <c r="C12" s="96" t="s">
        <v>521</v>
      </c>
      <c r="D12" s="96" t="s">
        <v>522</v>
      </c>
      <c r="E12" s="96" t="s">
        <v>62</v>
      </c>
      <c r="F12" s="96">
        <v>0</v>
      </c>
      <c r="G12" s="96">
        <v>0.25</v>
      </c>
      <c r="H12" s="96">
        <v>0.5</v>
      </c>
      <c r="I12" s="96">
        <v>1</v>
      </c>
    </row>
    <row r="13" spans="1:9">
      <c r="A13" s="96">
        <v>11</v>
      </c>
      <c r="B13" s="96" t="s">
        <v>64</v>
      </c>
      <c r="C13" s="96" t="s">
        <v>523</v>
      </c>
      <c r="D13" s="96" t="s">
        <v>90</v>
      </c>
      <c r="E13" s="96" t="s">
        <v>88</v>
      </c>
      <c r="F13" s="96">
        <v>0</v>
      </c>
      <c r="G13" s="96">
        <v>0.25</v>
      </c>
      <c r="H13" s="96">
        <v>0.5</v>
      </c>
      <c r="I13" s="96">
        <v>1</v>
      </c>
    </row>
    <row r="14" spans="1:9">
      <c r="A14" s="96">
        <v>12</v>
      </c>
      <c r="B14" s="96" t="s">
        <v>64</v>
      </c>
      <c r="C14" s="96" t="s">
        <v>180</v>
      </c>
      <c r="D14" s="96" t="s">
        <v>178</v>
      </c>
      <c r="E14" s="96" t="s">
        <v>524</v>
      </c>
      <c r="F14" s="96">
        <v>0</v>
      </c>
      <c r="G14" s="96">
        <v>0.25</v>
      </c>
      <c r="H14" s="96">
        <v>0.5</v>
      </c>
      <c r="I14" s="96">
        <v>1</v>
      </c>
    </row>
    <row r="15" spans="1:9">
      <c r="A15" s="96">
        <v>13</v>
      </c>
      <c r="B15" s="96" t="s">
        <v>64</v>
      </c>
      <c r="C15" s="96" t="s">
        <v>60</v>
      </c>
      <c r="D15" s="96" t="s">
        <v>525</v>
      </c>
      <c r="E15" s="96" t="s">
        <v>526</v>
      </c>
      <c r="F15" s="96">
        <v>0</v>
      </c>
      <c r="G15" s="96">
        <v>0.25</v>
      </c>
      <c r="H15" s="96">
        <v>0.5</v>
      </c>
      <c r="I15" s="96">
        <v>1</v>
      </c>
    </row>
    <row r="16" spans="1:9">
      <c r="A16" s="96">
        <v>14</v>
      </c>
      <c r="B16" s="96" t="s">
        <v>64</v>
      </c>
      <c r="C16" s="96" t="s">
        <v>527</v>
      </c>
      <c r="D16" s="96" t="s">
        <v>528</v>
      </c>
      <c r="E16" s="96" t="s">
        <v>529</v>
      </c>
      <c r="F16" s="96">
        <v>0</v>
      </c>
      <c r="G16" s="96">
        <v>0.25</v>
      </c>
      <c r="H16" s="96">
        <v>0.5</v>
      </c>
      <c r="I16" s="96">
        <v>1</v>
      </c>
    </row>
    <row r="17" spans="1:9">
      <c r="A17" s="96">
        <v>15</v>
      </c>
      <c r="B17" s="96" t="s">
        <v>64</v>
      </c>
      <c r="C17" s="96" t="s">
        <v>530</v>
      </c>
      <c r="D17" s="96" t="s">
        <v>263</v>
      </c>
      <c r="E17" s="96" t="s">
        <v>264</v>
      </c>
      <c r="F17" s="96">
        <v>0</v>
      </c>
      <c r="G17" s="96">
        <v>0.25</v>
      </c>
      <c r="H17" s="96">
        <v>0.5</v>
      </c>
      <c r="I17" s="96">
        <v>1</v>
      </c>
    </row>
    <row r="18" spans="1:9">
      <c r="A18" s="96">
        <v>16</v>
      </c>
      <c r="B18" s="96" t="s">
        <v>64</v>
      </c>
      <c r="C18" s="96" t="s">
        <v>531</v>
      </c>
      <c r="D18" s="96" t="s">
        <v>532</v>
      </c>
      <c r="E18" s="96" t="s">
        <v>533</v>
      </c>
      <c r="F18" s="96">
        <v>0</v>
      </c>
      <c r="G18" s="96">
        <v>0.25</v>
      </c>
      <c r="H18" s="96">
        <v>0.5</v>
      </c>
      <c r="I18" s="96">
        <v>1</v>
      </c>
    </row>
    <row r="19" spans="1:9">
      <c r="A19" s="96">
        <v>17</v>
      </c>
      <c r="B19" s="96" t="s">
        <v>64</v>
      </c>
      <c r="C19" s="96" t="s">
        <v>534</v>
      </c>
      <c r="D19" s="96" t="s">
        <v>535</v>
      </c>
      <c r="E19" s="96" t="s">
        <v>536</v>
      </c>
      <c r="F19" s="96">
        <v>0</v>
      </c>
      <c r="G19" s="96">
        <v>0.25</v>
      </c>
      <c r="H19" s="96">
        <v>0.5</v>
      </c>
      <c r="I19" s="96">
        <v>1</v>
      </c>
    </row>
    <row r="20" spans="1:9">
      <c r="A20" s="96">
        <v>18</v>
      </c>
      <c r="B20" s="96" t="s">
        <v>64</v>
      </c>
      <c r="C20" s="96" t="s">
        <v>537</v>
      </c>
      <c r="D20" s="96" t="s">
        <v>538</v>
      </c>
      <c r="E20" s="96" t="s">
        <v>539</v>
      </c>
      <c r="F20" s="96">
        <v>0</v>
      </c>
      <c r="G20" s="96">
        <v>0.25</v>
      </c>
      <c r="H20" s="96">
        <v>0.5</v>
      </c>
      <c r="I20" s="96">
        <v>1</v>
      </c>
    </row>
    <row r="21" spans="1:9">
      <c r="A21" s="96">
        <v>19</v>
      </c>
      <c r="B21" s="96" t="s">
        <v>64</v>
      </c>
      <c r="C21" s="96" t="s">
        <v>540</v>
      </c>
      <c r="D21" s="96" t="s">
        <v>541</v>
      </c>
      <c r="E21" s="96" t="s">
        <v>542</v>
      </c>
      <c r="F21" s="96">
        <v>0</v>
      </c>
      <c r="G21" s="96">
        <v>0.25</v>
      </c>
      <c r="H21" s="96">
        <v>0.5</v>
      </c>
      <c r="I21" s="96">
        <v>1</v>
      </c>
    </row>
    <row r="22" spans="1:9">
      <c r="A22" s="96">
        <v>20</v>
      </c>
      <c r="B22" s="96" t="s">
        <v>64</v>
      </c>
      <c r="C22" s="96" t="s">
        <v>543</v>
      </c>
      <c r="D22" s="96" t="s">
        <v>118</v>
      </c>
      <c r="E22" s="96" t="s">
        <v>544</v>
      </c>
      <c r="F22" s="96">
        <v>0</v>
      </c>
      <c r="G22" s="96">
        <v>0.25</v>
      </c>
      <c r="H22" s="96">
        <v>0.5</v>
      </c>
      <c r="I22" s="96">
        <v>1</v>
      </c>
    </row>
    <row r="23" spans="1:9">
      <c r="A23" s="96">
        <v>21</v>
      </c>
      <c r="B23" s="96" t="s">
        <v>64</v>
      </c>
      <c r="C23" s="96" t="s">
        <v>545</v>
      </c>
      <c r="D23" s="96" t="s">
        <v>58</v>
      </c>
      <c r="E23" s="96" t="s">
        <v>546</v>
      </c>
      <c r="F23" s="96">
        <v>0</v>
      </c>
      <c r="G23" s="96">
        <v>0.25</v>
      </c>
      <c r="H23" s="96">
        <v>0.5</v>
      </c>
      <c r="I23" s="96">
        <v>1</v>
      </c>
    </row>
    <row r="24" spans="1:9">
      <c r="A24" s="96">
        <v>22</v>
      </c>
      <c r="B24" s="96" t="s">
        <v>64</v>
      </c>
      <c r="C24" s="96" t="s">
        <v>547</v>
      </c>
      <c r="D24" s="96" t="s">
        <v>548</v>
      </c>
      <c r="E24" s="96" t="s">
        <v>85</v>
      </c>
      <c r="F24" s="96">
        <v>0</v>
      </c>
      <c r="G24" s="96">
        <v>0.25</v>
      </c>
      <c r="H24" s="96">
        <v>0.5</v>
      </c>
      <c r="I24" s="96">
        <v>1</v>
      </c>
    </row>
    <row r="25" spans="1:9">
      <c r="A25" s="96">
        <v>23</v>
      </c>
      <c r="B25" s="96" t="s">
        <v>64</v>
      </c>
      <c r="C25" s="96" t="s">
        <v>164</v>
      </c>
      <c r="D25" s="96" t="s">
        <v>549</v>
      </c>
      <c r="E25" s="96" t="s">
        <v>550</v>
      </c>
      <c r="F25" s="96">
        <v>0</v>
      </c>
      <c r="G25" s="96">
        <v>0.25</v>
      </c>
      <c r="H25" s="96">
        <v>0.5</v>
      </c>
      <c r="I25" s="96">
        <v>1</v>
      </c>
    </row>
    <row r="26" spans="1:9">
      <c r="A26" s="96">
        <v>24</v>
      </c>
      <c r="B26" s="96" t="s">
        <v>64</v>
      </c>
      <c r="C26" s="96" t="s">
        <v>551</v>
      </c>
      <c r="D26" s="96" t="s">
        <v>56</v>
      </c>
      <c r="E26" s="96" t="s">
        <v>552</v>
      </c>
      <c r="F26" s="96">
        <v>0</v>
      </c>
      <c r="G26" s="96">
        <v>0.25</v>
      </c>
      <c r="H26" s="96">
        <v>0.5</v>
      </c>
      <c r="I26" s="96">
        <v>1</v>
      </c>
    </row>
  </sheetData>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K1"/>
  <sheetViews>
    <sheetView zoomScale="110" zoomScaleNormal="110" workbookViewId="0"/>
  </sheetViews>
  <sheetFormatPr baseColWidth="10" defaultColWidth="8.83203125" defaultRowHeight="13"/>
  <cols>
    <col min="1" max="1" width="170.33203125" style="388" customWidth="1"/>
    <col min="2" max="1025" width="8.83203125" style="388" customWidth="1"/>
  </cols>
  <sheetData>
    <row r="1" spans="1:1" ht="25">
      <c r="A1" s="389" t="s">
        <v>553</v>
      </c>
    </row>
  </sheetData>
  <sheetProtection sheet="1" objects="1" scenarios="1"/>
  <pageMargins left="0.75" right="0.75" top="1" bottom="1" header="0.51180555555555496" footer="0.51180555555555496"/>
  <pageSetup paperSize="9" firstPageNumber="0"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26</TotalTime>
  <Application>Microsoft Macintosh Excel</Application>
  <DocSecurity>0</DocSecurity>
  <ScaleCrop>false</ScaleCrop>
  <HeadingPairs>
    <vt:vector size="4" baseType="variant">
      <vt:variant>
        <vt:lpstr>Worksheets</vt:lpstr>
      </vt:variant>
      <vt:variant>
        <vt:i4>9</vt:i4>
      </vt:variant>
      <vt:variant>
        <vt:lpstr>Named Ranges</vt:lpstr>
      </vt:variant>
      <vt:variant>
        <vt:i4>55</vt:i4>
      </vt:variant>
    </vt:vector>
  </HeadingPairs>
  <TitlesOfParts>
    <vt:vector size="64" baseType="lpstr">
      <vt:lpstr>Attribution and License</vt:lpstr>
      <vt:lpstr>Interview</vt:lpstr>
      <vt:lpstr>Scorecard</vt:lpstr>
      <vt:lpstr>Roadmap</vt:lpstr>
      <vt:lpstr>Roadmap Chart</vt:lpstr>
      <vt:lpstr>Lookups</vt:lpstr>
      <vt:lpstr>imp-questions</vt:lpstr>
      <vt:lpstr>imp-answers</vt:lpstr>
      <vt:lpstr>Background Images</vt:lpstr>
      <vt:lpstr>AnsA</vt:lpstr>
      <vt:lpstr>AnsATBL</vt:lpstr>
      <vt:lpstr>AnsB</vt:lpstr>
      <vt:lpstr>AnsBTBL</vt:lpstr>
      <vt:lpstr>AnsC</vt:lpstr>
      <vt:lpstr>AnsCTBL</vt:lpstr>
      <vt:lpstr>AnsD</vt:lpstr>
      <vt:lpstr>AnsDTBL</vt:lpstr>
      <vt:lpstr>AnsE</vt:lpstr>
      <vt:lpstr>AnsETBL</vt:lpstr>
      <vt:lpstr>AnsF</vt:lpstr>
      <vt:lpstr>AnsFTBL</vt:lpstr>
      <vt:lpstr>AnsG</vt:lpstr>
      <vt:lpstr>AnsGTBL</vt:lpstr>
      <vt:lpstr>AnsH</vt:lpstr>
      <vt:lpstr>AnsHTBL</vt:lpstr>
      <vt:lpstr>AnsI</vt:lpstr>
      <vt:lpstr>AnsITBL</vt:lpstr>
      <vt:lpstr>AnsJ</vt:lpstr>
      <vt:lpstr>AnsJTBL</vt:lpstr>
      <vt:lpstr>AnsK</vt:lpstr>
      <vt:lpstr>AnsKTBL</vt:lpstr>
      <vt:lpstr>AnsL</vt:lpstr>
      <vt:lpstr>AnsLTBL</vt:lpstr>
      <vt:lpstr>AnsM</vt:lpstr>
      <vt:lpstr>AnsMTBL</vt:lpstr>
      <vt:lpstr>AnsN</vt:lpstr>
      <vt:lpstr>AnsNTBL</vt:lpstr>
      <vt:lpstr>AnsO</vt:lpstr>
      <vt:lpstr>AnsOTBL</vt:lpstr>
      <vt:lpstr>AnsP</vt:lpstr>
      <vt:lpstr>AnsPTBL</vt:lpstr>
      <vt:lpstr>AnsQ</vt:lpstr>
      <vt:lpstr>AnsQTBL</vt:lpstr>
      <vt:lpstr>AnsR</vt:lpstr>
      <vt:lpstr>AnsRTBL</vt:lpstr>
      <vt:lpstr>AnsS</vt:lpstr>
      <vt:lpstr>AnsSTBL</vt:lpstr>
      <vt:lpstr>AnsT</vt:lpstr>
      <vt:lpstr>AnsTTBL</vt:lpstr>
      <vt:lpstr>AnsU</vt:lpstr>
      <vt:lpstr>AnsUTBL</vt:lpstr>
      <vt:lpstr>AnsV</vt:lpstr>
      <vt:lpstr>AnsVTBL</vt:lpstr>
      <vt:lpstr>AnsW</vt:lpstr>
      <vt:lpstr>AnsWTBL</vt:lpstr>
      <vt:lpstr>AnsX</vt:lpstr>
      <vt:lpstr>AnsXTBL</vt:lpstr>
      <vt:lpstr>AnsY</vt:lpstr>
      <vt:lpstr>AnsYTBL</vt:lpstr>
      <vt:lpstr>'Roadmap Chart'!Print_Area</vt:lpstr>
      <vt:lpstr>Scorecard!Z_9846C184_355C_EA4B_8C35_9561D1AEE31C_.wvu.Cols</vt:lpstr>
      <vt:lpstr>'Roadmap Chart'!Z_9846C184_355C_EA4B_8C35_9561D1AEE31C_.wvu.PrintArea</vt:lpstr>
      <vt:lpstr>Interview!Z_9846C184_355C_EA4B_8C35_9561D1AEE31C_.wvu.Rows</vt:lpstr>
      <vt:lpstr>Roadmap!Z_9846C184_355C_EA4B_8C35_9561D1AEE31C_.wvu.Rows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The SAMM project team</dc:creator>
  <dc:description/>
  <cp:lastModifiedBy>Davide Fucci</cp:lastModifiedBy>
  <cp:revision>6</cp:revision>
  <dcterms:created xsi:type="dcterms:W3CDTF">2009-06-08T07:01:59Z</dcterms:created>
  <dcterms:modified xsi:type="dcterms:W3CDTF">2023-03-13T15:52:49Z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