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445" windowHeight="10800" tabRatio="414" activeTab="2"/>
  </bookViews>
  <sheets>
    <sheet name="图表" sheetId="1" r:id="rId1"/>
    <sheet name="统计" sheetId="2" r:id="rId2"/>
    <sheet name="交易" sheetId="3" r:id="rId3"/>
    <sheet name="基金" sheetId="4" r:id="rId4"/>
    <sheet name="待补" sheetId="5" r:id="rId5"/>
    <sheet name="年化" sheetId="6" r:id="rId6"/>
    <sheet name="参数" sheetId="7" state="hidden" r:id="rId7"/>
  </sheets>
  <definedNames>
    <definedName name="_xlnm._FilterDatabase" localSheetId="2" hidden="1">交易!$M$4:$R$226</definedName>
    <definedName name="_xlnm._FilterDatabase" localSheetId="4" hidden="1">待补!$C$4:$J$46</definedName>
    <definedName name="CN">参数!$C$13</definedName>
    <definedName name="CW">参数!$C$14</definedName>
    <definedName name="HT">参数!$D$13</definedName>
    <definedName name="MC">参数!$E$14</definedName>
    <definedName name="MFJE">参数!$D$8</definedName>
    <definedName name="MR">参数!$E$13</definedName>
    <definedName name="TT">参数!$D$14</definedName>
    <definedName name="AG">参数!$F$13</definedName>
    <definedName name="ZQ">参数!$G$14</definedName>
    <definedName name="YY">参数!$F$19</definedName>
    <definedName name="HJ">参数!$F$18</definedName>
    <definedName name="GP">参数!$G$13</definedName>
    <definedName name="sp">参数!$G$15</definedName>
    <definedName name="GG">参数!$F$14</definedName>
    <definedName name="JNZ">参数!$F$16</definedName>
    <definedName name="JWZ">参数!$F$17</definedName>
  </definedNames>
  <calcPr calcId="144525"/>
</workbook>
</file>

<file path=xl/sharedStrings.xml><?xml version="1.0" encoding="utf-8"?>
<sst xmlns="http://schemas.openxmlformats.org/spreadsheetml/2006/main" count="129">
  <si>
    <t>图表</t>
  </si>
  <si>
    <t>概况</t>
  </si>
  <si>
    <t>类别-大类</t>
  </si>
  <si>
    <t>类别-细分</t>
  </si>
  <si>
    <t>市场</t>
  </si>
  <si>
    <t>渠道</t>
  </si>
  <si>
    <t>项目</t>
  </si>
  <si>
    <t>数量</t>
  </si>
  <si>
    <t>金额</t>
  </si>
  <si>
    <t>总份数</t>
  </si>
  <si>
    <t>股票</t>
  </si>
  <si>
    <t>A股</t>
  </si>
  <si>
    <t>场外</t>
  </si>
  <si>
    <t>华泰证券</t>
  </si>
  <si>
    <t>已买入</t>
  </si>
  <si>
    <t>债券</t>
  </si>
  <si>
    <t>港股</t>
  </si>
  <si>
    <t>场内</t>
  </si>
  <si>
    <t>天天基金</t>
  </si>
  <si>
    <t>未买入</t>
  </si>
  <si>
    <t>商品</t>
  </si>
  <si>
    <t>海外股</t>
  </si>
  <si>
    <t>国内债</t>
  </si>
  <si>
    <t>截止到</t>
  </si>
  <si>
    <t>市值</t>
  </si>
  <si>
    <t>海外债</t>
  </si>
  <si>
    <t>黄金</t>
  </si>
  <si>
    <t>年化</t>
  </si>
  <si>
    <t>原油</t>
  </si>
  <si>
    <t>统计</t>
  </si>
  <si>
    <t>基金</t>
  </si>
  <si>
    <t>持仓</t>
  </si>
  <si>
    <t>买入</t>
  </si>
  <si>
    <t>卖出</t>
  </si>
  <si>
    <t>代码</t>
  </si>
  <si>
    <t>名称</t>
  </si>
  <si>
    <t>大类</t>
  </si>
  <si>
    <t>子类</t>
  </si>
  <si>
    <t>份数</t>
  </si>
  <si>
    <t>成本</t>
  </si>
  <si>
    <t>单位成本</t>
  </si>
  <si>
    <t>合计</t>
  </si>
  <si>
    <t>交易</t>
  </si>
  <si>
    <t>日期</t>
  </si>
  <si>
    <t>基金代码</t>
  </si>
  <si>
    <t>基金名称</t>
  </si>
  <si>
    <t>类别</t>
  </si>
  <si>
    <t>操作</t>
  </si>
  <si>
    <t>价格</t>
  </si>
  <si>
    <t>理论金额</t>
  </si>
  <si>
    <t>费用</t>
  </si>
  <si>
    <t>平台</t>
  </si>
  <si>
    <t>买入费率</t>
  </si>
  <si>
    <t>买出费率</t>
  </si>
  <si>
    <t>广发中债7-10年国开债指数A</t>
  </si>
  <si>
    <t>富国中证红利指数增强</t>
  </si>
  <si>
    <t>博时信用债纯债债券A</t>
  </si>
  <si>
    <t>广发环保指数A</t>
  </si>
  <si>
    <t>华宝油气</t>
  </si>
  <si>
    <t>广发养老指数A</t>
  </si>
  <si>
    <t>广发医药</t>
  </si>
  <si>
    <t>500ETF</t>
  </si>
  <si>
    <t>创业板</t>
  </si>
  <si>
    <t>创业ETF</t>
  </si>
  <si>
    <t>华夏海外收益债券A</t>
  </si>
  <si>
    <t>建信中证500指数增强</t>
  </si>
  <si>
    <t>华安黄金易ETF联接A</t>
  </si>
  <si>
    <t>广发纯债债券A</t>
  </si>
  <si>
    <t>50ETF</t>
  </si>
  <si>
    <t>国泰国政食品饮料行业指数分级</t>
  </si>
  <si>
    <t>180ETF</t>
  </si>
  <si>
    <t>南方原油</t>
  </si>
  <si>
    <t>德国30</t>
  </si>
  <si>
    <t>300ETF</t>
  </si>
  <si>
    <t>恒生ETF</t>
  </si>
  <si>
    <t>深100ETF</t>
  </si>
  <si>
    <t>华安石油</t>
  </si>
  <si>
    <t>券商A级</t>
  </si>
  <si>
    <t>广发医药卫生联结A</t>
  </si>
  <si>
    <t>证券ETF</t>
  </si>
  <si>
    <t>中证传媒</t>
  </si>
  <si>
    <t>中证环保</t>
  </si>
  <si>
    <t>富国沪深300指数增强</t>
  </si>
  <si>
    <t>兴全可转债混合</t>
  </si>
  <si>
    <t>广发中证全指金融地产联接A</t>
  </si>
  <si>
    <t>华安德国30(DAX)联接</t>
  </si>
  <si>
    <t>富国中证500</t>
  </si>
  <si>
    <t>中概互联</t>
  </si>
  <si>
    <t>易方达消费行业</t>
  </si>
  <si>
    <t>待补</t>
  </si>
  <si>
    <t>发布日期</t>
  </si>
  <si>
    <t>当时净值</t>
  </si>
  <si>
    <t>标准</t>
  </si>
  <si>
    <t>全指医药指数000991&lt;9450    1.248</t>
  </si>
  <si>
    <t>1.268场内净值</t>
  </si>
  <si>
    <t>环保指数000827&lt;1802</t>
  </si>
  <si>
    <t>国政食品饮料指数399396≈8000</t>
  </si>
  <si>
    <t>价格&lt;2.84</t>
  </si>
  <si>
    <t>价格&lt;0.9260±1%</t>
  </si>
  <si>
    <t>价格&lt;0.8800</t>
  </si>
  <si>
    <t>价格&lt;0.9100</t>
  </si>
  <si>
    <t>价格&lt;2.1700</t>
  </si>
  <si>
    <t>环保指数000827收盘点位≈1580点</t>
  </si>
  <si>
    <t>价格&lt;2.0800</t>
  </si>
  <si>
    <t>价格&lt;3.0400</t>
  </si>
  <si>
    <t>环保指数000827收盘点位≈1600点</t>
  </si>
  <si>
    <t>价格&lt;2.1400</t>
  </si>
  <si>
    <t>价格&lt;1.0420</t>
  </si>
  <si>
    <t>价格&lt;2.1580</t>
  </si>
  <si>
    <t>价格&lt;0.9800</t>
  </si>
  <si>
    <t>价格&lt;1.9650</t>
  </si>
  <si>
    <t>价格&lt;5.5000</t>
  </si>
  <si>
    <t>价格&lt;0.9600</t>
  </si>
  <si>
    <t>价格&lt;1.9800</t>
  </si>
  <si>
    <t>养老产业指数399812收盘点位&lt;7100</t>
  </si>
  <si>
    <t>价格&lt;1.1200</t>
  </si>
  <si>
    <t>价格&lt;1.1105</t>
  </si>
  <si>
    <t>价格&lt;1.1300</t>
  </si>
  <si>
    <t>价格&lt;2.1500</t>
  </si>
  <si>
    <t>价格&lt;1.0400</t>
  </si>
  <si>
    <t>价格&lt;0.7800</t>
  </si>
  <si>
    <t>价格&lt;2.1000</t>
  </si>
  <si>
    <t>价格&lt;1.0650</t>
  </si>
  <si>
    <t xml:space="preserve"> 参数</t>
  </si>
  <si>
    <t>计划</t>
  </si>
  <si>
    <t>值</t>
  </si>
  <si>
    <t>总金额</t>
  </si>
  <si>
    <t>每份金额</t>
  </si>
  <si>
    <t>辅助信息</t>
  </si>
</sst>
</file>

<file path=xl/styles.xml><?xml version="1.0" encoding="utf-8"?>
<styleSheet xmlns="http://schemas.openxmlformats.org/spreadsheetml/2006/main">
  <numFmts count="17">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 numFmtId="176" formatCode="[Red]\+0.00%;[Green]\-0.00%"/>
    <numFmt numFmtId="177" formatCode="0.00_ "/>
    <numFmt numFmtId="178" formatCode="0;[Red]0"/>
    <numFmt numFmtId="179" formatCode="0_ "/>
    <numFmt numFmtId="180" formatCode="000000"/>
    <numFmt numFmtId="181" formatCode="yyyy/mm/dd"/>
    <numFmt numFmtId="182" formatCode="[Red]\+0.00;[Green]\-0.00"/>
    <numFmt numFmtId="183" formatCode="0.0000"/>
    <numFmt numFmtId="184" formatCode="\+0"/>
    <numFmt numFmtId="185" formatCode="0.00_ ;[Red]\-0.00\ "/>
    <numFmt numFmtId="186" formatCode="\-0.00"/>
    <numFmt numFmtId="187" formatCode="\+0.00"/>
    <numFmt numFmtId="188" formatCode="\-0"/>
  </numFmts>
  <fonts count="58">
    <font>
      <sz val="11"/>
      <name val="宋体"/>
      <charset val="134"/>
    </font>
    <font>
      <sz val="12"/>
      <color rgb="FF000000"/>
      <name val="微软雅黑"/>
      <charset val="134"/>
    </font>
    <font>
      <sz val="10"/>
      <color rgb="FF000000"/>
      <name val="微软雅黑"/>
      <charset val="134"/>
    </font>
    <font>
      <sz val="16"/>
      <color rgb="FFF7CAAC"/>
      <name val="微软雅黑"/>
      <charset val="134"/>
    </font>
    <font>
      <sz val="16"/>
      <color rgb="FFFBE4D5"/>
      <name val="微软雅黑"/>
      <charset val="134"/>
    </font>
    <font>
      <sz val="12"/>
      <color rgb="FF0C0C0C"/>
      <name val="微软雅黑"/>
      <charset val="134"/>
    </font>
    <font>
      <sz val="10"/>
      <color rgb="FF0C0C0C"/>
      <name val="微软雅黑"/>
      <charset val="134"/>
    </font>
    <font>
      <sz val="11"/>
      <color rgb="FF0C0C0C"/>
      <name val="微软雅黑"/>
      <charset val="134"/>
    </font>
    <font>
      <sz val="10"/>
      <color rgb="FF7F7F7F"/>
      <name val="微软雅黑"/>
      <charset val="134"/>
    </font>
    <font>
      <sz val="12"/>
      <name val="微软雅黑"/>
      <charset val="134"/>
    </font>
    <font>
      <sz val="10"/>
      <name val="微软雅黑"/>
      <charset val="134"/>
    </font>
    <font>
      <sz val="14"/>
      <color rgb="FFFBE4D5"/>
      <name val="微软雅黑"/>
      <charset val="134"/>
    </font>
    <font>
      <sz val="10"/>
      <color rgb="FFFBE4D5"/>
      <name val="微软雅黑"/>
      <charset val="134"/>
    </font>
    <font>
      <sz val="10"/>
      <color rgb="FF595959"/>
      <name val="微软雅黑"/>
      <charset val="134"/>
    </font>
    <font>
      <sz val="11"/>
      <color rgb="FF000000"/>
      <name val="微软雅黑"/>
      <charset val="134"/>
    </font>
    <font>
      <sz val="13"/>
      <color rgb="FFFFF2CC"/>
      <name val="微软雅黑"/>
      <charset val="134"/>
    </font>
    <font>
      <sz val="10"/>
      <color rgb="FFBED7EE"/>
      <name val="微软雅黑"/>
      <charset val="134"/>
    </font>
    <font>
      <sz val="10"/>
      <color rgb="FFBFBFBF"/>
      <name val="微软雅黑"/>
      <charset val="134"/>
    </font>
    <font>
      <strike/>
      <sz val="10"/>
      <color rgb="FFFEFEFE"/>
      <name val="微软雅黑"/>
      <charset val="134"/>
    </font>
    <font>
      <strike/>
      <sz val="10"/>
      <color rgb="FFBFBFBF"/>
      <name val="微软雅黑"/>
      <charset val="134"/>
    </font>
    <font>
      <strike/>
      <sz val="10"/>
      <color rgb="FFA5A5A5"/>
      <name val="微软雅黑"/>
      <charset val="134"/>
    </font>
    <font>
      <sz val="10"/>
      <color rgb="FF7F5F00"/>
      <name val="微软雅黑"/>
      <charset val="134"/>
    </font>
    <font>
      <sz val="13"/>
      <color rgb="FFFBE4D5"/>
      <name val="微软雅黑"/>
      <charset val="134"/>
    </font>
    <font>
      <sz val="10"/>
      <color rgb="FFF7CAAC"/>
      <name val="微软雅黑"/>
      <charset val="134"/>
    </font>
    <font>
      <sz val="10"/>
      <color rgb="FFBF8F00"/>
      <name val="微软雅黑"/>
      <charset val="134"/>
    </font>
    <font>
      <sz val="10"/>
      <color rgb="FF548235"/>
      <name val="微软雅黑"/>
      <charset val="134"/>
    </font>
    <font>
      <sz val="10"/>
      <color rgb="FF3F3F3F"/>
      <name val="微软雅黑"/>
      <charset val="134"/>
    </font>
    <font>
      <sz val="10"/>
      <color rgb="FFFF0000"/>
      <name val="微软雅黑"/>
      <charset val="134"/>
    </font>
    <font>
      <sz val="11"/>
      <color rgb="FFFF0000"/>
      <name val="宋体"/>
      <charset val="134"/>
    </font>
    <font>
      <sz val="11"/>
      <color rgb="FF7F7F7F"/>
      <name val="微软雅黑"/>
      <charset val="134"/>
    </font>
    <font>
      <sz val="10"/>
      <color rgb="FFC55911"/>
      <name val="微软雅黑"/>
      <charset val="134"/>
    </font>
    <font>
      <sz val="14"/>
      <color rgb="FFF7CAAC"/>
      <name val="微软雅黑"/>
      <charset val="134"/>
    </font>
    <font>
      <sz val="11"/>
      <color rgb="FF3F3F3F"/>
      <name val="微软雅黑"/>
      <charset val="134"/>
    </font>
    <font>
      <sz val="10"/>
      <color rgb="FFA5A5A5"/>
      <name val="微软雅黑"/>
      <charset val="134"/>
    </font>
    <font>
      <sz val="11"/>
      <color rgb="FF595959"/>
      <name val="微软雅黑"/>
      <charset val="134"/>
    </font>
    <font>
      <sz val="14"/>
      <color rgb="FF595959"/>
      <name val="微软雅黑"/>
      <charset val="134"/>
    </font>
    <font>
      <sz val="14"/>
      <color rgb="FF000000"/>
      <name val="微软雅黑"/>
      <charset val="134"/>
    </font>
    <font>
      <u/>
      <sz val="11"/>
      <color rgb="FF0000FF"/>
      <name val="宋体"/>
      <charset val="0"/>
      <scheme val="minor"/>
    </font>
    <font>
      <sz val="11"/>
      <color theme="1"/>
      <name val="宋体"/>
      <charset val="134"/>
      <scheme val="minor"/>
    </font>
    <font>
      <b/>
      <sz val="18"/>
      <color theme="3"/>
      <name val="宋体"/>
      <charset val="134"/>
      <scheme val="minor"/>
    </font>
    <font>
      <sz val="11"/>
      <color theme="0"/>
      <name val="宋体"/>
      <charset val="0"/>
      <scheme val="minor"/>
    </font>
    <font>
      <sz val="11"/>
      <color rgb="FF9C0006"/>
      <name val="宋体"/>
      <charset val="0"/>
      <scheme val="minor"/>
    </font>
    <font>
      <b/>
      <sz val="11"/>
      <color rgb="FF3F3F3F"/>
      <name val="宋体"/>
      <charset val="0"/>
      <scheme val="minor"/>
    </font>
    <font>
      <i/>
      <sz val="11"/>
      <color rgb="FF7F7F7F"/>
      <name val="宋体"/>
      <charset val="0"/>
      <scheme val="minor"/>
    </font>
    <font>
      <sz val="11"/>
      <color theme="1"/>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b/>
      <sz val="15"/>
      <color theme="3"/>
      <name val="宋体"/>
      <charset val="134"/>
      <scheme val="minor"/>
    </font>
    <font>
      <sz val="11"/>
      <color rgb="FF000000"/>
      <name val="宋体"/>
      <charset val="134"/>
    </font>
    <font>
      <sz val="11"/>
      <color rgb="FFFF0000"/>
      <name val="宋体"/>
      <charset val="0"/>
      <scheme val="minor"/>
    </font>
    <font>
      <u/>
      <sz val="11"/>
      <color rgb="FF800080"/>
      <name val="宋体"/>
      <charset val="0"/>
      <scheme val="minor"/>
    </font>
    <font>
      <sz val="11"/>
      <color rgb="FF006100"/>
      <name val="宋体"/>
      <charset val="0"/>
      <scheme val="minor"/>
    </font>
    <font>
      <b/>
      <sz val="11"/>
      <color theme="3"/>
      <name val="宋体"/>
      <charset val="134"/>
      <scheme val="minor"/>
    </font>
    <font>
      <b/>
      <sz val="11"/>
      <color rgb="FFFFFFFF"/>
      <name val="宋体"/>
      <charset val="0"/>
      <scheme val="minor"/>
    </font>
    <font>
      <b/>
      <sz val="13"/>
      <color theme="3"/>
      <name val="宋体"/>
      <charset val="134"/>
      <scheme val="minor"/>
    </font>
    <font>
      <sz val="11"/>
      <color rgb="FFFA7D00"/>
      <name val="宋体"/>
      <charset val="0"/>
      <scheme val="minor"/>
    </font>
    <font>
      <b/>
      <sz val="11"/>
      <color theme="1"/>
      <name val="宋体"/>
      <charset val="0"/>
      <scheme val="minor"/>
    </font>
  </fonts>
  <fills count="37">
    <fill>
      <patternFill patternType="none"/>
    </fill>
    <fill>
      <patternFill patternType="gray125"/>
    </fill>
    <fill>
      <patternFill patternType="solid">
        <fgColor rgb="FF584232"/>
        <bgColor indexed="64"/>
      </patternFill>
    </fill>
    <fill>
      <patternFill patternType="solid">
        <fgColor rgb="FFD8D8D8"/>
        <bgColor indexed="64"/>
      </patternFill>
    </fill>
    <fill>
      <patternFill patternType="solid">
        <fgColor rgb="FFFFFFFF"/>
        <bgColor indexed="64"/>
      </patternFill>
    </fill>
    <fill>
      <patternFill patternType="solid">
        <fgColor rgb="FFBFBFBF"/>
        <bgColor indexed="64"/>
      </patternFill>
    </fill>
    <fill>
      <patternFill patternType="solid">
        <fgColor theme="6"/>
        <bgColor indexed="64"/>
      </patternFill>
    </fill>
    <fill>
      <patternFill patternType="solid">
        <fgColor rgb="FFFFC7CE"/>
        <bgColor indexed="64"/>
      </patternFill>
    </fill>
    <fill>
      <patternFill patternType="solid">
        <fgColor theme="4"/>
        <bgColor indexed="64"/>
      </patternFill>
    </fill>
    <fill>
      <patternFill patternType="solid">
        <fgColor rgb="FFF2F2F2"/>
        <bgColor indexed="64"/>
      </patternFill>
    </fill>
    <fill>
      <patternFill patternType="solid">
        <fgColor theme="6"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theme="5"/>
        <bgColor indexed="64"/>
      </patternFill>
    </fill>
    <fill>
      <patternFill patternType="solid">
        <fgColor rgb="FFA5A5A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right/>
      <top style="hair">
        <color rgb="FFBFBFBF"/>
      </top>
      <bottom style="hair">
        <color rgb="FFBFBFBF"/>
      </bottom>
      <diagonal/>
    </border>
    <border>
      <left/>
      <right/>
      <top/>
      <bottom style="hair">
        <color rgb="FFBFBFBF"/>
      </bottom>
      <diagonal/>
    </border>
    <border>
      <left/>
      <right/>
      <top/>
      <bottom style="hair">
        <color rgb="FFA5A5A5"/>
      </bottom>
      <diagonal/>
    </border>
    <border>
      <left/>
      <right/>
      <top/>
      <bottom style="thin">
        <color rgb="FFBFBFB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38" fillId="0" borderId="0" applyFont="0" applyFill="0" applyBorder="0" applyAlignment="0" applyProtection="0">
      <alignment vertical="center"/>
    </xf>
    <xf numFmtId="0" fontId="44" fillId="12" borderId="0" applyNumberFormat="0" applyBorder="0" applyAlignment="0" applyProtection="0">
      <alignment vertical="center"/>
    </xf>
    <xf numFmtId="0" fontId="46" fillId="13" borderId="6" applyNumberFormat="0" applyAlignment="0" applyProtection="0">
      <alignment vertical="center"/>
    </xf>
    <xf numFmtId="44" fontId="38" fillId="0" borderId="0" applyFont="0" applyFill="0" applyBorder="0" applyAlignment="0" applyProtection="0">
      <alignment vertical="center"/>
    </xf>
    <xf numFmtId="41" fontId="38" fillId="0" borderId="0" applyFont="0" applyFill="0" applyBorder="0" applyAlignment="0" applyProtection="0">
      <alignment vertical="center"/>
    </xf>
    <xf numFmtId="0" fontId="44" fillId="10" borderId="0" applyNumberFormat="0" applyBorder="0" applyAlignment="0" applyProtection="0">
      <alignment vertical="center"/>
    </xf>
    <xf numFmtId="0" fontId="41" fillId="7" borderId="0" applyNumberFormat="0" applyBorder="0" applyAlignment="0" applyProtection="0">
      <alignment vertical="center"/>
    </xf>
    <xf numFmtId="43" fontId="38" fillId="0" borderId="0" applyFont="0" applyFill="0" applyBorder="0" applyAlignment="0" applyProtection="0">
      <alignment vertical="center"/>
    </xf>
    <xf numFmtId="0" fontId="40" fillId="15" borderId="0" applyNumberFormat="0" applyBorder="0" applyAlignment="0" applyProtection="0">
      <alignment vertical="center"/>
    </xf>
    <xf numFmtId="0" fontId="37" fillId="0" borderId="0" applyNumberFormat="0" applyFill="0" applyBorder="0" applyAlignment="0" applyProtection="0">
      <alignment vertical="center"/>
    </xf>
    <xf numFmtId="9" fontId="49" fillId="0" borderId="0">
      <protection locked="0"/>
    </xf>
    <xf numFmtId="0" fontId="51" fillId="0" borderId="0" applyNumberFormat="0" applyFill="0" applyBorder="0" applyAlignment="0" applyProtection="0">
      <alignment vertical="center"/>
    </xf>
    <xf numFmtId="0" fontId="38" fillId="16" borderId="8" applyNumberFormat="0" applyFont="0" applyAlignment="0" applyProtection="0">
      <alignment vertical="center"/>
    </xf>
    <xf numFmtId="0" fontId="40" fillId="19" borderId="0" applyNumberFormat="0" applyBorder="0" applyAlignment="0" applyProtection="0">
      <alignment vertical="center"/>
    </xf>
    <xf numFmtId="0" fontId="53"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8" fillId="0" borderId="7" applyNumberFormat="0" applyFill="0" applyAlignment="0" applyProtection="0">
      <alignment vertical="center"/>
    </xf>
    <xf numFmtId="0" fontId="55" fillId="0" borderId="7" applyNumberFormat="0" applyFill="0" applyAlignment="0" applyProtection="0">
      <alignment vertical="center"/>
    </xf>
    <xf numFmtId="0" fontId="40" fillId="26" borderId="0" applyNumberFormat="0" applyBorder="0" applyAlignment="0" applyProtection="0">
      <alignment vertical="center"/>
    </xf>
    <xf numFmtId="0" fontId="53" fillId="0" borderId="11" applyNumberFormat="0" applyFill="0" applyAlignment="0" applyProtection="0">
      <alignment vertical="center"/>
    </xf>
    <xf numFmtId="0" fontId="40" fillId="18" borderId="0" applyNumberFormat="0" applyBorder="0" applyAlignment="0" applyProtection="0">
      <alignment vertical="center"/>
    </xf>
    <xf numFmtId="0" fontId="42" fillId="9" borderId="5" applyNumberFormat="0" applyAlignment="0" applyProtection="0">
      <alignment vertical="center"/>
    </xf>
    <xf numFmtId="0" fontId="47" fillId="9" borderId="6" applyNumberFormat="0" applyAlignment="0" applyProtection="0">
      <alignment vertical="center"/>
    </xf>
    <xf numFmtId="0" fontId="54" fillId="23" borderId="9" applyNumberFormat="0" applyAlignment="0" applyProtection="0">
      <alignment vertical="center"/>
    </xf>
    <xf numFmtId="0" fontId="44" fillId="27" borderId="0" applyNumberFormat="0" applyBorder="0" applyAlignment="0" applyProtection="0">
      <alignment vertical="center"/>
    </xf>
    <xf numFmtId="0" fontId="40" fillId="22" borderId="0" applyNumberFormat="0" applyBorder="0" applyAlignment="0" applyProtection="0">
      <alignment vertical="center"/>
    </xf>
    <xf numFmtId="0" fontId="56" fillId="0" borderId="10" applyNumberFormat="0" applyFill="0" applyAlignment="0" applyProtection="0">
      <alignment vertical="center"/>
    </xf>
    <xf numFmtId="0" fontId="57" fillId="0" borderId="12" applyNumberFormat="0" applyFill="0" applyAlignment="0" applyProtection="0">
      <alignment vertical="center"/>
    </xf>
    <xf numFmtId="0" fontId="52" fillId="17" borderId="0" applyNumberFormat="0" applyBorder="0" applyAlignment="0" applyProtection="0">
      <alignment vertical="center"/>
    </xf>
    <xf numFmtId="0" fontId="45" fillId="11" borderId="0" applyNumberFormat="0" applyBorder="0" applyAlignment="0" applyProtection="0">
      <alignment vertical="center"/>
    </xf>
    <xf numFmtId="0" fontId="44" fillId="30" borderId="0" applyNumberFormat="0" applyBorder="0" applyAlignment="0" applyProtection="0">
      <alignment vertical="center"/>
    </xf>
    <xf numFmtId="0" fontId="40" fillId="8" borderId="0" applyNumberFormat="0" applyBorder="0" applyAlignment="0" applyProtection="0">
      <alignment vertical="center"/>
    </xf>
    <xf numFmtId="0" fontId="44" fillId="14" borderId="0" applyNumberFormat="0" applyBorder="0" applyAlignment="0" applyProtection="0">
      <alignment vertical="center"/>
    </xf>
    <xf numFmtId="0" fontId="44" fillId="21" borderId="0" applyNumberFormat="0" applyBorder="0" applyAlignment="0" applyProtection="0">
      <alignment vertical="center"/>
    </xf>
    <xf numFmtId="0" fontId="44" fillId="25" borderId="0" applyNumberFormat="0" applyBorder="0" applyAlignment="0" applyProtection="0">
      <alignment vertical="center"/>
    </xf>
    <xf numFmtId="0" fontId="44" fillId="29" borderId="0" applyNumberFormat="0" applyBorder="0" applyAlignment="0" applyProtection="0">
      <alignment vertical="center"/>
    </xf>
    <xf numFmtId="0" fontId="40" fillId="6" borderId="0" applyNumberFormat="0" applyBorder="0" applyAlignment="0" applyProtection="0">
      <alignment vertical="center"/>
    </xf>
    <xf numFmtId="0" fontId="40" fillId="20" borderId="0" applyNumberFormat="0" applyBorder="0" applyAlignment="0" applyProtection="0">
      <alignment vertical="center"/>
    </xf>
    <xf numFmtId="0" fontId="44" fillId="24" borderId="0" applyNumberFormat="0" applyBorder="0" applyAlignment="0" applyProtection="0">
      <alignment vertical="center"/>
    </xf>
    <xf numFmtId="0" fontId="44" fillId="28" borderId="0" applyNumberFormat="0" applyBorder="0" applyAlignment="0" applyProtection="0">
      <alignment vertical="center"/>
    </xf>
    <xf numFmtId="0" fontId="40" fillId="31" borderId="0" applyNumberFormat="0" applyBorder="0" applyAlignment="0" applyProtection="0">
      <alignment vertical="center"/>
    </xf>
    <xf numFmtId="0" fontId="44" fillId="32" borderId="0" applyNumberFormat="0" applyBorder="0" applyAlignment="0" applyProtection="0">
      <alignment vertical="center"/>
    </xf>
    <xf numFmtId="0" fontId="40" fillId="33" borderId="0" applyNumberFormat="0" applyBorder="0" applyAlignment="0" applyProtection="0">
      <alignment vertical="center"/>
    </xf>
    <xf numFmtId="0" fontId="40" fillId="34" borderId="0" applyNumberFormat="0" applyBorder="0" applyAlignment="0" applyProtection="0">
      <alignment vertical="center"/>
    </xf>
    <xf numFmtId="0" fontId="44" fillId="35" borderId="0" applyNumberFormat="0" applyBorder="0" applyAlignment="0" applyProtection="0">
      <alignment vertical="center"/>
    </xf>
    <xf numFmtId="0" fontId="40" fillId="36" borderId="0" applyNumberFormat="0" applyBorder="0" applyAlignment="0" applyProtection="0">
      <alignment vertical="center"/>
    </xf>
  </cellStyleXfs>
  <cellXfs count="206">
    <xf numFmtId="0" fontId="0" fillId="0" borderId="0" xfId="0">
      <alignment vertical="center"/>
    </xf>
    <xf numFmtId="0" fontId="0" fillId="2" borderId="0" xfId="0" applyFill="1">
      <alignment vertical="center"/>
    </xf>
    <xf numFmtId="0" fontId="1" fillId="2" borderId="0" xfId="0" applyFont="1" applyFill="1">
      <alignment vertical="center"/>
    </xf>
    <xf numFmtId="0" fontId="0" fillId="2" borderId="0" xfId="0" applyFill="1" applyBorder="1">
      <alignment vertical="center"/>
    </xf>
    <xf numFmtId="0" fontId="2" fillId="2" borderId="0" xfId="0" applyFont="1" applyFill="1">
      <alignment vertical="center"/>
    </xf>
    <xf numFmtId="0" fontId="2" fillId="3" borderId="0" xfId="0" applyFont="1" applyFill="1">
      <alignment vertical="center"/>
    </xf>
    <xf numFmtId="0" fontId="2" fillId="4" borderId="0" xfId="0" applyFont="1" applyFill="1">
      <alignment vertical="center"/>
    </xf>
    <xf numFmtId="0" fontId="0" fillId="3" borderId="0" xfId="0" applyFill="1">
      <alignment vertical="center"/>
    </xf>
    <xf numFmtId="0" fontId="1" fillId="3" borderId="0" xfId="0" applyFont="1" applyFill="1">
      <alignment vertical="center"/>
    </xf>
    <xf numFmtId="0" fontId="3" fillId="2" borderId="0" xfId="0" applyFont="1" applyFill="1">
      <alignment vertical="center"/>
    </xf>
    <xf numFmtId="181" fontId="4" fillId="2" borderId="0" xfId="0" applyNumberFormat="1" applyFont="1" applyFill="1" applyAlignment="1">
      <alignment horizontal="left" vertical="center"/>
    </xf>
    <xf numFmtId="0" fontId="5" fillId="2" borderId="0" xfId="0" applyFont="1" applyFill="1" applyAlignment="1">
      <alignment horizontal="left" vertical="center"/>
    </xf>
    <xf numFmtId="0" fontId="0" fillId="3" borderId="0" xfId="0" applyFill="1" applyBorder="1">
      <alignment vertical="center"/>
    </xf>
    <xf numFmtId="0" fontId="6" fillId="3" borderId="0" xfId="0" applyNumberFormat="1" applyFont="1" applyFill="1" applyBorder="1" applyAlignment="1">
      <alignment horizontal="center" vertical="center"/>
    </xf>
    <xf numFmtId="179" fontId="6" fillId="3" borderId="0" xfId="0" applyNumberFormat="1" applyFont="1" applyFill="1" applyBorder="1">
      <alignment vertical="center"/>
    </xf>
    <xf numFmtId="0" fontId="2" fillId="4" borderId="0" xfId="0" applyFont="1" applyFill="1" applyBorder="1">
      <alignment vertical="center"/>
    </xf>
    <xf numFmtId="0" fontId="7" fillId="4" borderId="0" xfId="0" applyNumberFormat="1" applyFont="1" applyFill="1" applyBorder="1">
      <alignment vertical="center"/>
    </xf>
    <xf numFmtId="0" fontId="6" fillId="4" borderId="0" xfId="0" applyNumberFormat="1" applyFont="1" applyFill="1" applyBorder="1" applyAlignment="1">
      <alignment horizontal="center" vertical="center"/>
    </xf>
    <xf numFmtId="0" fontId="6" fillId="4" borderId="0" xfId="0" applyNumberFormat="1" applyFont="1" applyFill="1" applyAlignment="1">
      <alignment horizontal="center" vertical="center"/>
    </xf>
    <xf numFmtId="0" fontId="8" fillId="4" borderId="0" xfId="0" applyNumberFormat="1" applyFont="1" applyFill="1" applyBorder="1" applyAlignment="1">
      <alignment horizontal="left" vertical="center"/>
    </xf>
    <xf numFmtId="0" fontId="6" fillId="4" borderId="0" xfId="0" applyNumberFormat="1" applyFont="1" applyFill="1" applyBorder="1" applyAlignment="1">
      <alignment horizontal="left" vertical="center"/>
    </xf>
    <xf numFmtId="179" fontId="6" fillId="4" borderId="0" xfId="0" applyNumberFormat="1" applyFont="1" applyFill="1" applyBorder="1" applyAlignment="1">
      <alignment horizontal="left" vertical="center"/>
    </xf>
    <xf numFmtId="0" fontId="6" fillId="4" borderId="0" xfId="0" applyNumberFormat="1" applyFont="1" applyFill="1" applyAlignment="1">
      <alignment horizontal="left" vertical="center"/>
    </xf>
    <xf numFmtId="0" fontId="7" fillId="4" borderId="0" xfId="0" applyNumberFormat="1" applyFont="1" applyFill="1" applyBorder="1" applyAlignment="1">
      <alignment horizontal="left" vertical="center"/>
    </xf>
    <xf numFmtId="0" fontId="7" fillId="4" borderId="0" xfId="0" applyNumberFormat="1" applyFont="1" applyFill="1" applyAlignment="1">
      <alignment horizontal="left" vertical="center"/>
    </xf>
    <xf numFmtId="0" fontId="8" fillId="4" borderId="0" xfId="0" applyNumberFormat="1" applyFont="1" applyFill="1" applyAlignment="1">
      <alignment horizontal="left" vertical="center"/>
    </xf>
    <xf numFmtId="0" fontId="2" fillId="4" borderId="0" xfId="0" applyFont="1" applyFill="1" applyAlignment="1">
      <alignment horizontal="left" vertical="center"/>
    </xf>
    <xf numFmtId="0" fontId="9" fillId="3" borderId="0" xfId="0" applyFont="1" applyFill="1">
      <alignment vertical="center"/>
    </xf>
    <xf numFmtId="0" fontId="9" fillId="2" borderId="0" xfId="0" applyFont="1" applyFill="1">
      <alignment vertical="center"/>
    </xf>
    <xf numFmtId="181" fontId="9" fillId="2" borderId="0" xfId="0" applyNumberFormat="1" applyFont="1" applyFill="1" applyAlignment="1">
      <alignment horizontal="center" vertical="center"/>
    </xf>
    <xf numFmtId="0" fontId="9" fillId="2" borderId="0" xfId="0" applyFont="1" applyFill="1" applyAlignment="1">
      <alignment horizontal="center" vertical="center"/>
    </xf>
    <xf numFmtId="0" fontId="2" fillId="5" borderId="0" xfId="0" applyFont="1" applyFill="1">
      <alignment vertical="center"/>
    </xf>
    <xf numFmtId="0" fontId="2" fillId="5" borderId="0" xfId="0" applyFont="1" applyFill="1" applyBorder="1">
      <alignment vertical="center"/>
    </xf>
    <xf numFmtId="0" fontId="10" fillId="5" borderId="0" xfId="0" applyFont="1" applyFill="1" applyBorder="1" applyAlignment="1"/>
    <xf numFmtId="0" fontId="10" fillId="5" borderId="0" xfId="0" applyFont="1" applyFill="1" applyAlignment="1"/>
    <xf numFmtId="0" fontId="10" fillId="5" borderId="0" xfId="0" applyFont="1" applyFill="1">
      <alignment vertical="center"/>
    </xf>
    <xf numFmtId="0" fontId="10" fillId="0" borderId="0" xfId="0" applyFont="1">
      <alignment vertical="center"/>
    </xf>
    <xf numFmtId="0" fontId="2" fillId="5" borderId="0" xfId="0" applyFont="1" applyFill="1" applyAlignment="1">
      <alignment horizontal="left" vertical="center"/>
    </xf>
    <xf numFmtId="181" fontId="11" fillId="2" borderId="0" xfId="0" applyNumberFormat="1" applyFont="1" applyFill="1" applyAlignment="1">
      <alignment horizontal="left" vertical="center"/>
    </xf>
    <xf numFmtId="181" fontId="12" fillId="2" borderId="0" xfId="0" applyNumberFormat="1" applyFont="1" applyFill="1" applyAlignment="1">
      <alignment horizontal="left" vertical="center"/>
    </xf>
    <xf numFmtId="179" fontId="10" fillId="2" borderId="0" xfId="0" applyNumberFormat="1" applyFont="1" applyFill="1" applyAlignment="1">
      <alignment horizontal="left" vertical="center"/>
    </xf>
    <xf numFmtId="0" fontId="10" fillId="5" borderId="0" xfId="0" applyFont="1" applyFill="1" applyAlignment="1">
      <alignment horizontal="left" vertical="center"/>
    </xf>
    <xf numFmtId="181" fontId="12" fillId="5" borderId="0" xfId="0" applyNumberFormat="1" applyFont="1" applyFill="1" applyAlignment="1">
      <alignment horizontal="left" vertical="center"/>
    </xf>
    <xf numFmtId="181" fontId="12" fillId="5" borderId="0" xfId="0" applyNumberFormat="1" applyFont="1" applyFill="1" applyBorder="1" applyAlignment="1">
      <alignment horizontal="left" vertical="center"/>
    </xf>
    <xf numFmtId="179" fontId="10" fillId="5" borderId="0" xfId="0" applyNumberFormat="1" applyFont="1" applyFill="1" applyBorder="1" applyAlignment="1">
      <alignment horizontal="left" vertical="center"/>
    </xf>
    <xf numFmtId="0" fontId="10" fillId="5" borderId="0" xfId="0" applyFont="1" applyFill="1" applyBorder="1" applyAlignment="1">
      <alignment horizontal="left" vertical="center"/>
    </xf>
    <xf numFmtId="0" fontId="10" fillId="0" borderId="0" xfId="0" applyFont="1" applyBorder="1" applyAlignment="1"/>
    <xf numFmtId="181" fontId="13" fillId="4" borderId="0" xfId="0" applyNumberFormat="1" applyFont="1" applyFill="1" applyBorder="1" applyAlignment="1" applyProtection="1">
      <alignment horizontal="left"/>
      <protection locked="0"/>
    </xf>
    <xf numFmtId="177" fontId="10" fillId="0" borderId="0" xfId="0" applyNumberFormat="1" applyFont="1" applyBorder="1" applyAlignment="1"/>
    <xf numFmtId="0" fontId="10" fillId="0" borderId="0" xfId="0" applyFont="1" applyAlignment="1"/>
    <xf numFmtId="0" fontId="2" fillId="5" borderId="0" xfId="0" applyFont="1" applyFill="1" applyAlignment="1">
      <alignment horizontal="right" vertical="center"/>
    </xf>
    <xf numFmtId="0" fontId="10" fillId="5" borderId="0" xfId="0" applyFont="1" applyFill="1" applyAlignment="1">
      <alignment horizontal="right" vertical="center"/>
    </xf>
    <xf numFmtId="0" fontId="10" fillId="5" borderId="0" xfId="0" applyFont="1" applyFill="1" applyBorder="1" applyAlignment="1">
      <alignment horizontal="right" vertical="center"/>
    </xf>
    <xf numFmtId="181" fontId="10" fillId="5" borderId="0" xfId="0" applyNumberFormat="1" applyFont="1" applyFill="1" applyAlignment="1">
      <alignment horizontal="center" vertical="center"/>
    </xf>
    <xf numFmtId="0" fontId="10" fillId="5" borderId="0" xfId="0" applyFont="1" applyFill="1" applyBorder="1">
      <alignment vertical="center"/>
    </xf>
    <xf numFmtId="181" fontId="10" fillId="5" borderId="0" xfId="0" applyNumberFormat="1" applyFont="1" applyFill="1" applyBorder="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xf>
    <xf numFmtId="177" fontId="10" fillId="0" borderId="0" xfId="0" applyNumberFormat="1" applyFont="1" applyAlignment="1"/>
    <xf numFmtId="10" fontId="1" fillId="0" borderId="0" xfId="11" applyNumberFormat="1" applyFont="1" applyAlignment="1">
      <alignment horizontal="right"/>
      <protection locked="0"/>
    </xf>
    <xf numFmtId="0" fontId="2" fillId="5" borderId="0" xfId="0" applyFont="1" applyFill="1" applyAlignment="1"/>
    <xf numFmtId="0" fontId="14" fillId="2" borderId="0" xfId="0" applyFont="1" applyFill="1" applyAlignment="1"/>
    <xf numFmtId="0" fontId="2" fillId="4" borderId="0" xfId="0" applyFont="1" applyFill="1" applyAlignment="1"/>
    <xf numFmtId="181" fontId="2" fillId="4" borderId="0" xfId="0" applyNumberFormat="1" applyFont="1" applyFill="1" applyAlignment="1">
      <alignment horizontal="left"/>
    </xf>
    <xf numFmtId="179" fontId="2" fillId="4" borderId="0" xfId="0" applyNumberFormat="1" applyFont="1" applyFill="1" applyAlignment="1">
      <alignment horizontal="left"/>
    </xf>
    <xf numFmtId="0" fontId="2" fillId="4" borderId="0" xfId="0" applyFont="1" applyFill="1" applyAlignment="1">
      <alignment horizontal="left"/>
    </xf>
    <xf numFmtId="0" fontId="2" fillId="2" borderId="0" xfId="0" applyFont="1" applyFill="1" applyAlignment="1"/>
    <xf numFmtId="181" fontId="2" fillId="5" borderId="0" xfId="0" applyNumberFormat="1" applyFont="1" applyFill="1" applyAlignment="1">
      <alignment horizontal="left"/>
    </xf>
    <xf numFmtId="179" fontId="2" fillId="5" borderId="0" xfId="0" applyNumberFormat="1" applyFont="1" applyFill="1" applyAlignment="1">
      <alignment horizontal="left"/>
    </xf>
    <xf numFmtId="0" fontId="2" fillId="5" borderId="0" xfId="0" applyFont="1" applyFill="1" applyAlignment="1">
      <alignment horizontal="left"/>
    </xf>
    <xf numFmtId="0" fontId="1" fillId="2" borderId="0" xfId="0" applyFont="1" applyFill="1" applyAlignment="1"/>
    <xf numFmtId="181" fontId="15" fillId="2" borderId="0" xfId="0" applyNumberFormat="1" applyFont="1" applyFill="1" applyAlignment="1">
      <alignment horizontal="left" vertical="center"/>
    </xf>
    <xf numFmtId="179" fontId="16" fillId="2" borderId="0" xfId="0" applyNumberFormat="1" applyFont="1" applyFill="1" applyAlignment="1">
      <alignment horizontal="left"/>
    </xf>
    <xf numFmtId="0" fontId="16" fillId="2" borderId="0" xfId="0" applyFont="1" applyFill="1" applyAlignment="1">
      <alignment horizontal="left"/>
    </xf>
    <xf numFmtId="181" fontId="17" fillId="4" borderId="0" xfId="0" applyNumberFormat="1" applyFont="1" applyFill="1" applyBorder="1" applyAlignment="1">
      <alignment horizontal="left"/>
    </xf>
    <xf numFmtId="179" fontId="17" fillId="4" borderId="0" xfId="0" applyNumberFormat="1" applyFont="1" applyFill="1" applyBorder="1" applyAlignment="1">
      <alignment horizontal="left"/>
    </xf>
    <xf numFmtId="0" fontId="17" fillId="4" borderId="0" xfId="0" applyFont="1" applyFill="1" applyBorder="1" applyAlignment="1">
      <alignment horizontal="left"/>
    </xf>
    <xf numFmtId="181" fontId="18" fillId="4" borderId="0" xfId="0" applyNumberFormat="1" applyFont="1" applyFill="1" applyBorder="1" applyAlignment="1">
      <alignment horizontal="left"/>
    </xf>
    <xf numFmtId="180" fontId="18" fillId="4" borderId="0" xfId="0" applyNumberFormat="1" applyFont="1" applyFill="1" applyBorder="1" applyAlignment="1">
      <alignment horizontal="left"/>
    </xf>
    <xf numFmtId="0" fontId="18" fillId="4" borderId="0" xfId="0" applyFont="1" applyFill="1" applyBorder="1" applyAlignment="1">
      <alignment horizontal="left"/>
    </xf>
    <xf numFmtId="0" fontId="18" fillId="4" borderId="0" xfId="0" applyNumberFormat="1" applyFont="1" applyFill="1" applyBorder="1" applyAlignment="1">
      <alignment horizontal="left"/>
    </xf>
    <xf numFmtId="183" fontId="18" fillId="4" borderId="0" xfId="0" applyNumberFormat="1" applyFont="1" applyFill="1" applyBorder="1" applyAlignment="1">
      <alignment horizontal="left"/>
    </xf>
    <xf numFmtId="181" fontId="19" fillId="4" borderId="0" xfId="0" applyNumberFormat="1" applyFont="1" applyFill="1" applyBorder="1" applyAlignment="1">
      <alignment horizontal="left"/>
    </xf>
    <xf numFmtId="180" fontId="19" fillId="4" borderId="0" xfId="0" applyNumberFormat="1" applyFont="1" applyFill="1" applyBorder="1" applyAlignment="1">
      <alignment horizontal="left"/>
    </xf>
    <xf numFmtId="0" fontId="19" fillId="4" borderId="0" xfId="0" applyFont="1" applyFill="1" applyBorder="1" applyAlignment="1">
      <alignment horizontal="left"/>
    </xf>
    <xf numFmtId="0" fontId="19" fillId="4" borderId="0" xfId="0" applyNumberFormat="1" applyFont="1" applyFill="1" applyBorder="1" applyAlignment="1">
      <alignment horizontal="left"/>
    </xf>
    <xf numFmtId="183" fontId="19" fillId="4" borderId="0" xfId="0" applyNumberFormat="1" applyFont="1" applyFill="1" applyBorder="1" applyAlignment="1">
      <alignment horizontal="left"/>
    </xf>
    <xf numFmtId="181" fontId="20" fillId="4" borderId="0" xfId="0" applyNumberFormat="1" applyFont="1" applyFill="1" applyBorder="1" applyAlignment="1">
      <alignment horizontal="left"/>
    </xf>
    <xf numFmtId="180" fontId="20" fillId="4" borderId="0" xfId="0" applyNumberFormat="1" applyFont="1" applyFill="1" applyBorder="1" applyAlignment="1">
      <alignment horizontal="left"/>
    </xf>
    <xf numFmtId="0" fontId="20" fillId="4" borderId="0" xfId="0" applyFont="1" applyFill="1" applyBorder="1" applyAlignment="1">
      <alignment horizontal="left"/>
    </xf>
    <xf numFmtId="183" fontId="20" fillId="4" borderId="0" xfId="0" applyNumberFormat="1" applyFont="1" applyFill="1" applyBorder="1" applyAlignment="1">
      <alignment horizontal="left"/>
    </xf>
    <xf numFmtId="181" fontId="21" fillId="4" borderId="0" xfId="0" applyNumberFormat="1" applyFont="1" applyFill="1" applyBorder="1" applyAlignment="1">
      <alignment horizontal="left"/>
    </xf>
    <xf numFmtId="180" fontId="21" fillId="4" borderId="0" xfId="0" applyNumberFormat="1" applyFont="1" applyFill="1" applyBorder="1" applyAlignment="1">
      <alignment horizontal="left"/>
    </xf>
    <xf numFmtId="0" fontId="21" fillId="4" borderId="0" xfId="0" applyFont="1" applyFill="1" applyBorder="1" applyAlignment="1">
      <alignment horizontal="left"/>
    </xf>
    <xf numFmtId="0" fontId="21" fillId="4" borderId="0" xfId="0" applyNumberFormat="1" applyFont="1" applyFill="1" applyBorder="1" applyAlignment="1">
      <alignment horizontal="left"/>
    </xf>
    <xf numFmtId="183" fontId="21" fillId="4" borderId="0" xfId="0" applyNumberFormat="1" applyFont="1" applyFill="1" applyBorder="1" applyAlignment="1">
      <alignment horizontal="left"/>
    </xf>
    <xf numFmtId="180" fontId="17" fillId="4" borderId="0" xfId="0" applyNumberFormat="1" applyFont="1" applyFill="1" applyBorder="1" applyAlignment="1">
      <alignment horizontal="left"/>
    </xf>
    <xf numFmtId="183" fontId="17" fillId="4" borderId="0" xfId="0" applyNumberFormat="1" applyFont="1" applyFill="1" applyBorder="1" applyAlignment="1">
      <alignment horizontal="left"/>
    </xf>
    <xf numFmtId="0" fontId="16" fillId="2" borderId="0" xfId="0" applyFont="1" applyFill="1" applyAlignment="1"/>
    <xf numFmtId="0" fontId="17" fillId="4" borderId="0" xfId="0" applyFont="1" applyFill="1" applyBorder="1" applyAlignment="1">
      <alignment horizontal="center"/>
    </xf>
    <xf numFmtId="178" fontId="18" fillId="4" borderId="0" xfId="0" applyNumberFormat="1" applyFont="1" applyFill="1" applyBorder="1" applyAlignment="1">
      <alignment horizontal="center"/>
    </xf>
    <xf numFmtId="0" fontId="18" fillId="4" borderId="1" xfId="0" applyNumberFormat="1" applyFont="1" applyFill="1" applyBorder="1" applyAlignment="1" applyProtection="1">
      <alignment horizontal="center"/>
      <protection locked="0"/>
    </xf>
    <xf numFmtId="178" fontId="19" fillId="4" borderId="0" xfId="0" applyNumberFormat="1" applyFont="1" applyFill="1" applyBorder="1" applyAlignment="1">
      <alignment horizontal="center"/>
    </xf>
    <xf numFmtId="0" fontId="19" fillId="4" borderId="1" xfId="0" applyNumberFormat="1" applyFont="1" applyFill="1" applyBorder="1" applyAlignment="1" applyProtection="1">
      <alignment horizontal="center"/>
      <protection locked="0"/>
    </xf>
    <xf numFmtId="178" fontId="20" fillId="4" borderId="0" xfId="0" applyNumberFormat="1" applyFont="1" applyFill="1" applyBorder="1" applyAlignment="1">
      <alignment horizontal="center"/>
    </xf>
    <xf numFmtId="0" fontId="20" fillId="4" borderId="1" xfId="0" applyNumberFormat="1" applyFont="1" applyFill="1" applyBorder="1" applyAlignment="1" applyProtection="1">
      <alignment horizontal="center"/>
      <protection locked="0"/>
    </xf>
    <xf numFmtId="178" fontId="21" fillId="4" borderId="0" xfId="0" applyNumberFormat="1" applyFont="1" applyFill="1" applyBorder="1" applyAlignment="1">
      <alignment horizontal="center"/>
    </xf>
    <xf numFmtId="0" fontId="21" fillId="4" borderId="1" xfId="0" applyNumberFormat="1" applyFont="1" applyFill="1" applyBorder="1" applyAlignment="1" applyProtection="1">
      <alignment horizontal="center"/>
      <protection locked="0"/>
    </xf>
    <xf numFmtId="178" fontId="17" fillId="4" borderId="0" xfId="0" applyNumberFormat="1" applyFont="1" applyFill="1" applyBorder="1" applyAlignment="1">
      <alignment horizontal="center"/>
    </xf>
    <xf numFmtId="0" fontId="17" fillId="4" borderId="1" xfId="0" applyNumberFormat="1" applyFont="1" applyFill="1" applyBorder="1" applyAlignment="1" applyProtection="1">
      <alignment horizontal="center"/>
      <protection locked="0"/>
    </xf>
    <xf numFmtId="0" fontId="19" fillId="4" borderId="2" xfId="0" applyNumberFormat="1" applyFont="1" applyFill="1" applyBorder="1" applyAlignment="1" applyProtection="1">
      <alignment horizontal="center"/>
      <protection locked="0"/>
    </xf>
    <xf numFmtId="0" fontId="2" fillId="4" borderId="0" xfId="0" applyFont="1" applyFill="1" applyAlignment="1">
      <alignment horizontal="right" vertical="center"/>
    </xf>
    <xf numFmtId="0" fontId="1" fillId="5" borderId="0" xfId="0" applyFont="1" applyFill="1">
      <alignment vertical="center"/>
    </xf>
    <xf numFmtId="181" fontId="22" fillId="2" borderId="0" xfId="0" applyNumberFormat="1" applyFont="1" applyFill="1" applyAlignment="1">
      <alignment horizontal="left" vertical="center"/>
    </xf>
    <xf numFmtId="179" fontId="9" fillId="2" borderId="0" xfId="0" applyNumberFormat="1" applyFont="1" applyFill="1" applyAlignment="1">
      <alignment horizontal="left" vertical="center"/>
    </xf>
    <xf numFmtId="0" fontId="9" fillId="2" borderId="0" xfId="0" applyFont="1" applyFill="1" applyAlignment="1">
      <alignment horizontal="left" vertical="center"/>
    </xf>
    <xf numFmtId="181" fontId="22" fillId="5" borderId="0" xfId="0" applyNumberFormat="1" applyFont="1" applyFill="1" applyAlignment="1">
      <alignment horizontal="left" vertical="center"/>
    </xf>
    <xf numFmtId="179" fontId="9" fillId="5" borderId="0" xfId="0" applyNumberFormat="1" applyFont="1" applyFill="1" applyAlignment="1">
      <alignment horizontal="left" vertical="center"/>
    </xf>
    <xf numFmtId="0" fontId="9" fillId="5" borderId="0" xfId="0" applyFont="1" applyFill="1" applyAlignment="1">
      <alignment horizontal="left" vertical="center"/>
    </xf>
    <xf numFmtId="0" fontId="17" fillId="4" borderId="0" xfId="0" applyNumberFormat="1" applyFont="1" applyFill="1" applyBorder="1" applyAlignment="1">
      <alignment horizontal="left"/>
    </xf>
    <xf numFmtId="180" fontId="13" fillId="4" borderId="2" xfId="0" applyNumberFormat="1" applyFont="1" applyFill="1" applyBorder="1" applyAlignment="1" applyProtection="1">
      <alignment horizontal="left"/>
      <protection locked="0"/>
    </xf>
    <xf numFmtId="180" fontId="13" fillId="4" borderId="0" xfId="0" applyNumberFormat="1" applyFont="1" applyFill="1" applyBorder="1" applyAlignment="1">
      <alignment horizontal="left"/>
    </xf>
    <xf numFmtId="0" fontId="13" fillId="4" borderId="2" xfId="0" applyFont="1" applyFill="1" applyBorder="1" applyAlignment="1" applyProtection="1">
      <alignment horizontal="left"/>
      <protection locked="0"/>
    </xf>
    <xf numFmtId="180" fontId="13" fillId="4" borderId="1" xfId="0" applyNumberFormat="1" applyFont="1" applyFill="1" applyBorder="1" applyAlignment="1" applyProtection="1">
      <alignment horizontal="left"/>
      <protection locked="0"/>
    </xf>
    <xf numFmtId="0" fontId="13" fillId="4" borderId="1" xfId="0" applyFont="1" applyFill="1" applyBorder="1" applyAlignment="1" applyProtection="1">
      <alignment horizontal="left"/>
      <protection locked="0"/>
    </xf>
    <xf numFmtId="0" fontId="9" fillId="2" borderId="0" xfId="0" applyFont="1" applyFill="1" applyAlignment="1">
      <alignment horizontal="right" vertical="center"/>
    </xf>
    <xf numFmtId="0" fontId="9" fillId="5" borderId="0" xfId="0" applyFont="1" applyFill="1" applyAlignment="1">
      <alignment horizontal="right" vertical="center"/>
    </xf>
    <xf numFmtId="0" fontId="17" fillId="4" borderId="0" xfId="0" applyNumberFormat="1" applyFont="1" applyFill="1" applyBorder="1" applyAlignment="1">
      <alignment horizontal="right"/>
    </xf>
    <xf numFmtId="10" fontId="13" fillId="4" borderId="2" xfId="11" applyNumberFormat="1" applyFont="1" applyFill="1" applyBorder="1" applyAlignment="1">
      <alignment horizontal="right"/>
      <protection locked="0"/>
    </xf>
    <xf numFmtId="10" fontId="13" fillId="4" borderId="1" xfId="11" applyNumberFormat="1" applyFont="1" applyFill="1" applyBorder="1" applyAlignment="1">
      <alignment horizontal="right"/>
      <protection locked="0"/>
    </xf>
    <xf numFmtId="0" fontId="9" fillId="5" borderId="0" xfId="0" applyFont="1" applyFill="1">
      <alignment vertical="center"/>
    </xf>
    <xf numFmtId="0" fontId="0" fillId="2" borderId="0" xfId="0" applyFill="1" applyAlignment="1"/>
    <xf numFmtId="0" fontId="14" fillId="2" borderId="0" xfId="0" applyFont="1" applyFill="1">
      <alignment vertical="center"/>
    </xf>
    <xf numFmtId="181" fontId="2" fillId="4" borderId="0" xfId="0" applyNumberFormat="1" applyFont="1" applyFill="1" applyAlignment="1">
      <alignment horizontal="left" vertical="center"/>
    </xf>
    <xf numFmtId="179" fontId="2" fillId="4" borderId="0" xfId="0" applyNumberFormat="1" applyFont="1" applyFill="1" applyAlignment="1">
      <alignment horizontal="left" vertical="center"/>
    </xf>
    <xf numFmtId="181" fontId="2" fillId="5" borderId="0" xfId="0" applyNumberFormat="1" applyFont="1" applyFill="1" applyAlignment="1">
      <alignment horizontal="left" vertical="center"/>
    </xf>
    <xf numFmtId="179" fontId="2" fillId="5" borderId="0" xfId="0" applyNumberFormat="1" applyFont="1" applyFill="1" applyAlignment="1">
      <alignment horizontal="left" vertical="center"/>
    </xf>
    <xf numFmtId="0" fontId="23" fillId="2" borderId="0" xfId="0" applyFont="1" applyFill="1">
      <alignment vertical="center"/>
    </xf>
    <xf numFmtId="181" fontId="4" fillId="2" borderId="0" xfId="0" applyNumberFormat="1" applyFont="1" applyFill="1">
      <alignment vertical="center"/>
    </xf>
    <xf numFmtId="181" fontId="13" fillId="4" borderId="2" xfId="0" applyNumberFormat="1" applyFont="1" applyFill="1" applyBorder="1" applyAlignment="1" applyProtection="1">
      <alignment horizontal="left"/>
      <protection locked="0"/>
    </xf>
    <xf numFmtId="181" fontId="13" fillId="4" borderId="0" xfId="0" applyNumberFormat="1" applyFont="1" applyFill="1" applyBorder="1" applyAlignment="1">
      <alignment horizontal="left"/>
    </xf>
    <xf numFmtId="181" fontId="24" fillId="4" borderId="0" xfId="0" applyNumberFormat="1" applyFont="1" applyFill="1" applyBorder="1" applyAlignment="1">
      <alignment horizontal="left"/>
    </xf>
    <xf numFmtId="0" fontId="17" fillId="4" borderId="0" xfId="0" applyNumberFormat="1" applyFont="1" applyFill="1" applyBorder="1" applyAlignment="1">
      <alignment horizontal="center"/>
    </xf>
    <xf numFmtId="0" fontId="17" fillId="4" borderId="0" xfId="0" applyFont="1" applyFill="1" applyBorder="1" applyAlignment="1">
      <alignment horizontal="right"/>
    </xf>
    <xf numFmtId="0" fontId="24" fillId="4" borderId="2" xfId="0" applyFont="1" applyFill="1" applyBorder="1" applyAlignment="1" applyProtection="1">
      <alignment horizontal="center"/>
      <protection locked="0"/>
    </xf>
    <xf numFmtId="178" fontId="24" fillId="4" borderId="2" xfId="0" applyNumberFormat="1" applyFont="1" applyFill="1" applyBorder="1" applyAlignment="1" applyProtection="1">
      <alignment horizontal="right"/>
      <protection locked="0"/>
    </xf>
    <xf numFmtId="183" fontId="13" fillId="4" borderId="2" xfId="0" applyNumberFormat="1" applyFont="1" applyFill="1" applyBorder="1" applyAlignment="1" applyProtection="1">
      <alignment horizontal="right"/>
      <protection locked="0"/>
    </xf>
    <xf numFmtId="182" fontId="8" fillId="4" borderId="0" xfId="0" applyNumberFormat="1" applyFont="1" applyFill="1" applyBorder="1" applyAlignment="1">
      <alignment horizontal="right"/>
    </xf>
    <xf numFmtId="185" fontId="8" fillId="4" borderId="0" xfId="0" applyNumberFormat="1" applyFont="1" applyFill="1" applyBorder="1" applyAlignment="1">
      <alignment horizontal="right"/>
    </xf>
    <xf numFmtId="0" fontId="17" fillId="4" borderId="0" xfId="0" applyFont="1" applyFill="1" applyBorder="1" applyAlignment="1" applyProtection="1">
      <alignment horizontal="right"/>
      <protection locked="0"/>
    </xf>
    <xf numFmtId="177" fontId="23" fillId="2" borderId="0" xfId="0" applyNumberFormat="1" applyFont="1" applyFill="1" applyAlignment="1">
      <alignment horizontal="right" vertical="center"/>
    </xf>
    <xf numFmtId="44" fontId="17" fillId="4" borderId="0" xfId="0" applyNumberFormat="1" applyFont="1" applyFill="1" applyBorder="1" applyAlignment="1">
      <alignment horizontal="right"/>
    </xf>
    <xf numFmtId="186" fontId="25" fillId="4" borderId="0" xfId="0" applyNumberFormat="1" applyFont="1" applyFill="1" applyBorder="1" applyAlignment="1">
      <alignment horizontal="right"/>
    </xf>
    <xf numFmtId="0" fontId="26" fillId="4" borderId="0" xfId="0" applyFont="1" applyFill="1" applyBorder="1" applyAlignment="1" applyProtection="1">
      <alignment horizontal="right"/>
      <protection locked="0"/>
    </xf>
    <xf numFmtId="181" fontId="27" fillId="4" borderId="2" xfId="0" applyNumberFormat="1" applyFont="1" applyFill="1" applyBorder="1" applyAlignment="1" applyProtection="1">
      <alignment horizontal="left"/>
      <protection locked="0"/>
    </xf>
    <xf numFmtId="181" fontId="27" fillId="4" borderId="0" xfId="0" applyNumberFormat="1" applyFont="1" applyFill="1" applyBorder="1" applyAlignment="1">
      <alignment horizontal="left"/>
    </xf>
    <xf numFmtId="180" fontId="27" fillId="4" borderId="2" xfId="0" applyNumberFormat="1" applyFont="1" applyFill="1" applyBorder="1" applyAlignment="1" applyProtection="1">
      <alignment horizontal="left"/>
      <protection locked="0"/>
    </xf>
    <xf numFmtId="0" fontId="0" fillId="0" borderId="0" xfId="0" applyAlignment="1"/>
    <xf numFmtId="0" fontId="28" fillId="0" borderId="0" xfId="0" applyFont="1">
      <alignment vertical="center"/>
    </xf>
    <xf numFmtId="0" fontId="2" fillId="4" borderId="0" xfId="0" applyFont="1" applyFill="1" applyAlignment="1">
      <alignment horizontal="right"/>
    </xf>
    <xf numFmtId="0" fontId="17" fillId="4" borderId="3" xfId="0" applyNumberFormat="1" applyFont="1" applyFill="1" applyBorder="1" applyAlignment="1">
      <alignment horizontal="left"/>
    </xf>
    <xf numFmtId="0" fontId="17" fillId="4" borderId="3" xfId="0" applyNumberFormat="1" applyFont="1" applyFill="1" applyBorder="1" applyAlignment="1"/>
    <xf numFmtId="0" fontId="17" fillId="4" borderId="0" xfId="0" applyNumberFormat="1" applyFont="1" applyFill="1" applyBorder="1" applyAlignment="1">
      <alignment horizontal="left" vertical="top"/>
    </xf>
    <xf numFmtId="0" fontId="29" fillId="4" borderId="4" xfId="0" applyNumberFormat="1" applyFont="1" applyFill="1" applyBorder="1" applyAlignment="1">
      <alignment horizontal="left" vertical="center"/>
    </xf>
    <xf numFmtId="184" fontId="30" fillId="4" borderId="4" xfId="0" applyNumberFormat="1" applyFont="1" applyFill="1" applyBorder="1" applyAlignment="1">
      <alignment horizontal="right" vertical="center"/>
    </xf>
    <xf numFmtId="0" fontId="27" fillId="5" borderId="0" xfId="0" applyFont="1" applyFill="1" applyAlignment="1"/>
    <xf numFmtId="0" fontId="27" fillId="4" borderId="0" xfId="0" applyFont="1" applyFill="1" applyAlignment="1"/>
    <xf numFmtId="180" fontId="27" fillId="4" borderId="0" xfId="0" applyNumberFormat="1" applyFont="1" applyFill="1" applyBorder="1" applyAlignment="1">
      <alignment horizontal="left"/>
    </xf>
    <xf numFmtId="0" fontId="27" fillId="4" borderId="0" xfId="0" applyFont="1" applyFill="1" applyBorder="1" applyAlignment="1">
      <alignment horizontal="left"/>
    </xf>
    <xf numFmtId="0" fontId="10" fillId="2" borderId="0" xfId="0" applyFont="1" applyFill="1" applyAlignment="1">
      <alignment horizontal="right" vertical="center"/>
    </xf>
    <xf numFmtId="0" fontId="17" fillId="4" borderId="3" xfId="0" applyNumberFormat="1" applyFont="1" applyFill="1" applyBorder="1" applyAlignment="1">
      <alignment horizontal="right"/>
    </xf>
    <xf numFmtId="0" fontId="17" fillId="4" borderId="0" xfId="0" applyNumberFormat="1" applyFont="1" applyFill="1" applyBorder="1" applyAlignment="1"/>
    <xf numFmtId="0" fontId="17" fillId="4" borderId="0" xfId="0" applyNumberFormat="1" applyFont="1" applyFill="1" applyBorder="1" applyAlignment="1">
      <alignment horizontal="right" vertical="top"/>
    </xf>
    <xf numFmtId="0" fontId="17" fillId="4" borderId="4" xfId="0" applyFont="1" applyFill="1" applyBorder="1" applyAlignment="1">
      <alignment horizontal="left" vertical="center"/>
    </xf>
    <xf numFmtId="187" fontId="30" fillId="4" borderId="4" xfId="0" applyNumberFormat="1" applyFont="1" applyFill="1" applyBorder="1" applyAlignment="1">
      <alignment horizontal="right" vertical="center"/>
    </xf>
    <xf numFmtId="186" fontId="25" fillId="4" borderId="4" xfId="0" applyNumberFormat="1" applyFont="1" applyFill="1" applyBorder="1" applyAlignment="1">
      <alignment horizontal="right" vertical="center"/>
    </xf>
    <xf numFmtId="184" fontId="30" fillId="4" borderId="0" xfId="0" applyNumberFormat="1" applyFont="1" applyFill="1" applyBorder="1" applyAlignment="1">
      <alignment horizontal="right"/>
    </xf>
    <xf numFmtId="187" fontId="30" fillId="4" borderId="0" xfId="0" applyNumberFormat="1" applyFont="1" applyFill="1" applyBorder="1" applyAlignment="1">
      <alignment horizontal="right"/>
    </xf>
    <xf numFmtId="183" fontId="26" fillId="4" borderId="0" xfId="0" applyNumberFormat="1" applyFont="1" applyFill="1" applyBorder="1" applyAlignment="1">
      <alignment horizontal="right"/>
    </xf>
    <xf numFmtId="182" fontId="25" fillId="4" borderId="0" xfId="0" applyNumberFormat="1" applyFont="1" applyFill="1" applyBorder="1" applyAlignment="1">
      <alignment horizontal="right"/>
    </xf>
    <xf numFmtId="184" fontId="27" fillId="4" borderId="0" xfId="0" applyNumberFormat="1" applyFont="1" applyFill="1" applyBorder="1" applyAlignment="1">
      <alignment horizontal="right"/>
    </xf>
    <xf numFmtId="187" fontId="27" fillId="4" borderId="0" xfId="0" applyNumberFormat="1" applyFont="1" applyFill="1" applyBorder="1" applyAlignment="1">
      <alignment horizontal="right"/>
    </xf>
    <xf numFmtId="186" fontId="27" fillId="4" borderId="0" xfId="0" applyNumberFormat="1" applyFont="1" applyFill="1" applyBorder="1" applyAlignment="1">
      <alignment horizontal="right"/>
    </xf>
    <xf numFmtId="183" fontId="27" fillId="4" borderId="0" xfId="0" applyNumberFormat="1" applyFont="1" applyFill="1" applyBorder="1" applyAlignment="1">
      <alignment horizontal="right"/>
    </xf>
    <xf numFmtId="188" fontId="25" fillId="4" borderId="4" xfId="0" applyNumberFormat="1" applyFont="1" applyFill="1" applyBorder="1" applyAlignment="1">
      <alignment horizontal="right" vertical="center"/>
    </xf>
    <xf numFmtId="188" fontId="25" fillId="4" borderId="0" xfId="0" applyNumberFormat="1" applyFont="1" applyFill="1" applyBorder="1" applyAlignment="1">
      <alignment horizontal="right"/>
    </xf>
    <xf numFmtId="188" fontId="27" fillId="4" borderId="0" xfId="0" applyNumberFormat="1" applyFont="1" applyFill="1" applyBorder="1" applyAlignment="1">
      <alignment horizontal="right"/>
    </xf>
    <xf numFmtId="0" fontId="27" fillId="2" borderId="0" xfId="0" applyFont="1" applyFill="1" applyAlignment="1"/>
    <xf numFmtId="0" fontId="13" fillId="2" borderId="0" xfId="0" applyFont="1" applyFill="1" applyAlignment="1"/>
    <xf numFmtId="0" fontId="13" fillId="3" borderId="0" xfId="0" applyFont="1" applyFill="1" applyAlignment="1"/>
    <xf numFmtId="0" fontId="13" fillId="4" borderId="0" xfId="0" applyFont="1" applyFill="1" applyAlignment="1"/>
    <xf numFmtId="0" fontId="13" fillId="4" borderId="0" xfId="0" applyFont="1" applyFill="1" applyAlignment="1">
      <alignment horizontal="right"/>
    </xf>
    <xf numFmtId="0" fontId="13" fillId="3" borderId="0" xfId="0" applyFont="1" applyFill="1" applyAlignment="1">
      <alignment horizontal="right"/>
    </xf>
    <xf numFmtId="181" fontId="31" fillId="2" borderId="0" xfId="0" applyNumberFormat="1" applyFont="1" applyFill="1" applyAlignment="1">
      <alignment horizontal="left" vertical="center"/>
    </xf>
    <xf numFmtId="0" fontId="13" fillId="2" borderId="0" xfId="0" applyFont="1" applyFill="1" applyAlignment="1">
      <alignment horizontal="right"/>
    </xf>
    <xf numFmtId="0" fontId="32" fillId="4" borderId="0" xfId="0" applyFont="1" applyFill="1" applyAlignment="1"/>
    <xf numFmtId="0" fontId="33" fillId="4" borderId="0" xfId="0" applyFont="1" applyFill="1" applyAlignment="1"/>
    <xf numFmtId="0" fontId="33" fillId="4" borderId="0" xfId="0" applyFont="1" applyFill="1" applyAlignment="1">
      <alignment horizontal="right"/>
    </xf>
    <xf numFmtId="0" fontId="13" fillId="4" borderId="0" xfId="0" applyNumberFormat="1" applyFont="1" applyFill="1" applyBorder="1" applyAlignment="1">
      <alignment horizontal="left"/>
    </xf>
    <xf numFmtId="1" fontId="8" fillId="4" borderId="0" xfId="0" applyNumberFormat="1" applyFont="1" applyFill="1" applyAlignment="1">
      <alignment horizontal="right"/>
    </xf>
    <xf numFmtId="2" fontId="8" fillId="4" borderId="0" xfId="0" applyNumberFormat="1" applyFont="1" applyFill="1" applyBorder="1" applyAlignment="1">
      <alignment horizontal="right"/>
    </xf>
    <xf numFmtId="2" fontId="8" fillId="4" borderId="0" xfId="0" applyNumberFormat="1" applyFont="1" applyFill="1" applyAlignment="1">
      <alignment horizontal="right"/>
    </xf>
    <xf numFmtId="14" fontId="34" fillId="4" borderId="0" xfId="0" applyNumberFormat="1" applyFont="1" applyFill="1" applyAlignment="1">
      <alignment horizontal="left"/>
    </xf>
    <xf numFmtId="182" fontId="35" fillId="4" borderId="2" xfId="0" applyNumberFormat="1" applyFont="1" applyFill="1" applyBorder="1" applyAlignment="1" applyProtection="1">
      <alignment horizontal="right"/>
      <protection locked="0"/>
    </xf>
    <xf numFmtId="176" fontId="36" fillId="0" borderId="0" xfId="11" applyNumberFormat="1" applyFont="1" applyFill="1" applyAlignment="1" applyProtection="1"/>
    <xf numFmtId="0" fontId="26" fillId="4" borderId="0" xfId="0" applyFont="1"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6">
    <dxf>
      <font>
        <sz val="11"/>
        <color rgb="FF548235"/>
      </font>
    </dxf>
    <dxf>
      <font>
        <sz val="11"/>
        <color rgb="FFC55911"/>
      </font>
    </dxf>
    <dxf>
      <font>
        <sz val="11"/>
        <color rgb="FF548235"/>
      </font>
      <numFmt numFmtId="188" formatCode="\-0"/>
    </dxf>
    <dxf>
      <font>
        <sz val="11"/>
        <color rgb="FFC55911"/>
      </font>
      <numFmt numFmtId="184" formatCode="\+0"/>
    </dxf>
    <dxf>
      <font>
        <sz val="11"/>
        <color rgb="FFC55911"/>
      </font>
      <numFmt numFmtId="187" formatCode="\+0.00"/>
    </dxf>
    <dxf>
      <font>
        <sz val="11"/>
        <color rgb="FF548235"/>
      </font>
      <numFmt numFmtId="186" formatCode="\-0.0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176935986574"/>
          <c:y val="0.176558305994632"/>
          <c:w val="0.603931910812755"/>
          <c:h val="0.751267521622428"/>
        </c:manualLayout>
      </c:layout>
      <c:pieChart>
        <c:varyColors val="1"/>
        <c:ser>
          <c:idx val="0"/>
          <c:order val="0"/>
          <c:explosion val="0"/>
          <c:dPt>
            <c:idx val="0"/>
            <c:bubble3D val="0"/>
            <c:explosion val="0"/>
            <c:spPr>
              <a:solidFill>
                <a:srgbClr val="599BD5"/>
              </a:solidFill>
              <a:ln w="28575">
                <a:noFill/>
              </a:ln>
            </c:spPr>
          </c:dPt>
          <c:dPt>
            <c:idx val="1"/>
            <c:bubble3D val="0"/>
            <c:explosion val="0"/>
            <c:spPr>
              <a:solidFill>
                <a:srgbClr val="ED7931"/>
              </a:solidFill>
              <a:ln w="28575">
                <a:noFill/>
              </a:ln>
            </c:spPr>
          </c:dPt>
          <c:dPt>
            <c:idx val="2"/>
            <c:bubble3D val="0"/>
            <c:explosion val="0"/>
            <c:spPr>
              <a:solidFill>
                <a:srgbClr val="A5A5A5"/>
              </a:solidFill>
              <a:ln w="28575">
                <a:noFill/>
              </a:ln>
            </c:spPr>
          </c:dPt>
          <c:dLbls>
            <c:dLbl>
              <c:idx val="0"/>
              <c:layout/>
              <c:numFmt formatCode="General" sourceLinked="1"/>
              <c:spPr>
                <a:noFill/>
                <a:ln w="9525">
                  <a:noFill/>
                </a:ln>
                <a:effectLst/>
              </c:spPr>
              <c:txPr>
                <a:bodyPr rot="0" spcFirstLastPara="0" vertOverflow="ellipsis" vert="horz" wrap="square" lIns="38100" tIns="19050" rIns="38100" bIns="19050" anchor="ctr" anchorCtr="1"/>
                <a:lstStyle/>
                <a:p>
                  <a:pPr>
                    <a:defRPr lang="zh-CN" sz="1000" b="1" i="0" u="none" strike="noStrike" kern="1200" baseline="0">
                      <a:solidFill>
                        <a:srgbClr val="599BD5"/>
                      </a:solidFill>
                      <a:latin typeface="+mn-lt"/>
                      <a:ea typeface="+mn-ea"/>
                      <a:cs typeface="+mn-cs"/>
                    </a:defRPr>
                  </a:pPr>
                </a:p>
              </c:txPr>
              <c:dLblPos val="outEnd"/>
              <c:showLegendKey val="0"/>
              <c:showVal val="0"/>
              <c:showCatName val="1"/>
              <c:showSerName val="0"/>
              <c:showPercent val="1"/>
              <c:showBubbleSize val="0"/>
              <c:separator>
</c:separator>
              <c:extLst>
                <c:ext xmlns:c15="http://schemas.microsoft.com/office/drawing/2012/chart" uri="{CE6537A1-D6FC-4f65-9D91-7224C49458BB}"/>
              </c:extLst>
            </c:dLbl>
            <c:dLbl>
              <c:idx val="1"/>
              <c:layout/>
              <c:numFmt formatCode="General" sourceLinked="1"/>
              <c:spPr>
                <a:noFill/>
                <a:ln w="9525">
                  <a:noFill/>
                </a:ln>
                <a:effectLst/>
              </c:spPr>
              <c:txPr>
                <a:bodyPr rot="0" spcFirstLastPara="0" vertOverflow="ellipsis" vert="horz" wrap="square" lIns="38100" tIns="19050" rIns="38100" bIns="19050" anchor="ctr" anchorCtr="1"/>
                <a:lstStyle/>
                <a:p>
                  <a:pPr>
                    <a:defRPr lang="zh-CN" sz="1000" b="1" i="0" u="none" strike="noStrike" kern="1200" baseline="0">
                      <a:solidFill>
                        <a:srgbClr val="ED7931"/>
                      </a:solidFill>
                      <a:latin typeface="+mn-lt"/>
                      <a:ea typeface="+mn-ea"/>
                      <a:cs typeface="+mn-cs"/>
                    </a:defRPr>
                  </a:pPr>
                </a:p>
              </c:txPr>
              <c:dLblPos val="outEnd"/>
              <c:showLegendKey val="0"/>
              <c:showVal val="0"/>
              <c:showCatName val="1"/>
              <c:showSerName val="0"/>
              <c:showPercent val="1"/>
              <c:showBubbleSize val="0"/>
              <c:separator>
</c:separator>
              <c:extLst>
                <c:ext xmlns:c15="http://schemas.microsoft.com/office/drawing/2012/chart" uri="{CE6537A1-D6FC-4f65-9D91-7224C49458BB}"/>
              </c:extLst>
            </c:dLbl>
            <c:dLbl>
              <c:idx val="2"/>
              <c:layout/>
              <c:numFmt formatCode="General" sourceLinked="1"/>
              <c:spPr>
                <a:noFill/>
                <a:ln w="9525">
                  <a:noFill/>
                </a:ln>
                <a:effectLst/>
              </c:spPr>
              <c:txPr>
                <a:bodyPr rot="0" spcFirstLastPara="0" vertOverflow="ellipsis" vert="horz" wrap="square" lIns="38100" tIns="19050" rIns="38100" bIns="19050" anchor="ctr" anchorCtr="1"/>
                <a:lstStyle/>
                <a:p>
                  <a:pPr>
                    <a:defRPr lang="zh-CN" sz="1000" b="1" i="0" u="none" strike="noStrike" kern="1200" baseline="0">
                      <a:solidFill>
                        <a:srgbClr val="A5A5A5"/>
                      </a:solidFill>
                      <a:latin typeface="+mn-lt"/>
                      <a:ea typeface="+mn-ea"/>
                      <a:cs typeface="+mn-cs"/>
                    </a:defRPr>
                  </a:pPr>
                </a:p>
              </c:txPr>
              <c:dLblPos val="outEnd"/>
              <c:showLegendKey val="0"/>
              <c:showVal val="0"/>
              <c:showCatName val="1"/>
              <c:showSerName val="0"/>
              <c:showPercent val="1"/>
              <c:showBubbleSize val="0"/>
              <c:separator>
</c:separator>
              <c:extLst>
                <c:ext xmlns:c15="http://schemas.microsoft.com/office/drawing/2012/chart" uri="{CE6537A1-D6FC-4f65-9D91-7224C49458BB}"/>
              </c:extLst>
            </c:dLbl>
            <c:spPr>
              <a:noFill/>
              <a:ln w="9525">
                <a:noFill/>
              </a:ln>
              <a:effectLst/>
            </c:spPr>
            <c:txPr>
              <a:bodyPr rot="0" spcFirstLastPara="0" vertOverflow="ellipsis" vert="horz" wrap="square" lIns="38100" tIns="19050" rIns="38100" bIns="19050" anchor="ctr" anchorCtr="1"/>
              <a:lstStyle/>
              <a:p>
                <a:pPr>
                  <a:defRPr lang="zh-CN" sz="1000" b="1" i="0" u="none" strike="noStrike" kern="1200" baseline="0">
                    <a:solidFill>
                      <a:srgbClr val="599BD5"/>
                    </a:solidFill>
                    <a:latin typeface="+mn-lt"/>
                    <a:ea typeface="+mn-ea"/>
                    <a:cs typeface="+mn-cs"/>
                  </a:defRPr>
                </a:pPr>
              </a:p>
            </c:txPr>
            <c:dLblPos val="outEnd"/>
            <c:showLegendKey val="0"/>
            <c:showVal val="0"/>
            <c:showCatName val="1"/>
            <c:showSerName val="0"/>
            <c:showPercent val="1"/>
            <c:showBubbleSize val="0"/>
            <c:showLeaderLines val="1"/>
            <c:extLst>
              <c:ext xmlns:c15="http://schemas.microsoft.com/office/drawing/2012/chart" uri="{CE6537A1-D6FC-4f65-9D91-7224C49458BB}">
                <c15:layout/>
                <c15:showLeaderLines val="1"/>
                <c15:leaderLines/>
              </c:ext>
            </c:extLst>
          </c:dLbls>
          <c:cat>
            <c:strRef>
              <c:f>图表!$I$6:$I$8</c:f>
              <c:strCache>
                <c:ptCount val="3"/>
                <c:pt idx="0">
                  <c:v>股票</c:v>
                </c:pt>
                <c:pt idx="1">
                  <c:v>债券</c:v>
                </c:pt>
                <c:pt idx="2">
                  <c:v>商品</c:v>
                </c:pt>
              </c:strCache>
            </c:strRef>
          </c:cat>
          <c:val>
            <c:numRef>
              <c:f>图表!$K$6:$K$8</c:f>
              <c:numCache>
                <c:formatCode>0.00</c:formatCode>
                <c:ptCount val="3"/>
                <c:pt idx="0">
                  <c:v>99320.9</c:v>
                </c:pt>
                <c:pt idx="1">
                  <c:v>10847.07</c:v>
                </c:pt>
                <c:pt idx="2">
                  <c:v>1462.6</c:v>
                </c:pt>
              </c:numCache>
            </c:numRef>
          </c:val>
        </c:ser>
        <c:dLbls>
          <c:showLegendKey val="0"/>
          <c:showVal val="1"/>
          <c:showCatName val="0"/>
          <c:showSerName val="0"/>
          <c:showPercent val="0"/>
          <c:showBubbleSize val="0"/>
          <c:showLeaderLines val="1"/>
        </c:dLbls>
        <c:firstSliceAng val="0"/>
      </c:pieChart>
      <c:spPr>
        <a:noFill/>
        <a:ln w="9525">
          <a:noFill/>
        </a:ln>
      </c:spPr>
    </c:plotArea>
    <c:plotVisOnly val="1"/>
    <c:dispBlanksAs val="gap"/>
    <c:showDLblsOverMax val="0"/>
  </c:chart>
  <c:spPr>
    <a:solidFill>
      <a:srgbClr val="FFFFFF"/>
    </a:solidFill>
    <a:ln w="9525" cap="flat" cmpd="sng" algn="ctr">
      <a:solidFill>
        <a:srgbClr val="D8D8D8"/>
      </a:solidFill>
      <a:prstDash val="solid"/>
      <a:round/>
    </a:ln>
  </c:spPr>
  <c:txPr>
    <a:bodyPr/>
    <a:lstStyle/>
    <a:p>
      <a:pPr>
        <a:defRPr lang="zh-CN" sz="1000" b="0" i="0" u="none" strike="noStrike">
          <a:solidFill>
            <a:srgbClr val="000000"/>
          </a:solidFill>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176935986574"/>
          <c:y val="0.176558305994632"/>
          <c:w val="0.603931910812755"/>
          <c:h val="0.751267521622428"/>
        </c:manualLayout>
      </c:layout>
      <c:pieChart>
        <c:varyColors val="1"/>
        <c:ser>
          <c:idx val="0"/>
          <c:order val="0"/>
          <c:explosion val="0"/>
          <c:dPt>
            <c:idx val="0"/>
            <c:bubble3D val="0"/>
            <c:explosion val="0"/>
            <c:spPr>
              <a:solidFill>
                <a:srgbClr val="599BD5"/>
              </a:solidFill>
              <a:ln w="28575">
                <a:noFill/>
              </a:ln>
            </c:spPr>
          </c:dPt>
          <c:dPt>
            <c:idx val="1"/>
            <c:bubble3D val="0"/>
            <c:explosion val="0"/>
            <c:spPr>
              <a:solidFill>
                <a:srgbClr val="ED7931"/>
              </a:solidFill>
              <a:ln w="28575">
                <a:noFill/>
              </a:ln>
            </c:spPr>
          </c:dPt>
          <c:dPt>
            <c:idx val="2"/>
            <c:bubble3D val="0"/>
            <c:explosion val="0"/>
            <c:spPr>
              <a:solidFill>
                <a:srgbClr val="A5A5A5"/>
              </a:solidFill>
              <a:ln w="28575">
                <a:noFill/>
              </a:ln>
            </c:spPr>
          </c:dPt>
          <c:dPt>
            <c:idx val="3"/>
            <c:bubble3D val="0"/>
            <c:explosion val="0"/>
            <c:spPr>
              <a:solidFill>
                <a:srgbClr val="FFC000"/>
              </a:solidFill>
              <a:ln w="28575">
                <a:noFill/>
              </a:ln>
            </c:spPr>
          </c:dPt>
          <c:dPt>
            <c:idx val="4"/>
            <c:bubble3D val="0"/>
            <c:explosion val="0"/>
            <c:spPr>
              <a:solidFill>
                <a:srgbClr val="4371C3"/>
              </a:solidFill>
              <a:ln w="28575">
                <a:noFill/>
              </a:ln>
            </c:spPr>
          </c:dPt>
          <c:dPt>
            <c:idx val="5"/>
            <c:bubble3D val="0"/>
            <c:explosion val="0"/>
            <c:spPr>
              <a:solidFill>
                <a:srgbClr val="70AD47"/>
              </a:solidFill>
              <a:ln w="28575">
                <a:noFill/>
              </a:ln>
            </c:spPr>
          </c:dPt>
          <c:dPt>
            <c:idx val="6"/>
            <c:bubble3D val="0"/>
            <c:explosion val="0"/>
            <c:spPr>
              <a:solidFill>
                <a:srgbClr val="165291"/>
              </a:solidFill>
              <a:ln w="28575">
                <a:noFill/>
              </a:ln>
            </c:spPr>
          </c:dPt>
          <c:dLbls>
            <c:dLbl>
              <c:idx val="0"/>
              <c:layout/>
              <c:numFmt formatCode="General" sourceLinked="1"/>
              <c:spPr>
                <a:noFill/>
                <a:ln w="9525">
                  <a:noFill/>
                </a:ln>
                <a:effectLst/>
              </c:spPr>
              <c:txPr>
                <a:bodyPr rot="0" spcFirstLastPara="0" vertOverflow="ellipsis" vert="horz" wrap="square" lIns="38100" tIns="19050" rIns="38100" bIns="19050" anchor="ctr" anchorCtr="1"/>
                <a:lstStyle/>
                <a:p>
                  <a:pPr>
                    <a:defRPr lang="zh-CN" sz="1000" b="1" i="0" u="none" strike="noStrike" kern="1200" baseline="0">
                      <a:solidFill>
                        <a:srgbClr val="599BD5"/>
                      </a:solidFill>
                      <a:latin typeface="+mn-lt"/>
                      <a:ea typeface="+mn-ea"/>
                      <a:cs typeface="+mn-cs"/>
                    </a:defRPr>
                  </a:pPr>
                </a:p>
              </c:txPr>
              <c:dLblPos val="outEnd"/>
              <c:showLegendKey val="0"/>
              <c:showVal val="0"/>
              <c:showCatName val="1"/>
              <c:showSerName val="0"/>
              <c:showPercent val="1"/>
              <c:showBubbleSize val="0"/>
              <c:separator>
</c:separator>
              <c:extLst>
                <c:ext xmlns:c15="http://schemas.microsoft.com/office/drawing/2012/chart" uri="{CE6537A1-D6FC-4f65-9D91-7224C49458BB}"/>
              </c:extLst>
            </c:dLbl>
            <c:dLbl>
              <c:idx val="1"/>
              <c:layout>
                <c:manualLayout>
                  <c:x val="-0.0605949320602277"/>
                  <c:y val="-0.021875"/>
                </c:manualLayout>
              </c:layout>
              <c:numFmt formatCode="General" sourceLinked="1"/>
              <c:spPr>
                <a:noFill/>
                <a:ln w="9525">
                  <a:noFill/>
                </a:ln>
                <a:effectLst/>
              </c:spPr>
              <c:txPr>
                <a:bodyPr rot="0" spcFirstLastPara="0" vertOverflow="ellipsis" vert="horz" wrap="square" lIns="38100" tIns="19050" rIns="38100" bIns="19050" anchor="ctr" anchorCtr="1"/>
                <a:lstStyle/>
                <a:p>
                  <a:pPr>
                    <a:defRPr lang="zh-CN" sz="1000" b="1" i="0" u="none" strike="noStrike" kern="1200" baseline="0">
                      <a:solidFill>
                        <a:srgbClr val="ED7931"/>
                      </a:solidFill>
                      <a:latin typeface="+mn-lt"/>
                      <a:ea typeface="+mn-ea"/>
                      <a:cs typeface="+mn-cs"/>
                    </a:defRPr>
                  </a:pPr>
                </a:p>
              </c:txPr>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2"/>
              <c:layout>
                <c:manualLayout>
                  <c:x val="0.057840616966581"/>
                  <c:y val="0.0875"/>
                </c:manualLayout>
              </c:layout>
              <c:numFmt formatCode="General" sourceLinked="1"/>
              <c:spPr>
                <a:noFill/>
                <a:ln w="9525">
                  <a:noFill/>
                </a:ln>
                <a:effectLst/>
              </c:spPr>
              <c:txPr>
                <a:bodyPr rot="0" spcFirstLastPara="0" vertOverflow="ellipsis" vert="horz" wrap="square" lIns="38100" tIns="19050" rIns="38100" bIns="19050" anchor="ctr" anchorCtr="1"/>
                <a:lstStyle/>
                <a:p>
                  <a:pPr>
                    <a:defRPr lang="zh-CN" sz="1000" b="1" i="0" u="none" strike="noStrike" kern="1200" baseline="0">
                      <a:solidFill>
                        <a:srgbClr val="A5A5A5"/>
                      </a:solidFill>
                      <a:latin typeface="+mn-lt"/>
                      <a:ea typeface="+mn-ea"/>
                      <a:cs typeface="+mn-cs"/>
                    </a:defRPr>
                  </a:pPr>
                </a:p>
              </c:txPr>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3"/>
              <c:layout/>
              <c:numFmt formatCode="General" sourceLinked="1"/>
              <c:spPr>
                <a:noFill/>
                <a:ln w="9525">
                  <a:noFill/>
                </a:ln>
                <a:effectLst/>
              </c:spPr>
              <c:txPr>
                <a:bodyPr rot="0" spcFirstLastPara="0" vertOverflow="ellipsis" vert="horz" wrap="square" lIns="38100" tIns="19050" rIns="38100" bIns="19050" anchor="ctr" anchorCtr="1"/>
                <a:lstStyle/>
                <a:p>
                  <a:pPr>
                    <a:defRPr lang="zh-CN" sz="1000" b="1" i="0" u="none" strike="noStrike" kern="1200" baseline="0">
                      <a:solidFill>
                        <a:srgbClr val="599BD5"/>
                      </a:solidFill>
                      <a:latin typeface="+mn-lt"/>
                      <a:ea typeface="+mn-ea"/>
                      <a:cs typeface="+mn-cs"/>
                    </a:defRPr>
                  </a:pPr>
                </a:p>
              </c:txPr>
              <c:dLblPos val="outEnd"/>
              <c:showLegendKey val="0"/>
              <c:showVal val="0"/>
              <c:showCatName val="1"/>
              <c:showSerName val="0"/>
              <c:showPercent val="1"/>
              <c:showBubbleSize val="0"/>
              <c:separator>
</c:separator>
              <c:extLst>
                <c:ext xmlns:c15="http://schemas.microsoft.com/office/drawing/2012/chart" uri="{CE6537A1-D6FC-4f65-9D91-7224C49458BB}"/>
              </c:extLst>
            </c:dLbl>
            <c:dLbl>
              <c:idx val="4"/>
              <c:layout>
                <c:manualLayout>
                  <c:x val="-0.0247888358428204"/>
                  <c:y val="0.034375"/>
                </c:manualLayout>
              </c:layout>
              <c:numFmt formatCode="General" sourceLinked="1"/>
              <c:spPr>
                <a:noFill/>
                <a:ln w="9525">
                  <a:noFill/>
                </a:ln>
                <a:effectLst/>
              </c:spPr>
              <c:txPr>
                <a:bodyPr rot="0" spcFirstLastPara="0" vertOverflow="ellipsis" vert="horz" wrap="square" lIns="38100" tIns="19050" rIns="38100" bIns="19050" anchor="ctr" anchorCtr="1"/>
                <a:lstStyle/>
                <a:p>
                  <a:pPr>
                    <a:defRPr lang="zh-CN" sz="1000" b="1" i="0" u="none" strike="noStrike" kern="1200" baseline="0">
                      <a:solidFill>
                        <a:srgbClr val="599BD5"/>
                      </a:solidFill>
                      <a:latin typeface="+mn-lt"/>
                      <a:ea typeface="+mn-ea"/>
                      <a:cs typeface="+mn-cs"/>
                    </a:defRPr>
                  </a:pPr>
                </a:p>
              </c:txPr>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5"/>
              <c:layout/>
              <c:numFmt formatCode="General" sourceLinked="1"/>
              <c:spPr>
                <a:noFill/>
                <a:ln w="9525">
                  <a:noFill/>
                </a:ln>
                <a:effectLst/>
              </c:spPr>
              <c:txPr>
                <a:bodyPr rot="0" spcFirstLastPara="0" vertOverflow="ellipsis" vert="horz" wrap="square" lIns="38100" tIns="19050" rIns="38100" bIns="19050" anchor="ctr" anchorCtr="1"/>
                <a:lstStyle/>
                <a:p>
                  <a:pPr>
                    <a:defRPr lang="zh-CN" sz="1000" b="1" i="0" u="none" strike="noStrike" kern="1200" baseline="0">
                      <a:solidFill>
                        <a:srgbClr val="599BD5"/>
                      </a:solidFill>
                      <a:latin typeface="+mn-lt"/>
                      <a:ea typeface="+mn-ea"/>
                      <a:cs typeface="+mn-cs"/>
                    </a:defRPr>
                  </a:pPr>
                </a:p>
              </c:txPr>
              <c:dLblPos val="outEnd"/>
              <c:showLegendKey val="0"/>
              <c:showVal val="0"/>
              <c:showCatName val="1"/>
              <c:showSerName val="0"/>
              <c:showPercent val="1"/>
              <c:showBubbleSize val="0"/>
              <c:separator>
</c:separator>
              <c:extLst>
                <c:ext xmlns:c15="http://schemas.microsoft.com/office/drawing/2012/chart" uri="{CE6537A1-D6FC-4f65-9D91-7224C49458BB}"/>
              </c:extLst>
            </c:dLbl>
            <c:dLbl>
              <c:idx val="6"/>
              <c:layout/>
              <c:numFmt formatCode="General" sourceLinked="1"/>
              <c:spPr>
                <a:noFill/>
                <a:ln w="9525">
                  <a:noFill/>
                </a:ln>
                <a:effectLst/>
              </c:spPr>
              <c:txPr>
                <a:bodyPr rot="0" spcFirstLastPara="0" vertOverflow="ellipsis" vert="horz" wrap="square" lIns="38100" tIns="19050" rIns="38100" bIns="19050" anchor="ctr" anchorCtr="1"/>
                <a:lstStyle/>
                <a:p>
                  <a:pPr>
                    <a:defRPr lang="zh-CN" sz="1000" b="1" i="0" u="none" strike="noStrike" kern="1200" baseline="0">
                      <a:solidFill>
                        <a:srgbClr val="599BD5"/>
                      </a:solidFill>
                      <a:latin typeface="+mn-lt"/>
                      <a:ea typeface="+mn-ea"/>
                      <a:cs typeface="+mn-cs"/>
                    </a:defRPr>
                  </a:pPr>
                </a:p>
              </c:txPr>
              <c:dLblPos val="outEnd"/>
              <c:showLegendKey val="0"/>
              <c:showVal val="0"/>
              <c:showCatName val="1"/>
              <c:showSerName val="0"/>
              <c:showPercent val="1"/>
              <c:showBubbleSize val="0"/>
              <c:separator>
</c:separator>
              <c:extLst>
                <c:ext xmlns:c15="http://schemas.microsoft.com/office/drawing/2012/chart" uri="{CE6537A1-D6FC-4f65-9D91-7224C49458BB}"/>
              </c:extLst>
            </c:dLbl>
            <c:spPr>
              <a:noFill/>
              <a:ln w="9525">
                <a:noFill/>
              </a:ln>
              <a:effectLst/>
            </c:spPr>
            <c:txPr>
              <a:bodyPr rot="0" spcFirstLastPara="0" vertOverflow="ellipsis" vert="horz" wrap="square" lIns="38100" tIns="19050" rIns="38100" bIns="19050" anchor="ctr" anchorCtr="1"/>
              <a:lstStyle/>
              <a:p>
                <a:pPr>
                  <a:defRPr lang="zh-CN" sz="1000" b="1" i="0" u="none" strike="noStrike" kern="1200" baseline="0">
                    <a:solidFill>
                      <a:srgbClr val="599BD5"/>
                    </a:solidFill>
                    <a:latin typeface="+mn-lt"/>
                    <a:ea typeface="+mn-ea"/>
                    <a:cs typeface="+mn-cs"/>
                  </a:defRPr>
                </a:pPr>
              </a:p>
            </c:txPr>
            <c:dLblPos val="outEnd"/>
            <c:showLegendKey val="0"/>
            <c:showVal val="0"/>
            <c:showCatName val="1"/>
            <c:showSerName val="0"/>
            <c:showPercent val="1"/>
            <c:showBubbleSize val="0"/>
            <c:showLeaderLines val="1"/>
            <c:extLst>
              <c:ext xmlns:c15="http://schemas.microsoft.com/office/drawing/2012/chart" uri="{CE6537A1-D6FC-4f65-9D91-7224C49458BB}">
                <c15:layout/>
                <c15:showLeaderLines val="1"/>
                <c15:leaderLines/>
              </c:ext>
            </c:extLst>
          </c:dLbls>
          <c:cat>
            <c:strRef>
              <c:f>图表!$O$6:$O$12</c:f>
              <c:strCache>
                <c:ptCount val="7"/>
                <c:pt idx="0">
                  <c:v>A股</c:v>
                </c:pt>
                <c:pt idx="1">
                  <c:v>港股</c:v>
                </c:pt>
                <c:pt idx="2">
                  <c:v>海外股</c:v>
                </c:pt>
                <c:pt idx="3">
                  <c:v>国内债</c:v>
                </c:pt>
                <c:pt idx="4">
                  <c:v>海外债</c:v>
                </c:pt>
                <c:pt idx="5">
                  <c:v>黄金</c:v>
                </c:pt>
                <c:pt idx="6">
                  <c:v>原油</c:v>
                </c:pt>
              </c:strCache>
            </c:strRef>
          </c:cat>
          <c:val>
            <c:numRef>
              <c:f>图表!$Q$6:$Q$12</c:f>
              <c:numCache>
                <c:formatCode>0.00</c:formatCode>
                <c:ptCount val="7"/>
                <c:pt idx="0">
                  <c:v>97263.3</c:v>
                </c:pt>
                <c:pt idx="1">
                  <c:v>0</c:v>
                </c:pt>
                <c:pt idx="2">
                  <c:v>2057.6</c:v>
                </c:pt>
                <c:pt idx="3">
                  <c:v>8847.07</c:v>
                </c:pt>
                <c:pt idx="4">
                  <c:v>2000</c:v>
                </c:pt>
                <c:pt idx="5">
                  <c:v>1000</c:v>
                </c:pt>
                <c:pt idx="6">
                  <c:v>462.599999999999</c:v>
                </c:pt>
              </c:numCache>
            </c:numRef>
          </c:val>
        </c:ser>
        <c:dLbls>
          <c:showLegendKey val="0"/>
          <c:showVal val="1"/>
          <c:showCatName val="0"/>
          <c:showSerName val="0"/>
          <c:showPercent val="0"/>
          <c:showBubbleSize val="0"/>
          <c:showLeaderLines val="1"/>
        </c:dLbls>
        <c:firstSliceAng val="0"/>
      </c:pieChart>
      <c:spPr>
        <a:noFill/>
        <a:ln w="9525">
          <a:noFill/>
        </a:ln>
      </c:spPr>
    </c:plotArea>
    <c:plotVisOnly val="1"/>
    <c:dispBlanksAs val="gap"/>
    <c:showDLblsOverMax val="0"/>
  </c:chart>
  <c:spPr>
    <a:solidFill>
      <a:srgbClr val="FFFFFF">
        <a:alpha val="61960"/>
      </a:srgbClr>
    </a:solidFill>
    <a:ln w="9525" cap="flat" cmpd="sng" algn="ctr">
      <a:solidFill>
        <a:srgbClr val="D8D8D8"/>
      </a:solidFill>
      <a:prstDash val="solid"/>
      <a:round/>
    </a:ln>
  </c:spPr>
  <c:txPr>
    <a:bodyPr/>
    <a:lstStyle/>
    <a:p>
      <a:pPr>
        <a:defRPr lang="zh-CN" sz="1000" b="0" i="0" u="none" strike="noStrike">
          <a:solidFill>
            <a:srgbClr val="000000"/>
          </a:solidFill>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176935986574"/>
          <c:y val="0.176558305994632"/>
          <c:w val="0.603931910812755"/>
          <c:h val="0.751267521622428"/>
        </c:manualLayout>
      </c:layout>
      <c:pieChart>
        <c:varyColors val="1"/>
        <c:ser>
          <c:idx val="0"/>
          <c:order val="0"/>
          <c:explosion val="0"/>
          <c:dPt>
            <c:idx val="0"/>
            <c:bubble3D val="0"/>
            <c:explosion val="0"/>
            <c:spPr>
              <a:solidFill>
                <a:srgbClr val="599BD5"/>
              </a:solidFill>
              <a:ln w="28575">
                <a:noFill/>
              </a:ln>
            </c:spPr>
          </c:dPt>
          <c:dPt>
            <c:idx val="1"/>
            <c:bubble3D val="0"/>
            <c:explosion val="0"/>
            <c:spPr>
              <a:solidFill>
                <a:srgbClr val="ED7931"/>
              </a:solidFill>
              <a:ln w="28575">
                <a:noFill/>
              </a:ln>
            </c:spPr>
          </c:dPt>
          <c:dLbls>
            <c:dLbl>
              <c:idx val="0"/>
              <c:layout/>
              <c:numFmt formatCode="General" sourceLinked="1"/>
              <c:spPr>
                <a:noFill/>
                <a:ln w="9525">
                  <a:noFill/>
                </a:ln>
                <a:effectLst/>
              </c:spPr>
              <c:txPr>
                <a:bodyPr rot="0" spcFirstLastPara="0" vertOverflow="ellipsis" vert="horz" wrap="square" lIns="38100" tIns="19050" rIns="38100" bIns="19050" anchor="ctr" anchorCtr="1"/>
                <a:lstStyle/>
                <a:p>
                  <a:pPr>
                    <a:defRPr lang="zh-CN" sz="1000" b="1" i="0" u="none" strike="noStrike" kern="1200" baseline="0">
                      <a:solidFill>
                        <a:srgbClr val="599BD5"/>
                      </a:solidFill>
                      <a:latin typeface="+mn-lt"/>
                      <a:ea typeface="+mn-ea"/>
                      <a:cs typeface="+mn-cs"/>
                    </a:defRPr>
                  </a:pPr>
                </a:p>
              </c:txPr>
              <c:dLblPos val="outEnd"/>
              <c:showLegendKey val="0"/>
              <c:showVal val="0"/>
              <c:showCatName val="1"/>
              <c:showSerName val="0"/>
              <c:showPercent val="1"/>
              <c:showBubbleSize val="0"/>
              <c:separator>
</c:separator>
              <c:extLst>
                <c:ext xmlns:c15="http://schemas.microsoft.com/office/drawing/2012/chart" uri="{CE6537A1-D6FC-4f65-9D91-7224C49458BB}"/>
              </c:extLst>
            </c:dLbl>
            <c:dLbl>
              <c:idx val="1"/>
              <c:layout/>
              <c:numFmt formatCode="General" sourceLinked="1"/>
              <c:spPr>
                <a:noFill/>
                <a:ln w="9525">
                  <a:noFill/>
                </a:ln>
                <a:effectLst/>
              </c:spPr>
              <c:txPr>
                <a:bodyPr rot="0" spcFirstLastPara="0" vertOverflow="ellipsis" vert="horz" wrap="square" lIns="38100" tIns="19050" rIns="38100" bIns="19050" anchor="ctr" anchorCtr="1"/>
                <a:lstStyle/>
                <a:p>
                  <a:pPr>
                    <a:defRPr lang="zh-CN" sz="1000" b="1" i="0" u="none" strike="noStrike" kern="1200" baseline="0">
                      <a:solidFill>
                        <a:srgbClr val="ED7931"/>
                      </a:solidFill>
                      <a:latin typeface="+mn-lt"/>
                      <a:ea typeface="+mn-ea"/>
                      <a:cs typeface="+mn-cs"/>
                    </a:defRPr>
                  </a:pPr>
                </a:p>
              </c:txPr>
              <c:dLblPos val="outEnd"/>
              <c:showLegendKey val="0"/>
              <c:showVal val="0"/>
              <c:showCatName val="1"/>
              <c:showSerName val="0"/>
              <c:showPercent val="1"/>
              <c:showBubbleSize val="0"/>
              <c:separator>
</c:separator>
              <c:extLst>
                <c:ext xmlns:c15="http://schemas.microsoft.com/office/drawing/2012/chart" uri="{CE6537A1-D6FC-4f65-9D91-7224C49458BB}"/>
              </c:extLst>
            </c:dLbl>
            <c:spPr>
              <a:noFill/>
              <a:ln w="9525">
                <a:noFill/>
              </a:ln>
              <a:effectLst/>
            </c:spPr>
            <c:txPr>
              <a:bodyPr rot="0" spcFirstLastPara="0" vertOverflow="ellipsis" vert="horz" wrap="square" lIns="38100" tIns="19050" rIns="38100" bIns="19050" anchor="ctr" anchorCtr="1"/>
              <a:lstStyle/>
              <a:p>
                <a:pPr>
                  <a:defRPr lang="zh-CN" sz="1000" b="1" i="0" u="none" strike="noStrike" kern="1200" baseline="0">
                    <a:solidFill>
                      <a:srgbClr val="599BD5"/>
                    </a:solidFill>
                    <a:latin typeface="+mn-lt"/>
                    <a:ea typeface="+mn-ea"/>
                    <a:cs typeface="+mn-cs"/>
                  </a:defRPr>
                </a:pPr>
              </a:p>
            </c:txPr>
            <c:dLblPos val="outEnd"/>
            <c:showLegendKey val="0"/>
            <c:showVal val="0"/>
            <c:showCatName val="1"/>
            <c:showSerName val="0"/>
            <c:showPercent val="1"/>
            <c:showBubbleSize val="0"/>
            <c:showLeaderLines val="1"/>
            <c:extLst>
              <c:ext xmlns:c15="http://schemas.microsoft.com/office/drawing/2012/chart" uri="{CE6537A1-D6FC-4f65-9D91-7224C49458BB}">
                <c15:layout/>
                <c15:showLeaderLines val="1"/>
                <c15:leaderLines/>
              </c:ext>
            </c:extLst>
          </c:dLbls>
          <c:cat>
            <c:strRef>
              <c:f>图表!$AA$6:$AA$7</c:f>
              <c:strCache>
                <c:ptCount val="2"/>
                <c:pt idx="0">
                  <c:v>华泰证券</c:v>
                </c:pt>
                <c:pt idx="1">
                  <c:v>天天基金</c:v>
                </c:pt>
              </c:strCache>
            </c:strRef>
          </c:cat>
          <c:val>
            <c:numRef>
              <c:f>图表!$AC$6:$AC$7</c:f>
              <c:numCache>
                <c:formatCode>0.00</c:formatCode>
                <c:ptCount val="2"/>
                <c:pt idx="0">
                  <c:v>58783.5</c:v>
                </c:pt>
                <c:pt idx="1">
                  <c:v>52847.07</c:v>
                </c:pt>
              </c:numCache>
            </c:numRef>
          </c:val>
        </c:ser>
        <c:dLbls>
          <c:showLegendKey val="0"/>
          <c:showVal val="1"/>
          <c:showCatName val="0"/>
          <c:showSerName val="0"/>
          <c:showPercent val="0"/>
          <c:showBubbleSize val="0"/>
          <c:showLeaderLines val="1"/>
        </c:dLbls>
        <c:firstSliceAng val="0"/>
      </c:pieChart>
      <c:spPr>
        <a:noFill/>
        <a:ln w="9525">
          <a:noFill/>
        </a:ln>
      </c:spPr>
    </c:plotArea>
    <c:plotVisOnly val="1"/>
    <c:dispBlanksAs val="gap"/>
    <c:showDLblsOverMax val="0"/>
  </c:chart>
  <c:spPr>
    <a:solidFill>
      <a:srgbClr val="FFFFFF"/>
    </a:solidFill>
    <a:ln w="9525" cap="flat" cmpd="sng" algn="ctr">
      <a:solidFill>
        <a:srgbClr val="D8D8D8"/>
      </a:solidFill>
      <a:prstDash val="solid"/>
      <a:round/>
    </a:ln>
  </c:spPr>
  <c:txPr>
    <a:bodyPr/>
    <a:lstStyle/>
    <a:p>
      <a:pPr>
        <a:defRPr lang="zh-CN" sz="1000" b="0" i="0" u="none" strike="noStrike">
          <a:solidFill>
            <a:srgbClr val="000000"/>
          </a:solidFill>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176935986574"/>
          <c:y val="0.176558305994632"/>
          <c:w val="0.603931910812755"/>
          <c:h val="0.751267521622428"/>
        </c:manualLayout>
      </c:layout>
      <c:pieChart>
        <c:varyColors val="1"/>
        <c:ser>
          <c:idx val="0"/>
          <c:order val="0"/>
          <c:explosion val="0"/>
          <c:dPt>
            <c:idx val="0"/>
            <c:bubble3D val="0"/>
            <c:explosion val="0"/>
            <c:spPr>
              <a:solidFill>
                <a:srgbClr val="599BD5"/>
              </a:solidFill>
              <a:ln w="28575">
                <a:noFill/>
              </a:ln>
            </c:spPr>
          </c:dPt>
          <c:dPt>
            <c:idx val="1"/>
            <c:bubble3D val="0"/>
            <c:explosion val="0"/>
            <c:spPr>
              <a:solidFill>
                <a:srgbClr val="ED7931"/>
              </a:solidFill>
              <a:ln w="28575">
                <a:noFill/>
              </a:ln>
            </c:spPr>
          </c:dPt>
          <c:dLbls>
            <c:dLbl>
              <c:idx val="0"/>
              <c:layout/>
              <c:numFmt formatCode="General" sourceLinked="1"/>
              <c:spPr>
                <a:noFill/>
                <a:ln w="9525">
                  <a:noFill/>
                </a:ln>
                <a:effectLst/>
              </c:spPr>
              <c:txPr>
                <a:bodyPr rot="0" spcFirstLastPara="0" vertOverflow="ellipsis" vert="horz" wrap="square" lIns="38100" tIns="19050" rIns="38100" bIns="19050" anchor="ctr" anchorCtr="1"/>
                <a:lstStyle/>
                <a:p>
                  <a:pPr>
                    <a:defRPr lang="zh-CN" sz="1000" b="1" i="0" u="none" strike="noStrike" kern="1200" baseline="0">
                      <a:solidFill>
                        <a:srgbClr val="599BD5"/>
                      </a:solidFill>
                      <a:latin typeface="+mn-lt"/>
                      <a:ea typeface="+mn-ea"/>
                      <a:cs typeface="+mn-cs"/>
                    </a:defRPr>
                  </a:pPr>
                </a:p>
              </c:txPr>
              <c:dLblPos val="outEnd"/>
              <c:showLegendKey val="0"/>
              <c:showVal val="0"/>
              <c:showCatName val="1"/>
              <c:showSerName val="0"/>
              <c:showPercent val="1"/>
              <c:showBubbleSize val="0"/>
              <c:separator>
</c:separator>
              <c:extLst>
                <c:ext xmlns:c15="http://schemas.microsoft.com/office/drawing/2012/chart" uri="{CE6537A1-D6FC-4f65-9D91-7224C49458BB}"/>
              </c:extLst>
            </c:dLbl>
            <c:dLbl>
              <c:idx val="1"/>
              <c:layout/>
              <c:numFmt formatCode="General" sourceLinked="1"/>
              <c:spPr>
                <a:noFill/>
                <a:ln w="9525">
                  <a:noFill/>
                </a:ln>
                <a:effectLst/>
              </c:spPr>
              <c:txPr>
                <a:bodyPr rot="0" spcFirstLastPara="0" vertOverflow="ellipsis" vert="horz" wrap="square" lIns="38100" tIns="19050" rIns="38100" bIns="19050" anchor="ctr" anchorCtr="1"/>
                <a:lstStyle/>
                <a:p>
                  <a:pPr>
                    <a:defRPr lang="zh-CN" sz="1000" b="1" i="0" u="none" strike="noStrike" kern="1200" baseline="0">
                      <a:solidFill>
                        <a:srgbClr val="ED7931"/>
                      </a:solidFill>
                      <a:latin typeface="+mn-lt"/>
                      <a:ea typeface="+mn-ea"/>
                      <a:cs typeface="+mn-cs"/>
                    </a:defRPr>
                  </a:pPr>
                </a:p>
              </c:txPr>
              <c:dLblPos val="outEnd"/>
              <c:showLegendKey val="0"/>
              <c:showVal val="0"/>
              <c:showCatName val="1"/>
              <c:showSerName val="0"/>
              <c:showPercent val="1"/>
              <c:showBubbleSize val="0"/>
              <c:separator>
</c:separator>
              <c:extLst>
                <c:ext xmlns:c15="http://schemas.microsoft.com/office/drawing/2012/chart" uri="{CE6537A1-D6FC-4f65-9D91-7224C49458BB}"/>
              </c:extLst>
            </c:dLbl>
            <c:spPr>
              <a:noFill/>
              <a:ln w="9525">
                <a:noFill/>
              </a:ln>
              <a:effectLst/>
            </c:spPr>
            <c:txPr>
              <a:bodyPr rot="0" spcFirstLastPara="0" vertOverflow="ellipsis" vert="horz" wrap="square" lIns="38100" tIns="19050" rIns="38100" bIns="19050" anchor="ctr" anchorCtr="1"/>
              <a:lstStyle/>
              <a:p>
                <a:pPr>
                  <a:defRPr lang="zh-CN" sz="1000" b="1" i="0" u="none" strike="noStrike" kern="1200" baseline="0">
                    <a:solidFill>
                      <a:srgbClr val="599BD5"/>
                    </a:solidFill>
                    <a:latin typeface="+mn-lt"/>
                    <a:ea typeface="+mn-ea"/>
                    <a:cs typeface="+mn-cs"/>
                  </a:defRPr>
                </a:pPr>
              </a:p>
            </c:txPr>
            <c:dLblPos val="outEnd"/>
            <c:showLegendKey val="0"/>
            <c:showVal val="0"/>
            <c:showCatName val="1"/>
            <c:showSerName val="0"/>
            <c:showPercent val="1"/>
            <c:showBubbleSize val="0"/>
            <c:showLeaderLines val="1"/>
            <c:extLst>
              <c:ext xmlns:c15="http://schemas.microsoft.com/office/drawing/2012/chart" uri="{CE6537A1-D6FC-4f65-9D91-7224C49458BB}">
                <c15:layout/>
                <c15:showLeaderLines val="1"/>
                <c15:leaderLines/>
              </c:ext>
            </c:extLst>
          </c:dLbls>
          <c:cat>
            <c:strRef>
              <c:f>图表!$U$6:$U$7</c:f>
              <c:strCache>
                <c:ptCount val="2"/>
                <c:pt idx="0">
                  <c:v>场外</c:v>
                </c:pt>
                <c:pt idx="1">
                  <c:v>场内</c:v>
                </c:pt>
              </c:strCache>
            </c:strRef>
          </c:cat>
          <c:val>
            <c:numRef>
              <c:f>图表!$W$6:$W$7</c:f>
              <c:numCache>
                <c:formatCode>0.00</c:formatCode>
                <c:ptCount val="2"/>
                <c:pt idx="0">
                  <c:v>69847.07</c:v>
                </c:pt>
                <c:pt idx="1">
                  <c:v>41783.5</c:v>
                </c:pt>
              </c:numCache>
            </c:numRef>
          </c:val>
        </c:ser>
        <c:dLbls>
          <c:showLegendKey val="0"/>
          <c:showVal val="1"/>
          <c:showCatName val="0"/>
          <c:showSerName val="0"/>
          <c:showPercent val="0"/>
          <c:showBubbleSize val="0"/>
          <c:showLeaderLines val="1"/>
        </c:dLbls>
        <c:firstSliceAng val="0"/>
      </c:pieChart>
      <c:spPr>
        <a:noFill/>
        <a:ln w="9525">
          <a:noFill/>
        </a:ln>
      </c:spPr>
    </c:plotArea>
    <c:plotVisOnly val="1"/>
    <c:dispBlanksAs val="gap"/>
    <c:showDLblsOverMax val="0"/>
  </c:chart>
  <c:spPr>
    <a:solidFill>
      <a:srgbClr val="FFFFFF"/>
    </a:solidFill>
    <a:ln w="9525" cap="flat" cmpd="sng" algn="ctr">
      <a:solidFill>
        <a:srgbClr val="D8D8D8"/>
      </a:solidFill>
      <a:prstDash val="solid"/>
      <a:round/>
    </a:ln>
  </c:spPr>
  <c:txPr>
    <a:bodyPr/>
    <a:lstStyle/>
    <a:p>
      <a:pPr>
        <a:defRPr lang="zh-CN" sz="1000" b="0" i="0" u="none" strike="noStrike">
          <a:solidFill>
            <a:srgbClr val="000000"/>
          </a:solidFill>
        </a:defRPr>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176935986574"/>
          <c:y val="0.176558305994632"/>
          <c:w val="0.603931910812755"/>
          <c:h val="0.751267521622428"/>
        </c:manualLayout>
      </c:layout>
      <c:pieChart>
        <c:varyColors val="1"/>
        <c:ser>
          <c:idx val="0"/>
          <c:order val="0"/>
          <c:explosion val="0"/>
          <c:dPt>
            <c:idx val="0"/>
            <c:bubble3D val="0"/>
            <c:explosion val="0"/>
            <c:spPr>
              <a:solidFill>
                <a:srgbClr val="599BD5"/>
              </a:solidFill>
              <a:ln w="28575">
                <a:noFill/>
              </a:ln>
            </c:spPr>
          </c:dPt>
          <c:dPt>
            <c:idx val="1"/>
            <c:bubble3D val="0"/>
            <c:explosion val="0"/>
            <c:spPr>
              <a:solidFill>
                <a:srgbClr val="ED7931"/>
              </a:solidFill>
              <a:ln w="28575">
                <a:noFill/>
              </a:ln>
            </c:spPr>
          </c:dPt>
          <c:dLbls>
            <c:dLbl>
              <c:idx val="0"/>
              <c:layout/>
              <c:numFmt formatCode="General" sourceLinked="1"/>
              <c:spPr>
                <a:noFill/>
                <a:ln w="9525">
                  <a:noFill/>
                </a:ln>
                <a:effectLst/>
              </c:spPr>
              <c:txPr>
                <a:bodyPr rot="0" spcFirstLastPara="0" vertOverflow="ellipsis" vert="horz" wrap="square" lIns="38100" tIns="19050" rIns="38100" bIns="19050" anchor="ctr" anchorCtr="1"/>
                <a:lstStyle/>
                <a:p>
                  <a:pPr>
                    <a:defRPr lang="zh-CN" sz="1000" b="1" i="0" u="none" strike="noStrike" kern="1200" baseline="0">
                      <a:solidFill>
                        <a:srgbClr val="599BD5"/>
                      </a:solidFill>
                      <a:latin typeface="+mn-lt"/>
                      <a:ea typeface="+mn-ea"/>
                      <a:cs typeface="+mn-cs"/>
                    </a:defRPr>
                  </a:pPr>
                </a:p>
              </c:txPr>
              <c:dLblPos val="outEnd"/>
              <c:showLegendKey val="0"/>
              <c:showVal val="0"/>
              <c:showCatName val="1"/>
              <c:showSerName val="0"/>
              <c:showPercent val="1"/>
              <c:showBubbleSize val="0"/>
              <c:separator>
</c:separator>
              <c:extLst>
                <c:ext xmlns:c15="http://schemas.microsoft.com/office/drawing/2012/chart" uri="{CE6537A1-D6FC-4f65-9D91-7224C49458BB}"/>
              </c:extLst>
            </c:dLbl>
            <c:dLbl>
              <c:idx val="1"/>
              <c:layout/>
              <c:numFmt formatCode="General" sourceLinked="1"/>
              <c:spPr>
                <a:noFill/>
                <a:ln w="9525">
                  <a:noFill/>
                </a:ln>
                <a:effectLst/>
              </c:spPr>
              <c:txPr>
                <a:bodyPr rot="0" spcFirstLastPara="0" vertOverflow="ellipsis" vert="horz" wrap="square" lIns="38100" tIns="19050" rIns="38100" bIns="19050" anchor="ctr" anchorCtr="1"/>
                <a:lstStyle/>
                <a:p>
                  <a:pPr>
                    <a:defRPr lang="zh-CN" sz="1000" b="1" i="0" u="none" strike="noStrike" kern="1200" baseline="0">
                      <a:solidFill>
                        <a:srgbClr val="ED7931"/>
                      </a:solidFill>
                      <a:latin typeface="+mn-lt"/>
                      <a:ea typeface="+mn-ea"/>
                      <a:cs typeface="+mn-cs"/>
                    </a:defRPr>
                  </a:pPr>
                </a:p>
              </c:txPr>
              <c:dLblPos val="outEnd"/>
              <c:showLegendKey val="0"/>
              <c:showVal val="0"/>
              <c:showCatName val="1"/>
              <c:showSerName val="0"/>
              <c:showPercent val="1"/>
              <c:showBubbleSize val="0"/>
              <c:separator>
</c:separator>
              <c:extLst>
                <c:ext xmlns:c15="http://schemas.microsoft.com/office/drawing/2012/chart" uri="{CE6537A1-D6FC-4f65-9D91-7224C49458BB}"/>
              </c:extLst>
            </c:dLbl>
            <c:spPr>
              <a:noFill/>
              <a:ln w="9525">
                <a:noFill/>
              </a:ln>
              <a:effectLst/>
            </c:spPr>
            <c:txPr>
              <a:bodyPr rot="0" spcFirstLastPara="0" vertOverflow="ellipsis" vert="horz" wrap="square" lIns="38100" tIns="19050" rIns="38100" bIns="19050" anchor="ctr" anchorCtr="1"/>
              <a:lstStyle/>
              <a:p>
                <a:pPr>
                  <a:defRPr lang="zh-CN" sz="1000" b="1" i="0" u="none" strike="noStrike" kern="1200" baseline="0">
                    <a:solidFill>
                      <a:srgbClr val="599BD5"/>
                    </a:solidFill>
                    <a:latin typeface="+mn-lt"/>
                    <a:ea typeface="+mn-ea"/>
                    <a:cs typeface="+mn-cs"/>
                  </a:defRPr>
                </a:pPr>
              </a:p>
            </c:txPr>
            <c:dLblPos val="outEnd"/>
            <c:showLegendKey val="0"/>
            <c:showVal val="0"/>
            <c:showCatName val="1"/>
            <c:showSerName val="0"/>
            <c:showPercent val="1"/>
            <c:showBubbleSize val="0"/>
            <c:showLeaderLines val="1"/>
            <c:extLst>
              <c:ext xmlns:c15="http://schemas.microsoft.com/office/drawing/2012/chart" uri="{CE6537A1-D6FC-4f65-9D91-7224C49458BB}">
                <c15:layout/>
                <c15:showLeaderLines val="1"/>
                <c15:leaderLines/>
              </c:ext>
            </c:extLst>
          </c:dLbls>
          <c:cat>
            <c:strRef>
              <c:f>图表!$C$7:$C$8</c:f>
              <c:strCache>
                <c:ptCount val="2"/>
                <c:pt idx="0">
                  <c:v>已买入</c:v>
                </c:pt>
                <c:pt idx="1">
                  <c:v>未买入</c:v>
                </c:pt>
              </c:strCache>
            </c:strRef>
          </c:cat>
          <c:val>
            <c:numRef>
              <c:f>图表!$D$7:$D$8</c:f>
              <c:numCache>
                <c:formatCode>0</c:formatCode>
                <c:ptCount val="2"/>
                <c:pt idx="0">
                  <c:v>110.72</c:v>
                </c:pt>
                <c:pt idx="1">
                  <c:v>39.28</c:v>
                </c:pt>
              </c:numCache>
            </c:numRef>
          </c:val>
        </c:ser>
        <c:dLbls>
          <c:showLegendKey val="0"/>
          <c:showVal val="1"/>
          <c:showCatName val="0"/>
          <c:showSerName val="0"/>
          <c:showPercent val="0"/>
          <c:showBubbleSize val="0"/>
          <c:showLeaderLines val="1"/>
        </c:dLbls>
        <c:firstSliceAng val="0"/>
      </c:pieChart>
      <c:spPr>
        <a:noFill/>
        <a:ln w="9525">
          <a:noFill/>
        </a:ln>
      </c:spPr>
    </c:plotArea>
    <c:plotVisOnly val="1"/>
    <c:dispBlanksAs val="gap"/>
    <c:showDLblsOverMax val="0"/>
  </c:chart>
  <c:spPr>
    <a:solidFill>
      <a:srgbClr val="FFFFFF"/>
    </a:solidFill>
    <a:ln w="9525" cap="flat" cmpd="sng" algn="ctr">
      <a:solidFill>
        <a:srgbClr val="D8D8D8"/>
      </a:solidFill>
      <a:prstDash val="solid"/>
      <a:round/>
    </a:ln>
  </c:spPr>
  <c:txPr>
    <a:bodyPr/>
    <a:lstStyle/>
    <a:p>
      <a:pPr>
        <a:defRPr lang="zh-CN" sz="1000" b="0" i="0" u="none" strike="noStrike">
          <a:solidFill>
            <a:srgbClr val="000000"/>
          </a:solidFill>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8</xdr:col>
      <xdr:colOff>0</xdr:colOff>
      <xdr:row>9</xdr:row>
      <xdr:rowOff>0</xdr:rowOff>
    </xdr:from>
    <xdr:to>
      <xdr:col>11</xdr:col>
      <xdr:colOff>0</xdr:colOff>
      <xdr:row>16</xdr:row>
      <xdr:rowOff>0</xdr:rowOff>
    </xdr:to>
    <xdr:graphicFrame>
      <xdr:nvGraphicFramePr>
        <xdr:cNvPr id="2" name="图表 1"/>
        <xdr:cNvGraphicFramePr/>
      </xdr:nvGraphicFramePr>
      <xdr:xfrm>
        <a:off x="3895725" y="2667000"/>
        <a:ext cx="3048000" cy="2222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13</xdr:row>
      <xdr:rowOff>0</xdr:rowOff>
    </xdr:from>
    <xdr:to>
      <xdr:col>17</xdr:col>
      <xdr:colOff>0</xdr:colOff>
      <xdr:row>22</xdr:row>
      <xdr:rowOff>0</xdr:rowOff>
    </xdr:to>
    <xdr:graphicFrame>
      <xdr:nvGraphicFramePr>
        <xdr:cNvPr id="3" name="图表 2"/>
        <xdr:cNvGraphicFramePr/>
      </xdr:nvGraphicFramePr>
      <xdr:xfrm>
        <a:off x="7467600" y="3937000"/>
        <a:ext cx="3048000" cy="28575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184713</xdr:colOff>
      <xdr:row>8</xdr:row>
      <xdr:rowOff>0</xdr:rowOff>
    </xdr:from>
    <xdr:to>
      <xdr:col>28</xdr:col>
      <xdr:colOff>1146784</xdr:colOff>
      <xdr:row>15</xdr:row>
      <xdr:rowOff>0</xdr:rowOff>
    </xdr:to>
    <xdr:graphicFrame>
      <xdr:nvGraphicFramePr>
        <xdr:cNvPr id="4" name="图表 3"/>
        <xdr:cNvGraphicFramePr/>
      </xdr:nvGraphicFramePr>
      <xdr:xfrm>
        <a:off x="14595475" y="2349500"/>
        <a:ext cx="3019425" cy="22225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184713</xdr:colOff>
      <xdr:row>8</xdr:row>
      <xdr:rowOff>0</xdr:rowOff>
    </xdr:from>
    <xdr:to>
      <xdr:col>22</xdr:col>
      <xdr:colOff>1146784</xdr:colOff>
      <xdr:row>15</xdr:row>
      <xdr:rowOff>0</xdr:rowOff>
    </xdr:to>
    <xdr:graphicFrame>
      <xdr:nvGraphicFramePr>
        <xdr:cNvPr id="5" name="图表 4"/>
        <xdr:cNvGraphicFramePr/>
      </xdr:nvGraphicFramePr>
      <xdr:xfrm>
        <a:off x="11023600" y="2349500"/>
        <a:ext cx="3019425" cy="22225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13</xdr:row>
      <xdr:rowOff>0</xdr:rowOff>
    </xdr:from>
    <xdr:to>
      <xdr:col>4</xdr:col>
      <xdr:colOff>1146784</xdr:colOff>
      <xdr:row>21</xdr:row>
      <xdr:rowOff>0</xdr:rowOff>
    </xdr:to>
    <xdr:graphicFrame>
      <xdr:nvGraphicFramePr>
        <xdr:cNvPr id="6" name="图表 5"/>
        <xdr:cNvGraphicFramePr/>
      </xdr:nvGraphicFramePr>
      <xdr:xfrm>
        <a:off x="323850" y="3937000"/>
        <a:ext cx="3003550" cy="25400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8"/>
  <sheetViews>
    <sheetView showGridLines="0" showRowColHeaders="0" topLeftCell="A28" workbookViewId="0">
      <selection activeCell="E11" sqref="E11"/>
    </sheetView>
  </sheetViews>
  <sheetFormatPr defaultColWidth="9" defaultRowHeight="25" customHeight="1"/>
  <cols>
    <col min="1" max="1" width="1.625" style="189" customWidth="1"/>
    <col min="2" max="2" width="2.625" style="190" customWidth="1"/>
    <col min="3" max="3" width="15.625" style="190" customWidth="1"/>
    <col min="4" max="4" width="8.75" style="191" customWidth="1"/>
    <col min="5" max="5" width="15.625" style="191" customWidth="1"/>
    <col min="6" max="6" width="2.625" style="190" customWidth="1"/>
    <col min="7" max="7" width="1.625" style="189" customWidth="1"/>
    <col min="8" max="8" width="2.625" style="190" customWidth="1"/>
    <col min="9" max="9" width="15.625" style="190" customWidth="1"/>
    <col min="10" max="10" width="8.75" style="191" customWidth="1"/>
    <col min="11" max="11" width="15.625" style="191" customWidth="1"/>
    <col min="12" max="12" width="2.625" style="190" customWidth="1"/>
    <col min="13" max="13" width="1.625" style="189" customWidth="1"/>
    <col min="14" max="14" width="2.625" style="190" customWidth="1"/>
    <col min="15" max="15" width="15.625" style="190" customWidth="1"/>
    <col min="16" max="16" width="8.75" style="191" customWidth="1"/>
    <col min="17" max="17" width="15.625" style="191" customWidth="1"/>
    <col min="18" max="18" width="2.625" style="190" customWidth="1"/>
    <col min="19" max="19" width="1.625" style="189" customWidth="1"/>
    <col min="20" max="20" width="2.625" style="190" customWidth="1"/>
    <col min="21" max="21" width="15.625" style="190" customWidth="1"/>
    <col min="22" max="22" width="8.75" style="191" customWidth="1"/>
    <col min="23" max="23" width="15.625" style="191" customWidth="1"/>
    <col min="24" max="24" width="2.625" style="190" customWidth="1"/>
    <col min="25" max="25" width="1.625" style="189" customWidth="1"/>
    <col min="26" max="26" width="2.625" style="190" customWidth="1"/>
    <col min="27" max="27" width="15.625" style="190" customWidth="1"/>
    <col min="28" max="28" width="8.75" style="191" customWidth="1"/>
    <col min="29" max="29" width="15.625" style="191" customWidth="1"/>
    <col min="30" max="30" width="2.625" style="190" customWidth="1"/>
    <col min="31" max="31" width="1.625" style="189" customWidth="1"/>
    <col min="32" max="256" width="9" style="188" customWidth="1"/>
  </cols>
  <sheetData>
    <row r="1" ht="10" customHeight="1" spans="2:30">
      <c r="B1" s="189"/>
      <c r="C1" s="189"/>
      <c r="D1" s="192"/>
      <c r="E1" s="192"/>
      <c r="F1" s="189"/>
      <c r="H1" s="189"/>
      <c r="I1" s="189"/>
      <c r="J1" s="192"/>
      <c r="K1" s="192"/>
      <c r="L1" s="189"/>
      <c r="N1" s="189"/>
      <c r="O1" s="189"/>
      <c r="P1" s="192"/>
      <c r="Q1" s="192"/>
      <c r="R1" s="189"/>
      <c r="T1" s="189"/>
      <c r="U1" s="189"/>
      <c r="V1" s="192"/>
      <c r="W1" s="192"/>
      <c r="X1" s="189"/>
      <c r="Z1" s="189"/>
      <c r="AA1" s="189"/>
      <c r="AB1" s="192"/>
      <c r="AC1" s="192"/>
      <c r="AD1" s="189"/>
    </row>
    <row r="2" ht="35" customHeight="1" spans="2:30">
      <c r="B2" s="188"/>
      <c r="C2" s="193" t="s">
        <v>0</v>
      </c>
      <c r="D2" s="194"/>
      <c r="E2" s="194"/>
      <c r="F2" s="188"/>
      <c r="G2" s="188"/>
      <c r="H2" s="188"/>
      <c r="I2" s="193"/>
      <c r="J2" s="194"/>
      <c r="K2" s="194"/>
      <c r="L2" s="188"/>
      <c r="M2" s="188"/>
      <c r="N2" s="188"/>
      <c r="O2" s="193"/>
      <c r="P2" s="194"/>
      <c r="Q2" s="194"/>
      <c r="R2" s="194"/>
      <c r="S2" s="194"/>
      <c r="T2" s="194"/>
      <c r="U2" s="193"/>
      <c r="V2" s="194"/>
      <c r="W2" s="194"/>
      <c r="X2" s="188"/>
      <c r="Y2" s="188"/>
      <c r="Z2" s="188"/>
      <c r="AA2" s="193"/>
      <c r="AB2" s="194"/>
      <c r="AC2" s="194"/>
      <c r="AD2" s="188"/>
    </row>
    <row r="3" ht="10" customHeight="1" spans="2:30">
      <c r="B3" s="189"/>
      <c r="C3" s="189"/>
      <c r="D3" s="192"/>
      <c r="E3" s="192"/>
      <c r="F3" s="189"/>
      <c r="H3" s="189"/>
      <c r="I3" s="189"/>
      <c r="J3" s="192"/>
      <c r="K3" s="192"/>
      <c r="L3" s="189"/>
      <c r="N3" s="189"/>
      <c r="O3" s="189"/>
      <c r="P3" s="192"/>
      <c r="Q3" s="192"/>
      <c r="R3" s="189"/>
      <c r="T3" s="189"/>
      <c r="U3" s="189"/>
      <c r="V3" s="192"/>
      <c r="W3" s="192"/>
      <c r="X3" s="189"/>
      <c r="Z3" s="189"/>
      <c r="AA3" s="189"/>
      <c r="AB3" s="192"/>
      <c r="AC3" s="192"/>
      <c r="AD3" s="189"/>
    </row>
    <row r="4" ht="30" customHeight="1" spans="3:27">
      <c r="C4" s="195" t="s">
        <v>1</v>
      </c>
      <c r="I4" s="195" t="s">
        <v>2</v>
      </c>
      <c r="O4" s="195" t="s">
        <v>3</v>
      </c>
      <c r="U4" s="195" t="s">
        <v>4</v>
      </c>
      <c r="AA4" s="195" t="s">
        <v>5</v>
      </c>
    </row>
    <row r="5" customHeight="1" spans="3:29">
      <c r="C5" s="196" t="s">
        <v>6</v>
      </c>
      <c r="D5" s="197" t="s">
        <v>7</v>
      </c>
      <c r="E5" s="197" t="s">
        <v>8</v>
      </c>
      <c r="I5" s="196" t="s">
        <v>6</v>
      </c>
      <c r="J5" s="197" t="s">
        <v>7</v>
      </c>
      <c r="K5" s="197" t="s">
        <v>8</v>
      </c>
      <c r="O5" s="196" t="s">
        <v>6</v>
      </c>
      <c r="P5" s="197" t="s">
        <v>7</v>
      </c>
      <c r="Q5" s="197" t="s">
        <v>8</v>
      </c>
      <c r="U5" s="196" t="s">
        <v>6</v>
      </c>
      <c r="V5" s="197" t="s">
        <v>7</v>
      </c>
      <c r="W5" s="197" t="s">
        <v>8</v>
      </c>
      <c r="AA5" s="196" t="s">
        <v>6</v>
      </c>
      <c r="AB5" s="197" t="s">
        <v>7</v>
      </c>
      <c r="AC5" s="197" t="s">
        <v>8</v>
      </c>
    </row>
    <row r="6" customHeight="1" spans="3:29">
      <c r="C6" s="198" t="s">
        <v>9</v>
      </c>
      <c r="D6" s="199">
        <f>参数!D7</f>
        <v>150</v>
      </c>
      <c r="E6" s="200">
        <f>参数!D6</f>
        <v>150000</v>
      </c>
      <c r="I6" s="198" t="s">
        <v>10</v>
      </c>
      <c r="J6" s="199">
        <f>SUMIF(统计!E$7:E$56,GP,统计!J$7:J$56)</f>
        <v>98.72</v>
      </c>
      <c r="K6" s="200">
        <f>SUMIF(统计!E$7:E$56,GP,统计!L$7:L$56)</f>
        <v>99320.9</v>
      </c>
      <c r="O6" s="198" t="s">
        <v>11</v>
      </c>
      <c r="P6" s="199">
        <f>SUMIF(统计!F$7:F$56,$O6,统计!J$7:J$56)</f>
        <v>96.72</v>
      </c>
      <c r="Q6" s="200">
        <f>SUMIF(统计!F$7:F$56,$O6,统计!L$7:L$56)</f>
        <v>97263.3</v>
      </c>
      <c r="U6" s="198" t="s">
        <v>12</v>
      </c>
      <c r="V6" s="199">
        <f>SUMIF(统计!$G$7:$G$56,CW,统计!J$7:J$56)</f>
        <v>70</v>
      </c>
      <c r="W6" s="200">
        <f>SUMIF(统计!$G$7:$G$56,CW,统计!L$7:L$56)</f>
        <v>69847.07</v>
      </c>
      <c r="AA6" s="198" t="s">
        <v>13</v>
      </c>
      <c r="AB6" s="199">
        <f>SUMIF(统计!H$7:H$56,$AA6,统计!J$7:J$56)</f>
        <v>57.72</v>
      </c>
      <c r="AC6" s="200">
        <f>SUMIF(统计!H$7:H$56,$AA6,统计!L$7:L$56)</f>
        <v>58783.5</v>
      </c>
    </row>
    <row r="7" customHeight="1" spans="3:29">
      <c r="C7" s="198" t="s">
        <v>14</v>
      </c>
      <c r="D7" s="199">
        <f>统计!J6</f>
        <v>110.72</v>
      </c>
      <c r="E7" s="200">
        <f>统计!L6</f>
        <v>111630.57</v>
      </c>
      <c r="I7" s="198" t="s">
        <v>15</v>
      </c>
      <c r="J7" s="199">
        <f>SUMIF(统计!E$7:E$56,ZQ,统计!J$7:J$56)</f>
        <v>11</v>
      </c>
      <c r="K7" s="200">
        <f ca="1">SUMIF(统计!E$7:E$57,ZQ,统计!L$7:L$56)</f>
        <v>10847.07</v>
      </c>
      <c r="O7" s="198" t="s">
        <v>16</v>
      </c>
      <c r="P7" s="199">
        <f>SUMIF(统计!F$7:F$56,$O7,统计!J$7:J$56)</f>
        <v>0</v>
      </c>
      <c r="Q7" s="200">
        <f>SUMIF(统计!F$7:F$56,$O7,统计!L$7:L$56)</f>
        <v>0</v>
      </c>
      <c r="U7" s="198" t="s">
        <v>17</v>
      </c>
      <c r="V7" s="199">
        <f>SUMIF(统计!$G$7:$G$56,CN,统计!J$7:J$56)</f>
        <v>40.72</v>
      </c>
      <c r="W7" s="200">
        <f ca="1">SUMIF(统计!$G$7:$G$57,CN,统计!L$7:L$56)</f>
        <v>41783.5</v>
      </c>
      <c r="AA7" s="198" t="s">
        <v>18</v>
      </c>
      <c r="AB7" s="199">
        <f>SUMIF(统计!H$7:H$56,$AA7,统计!J$7:J$56)</f>
        <v>53</v>
      </c>
      <c r="AC7" s="200">
        <f>SUMIF(统计!H$7:H$56,$AA7,统计!L$7:L$56)</f>
        <v>52847.07</v>
      </c>
    </row>
    <row r="8" customHeight="1" spans="3:29">
      <c r="C8" s="198" t="s">
        <v>19</v>
      </c>
      <c r="D8" s="199">
        <f>D6-D7</f>
        <v>39.28</v>
      </c>
      <c r="E8" s="201">
        <f>E6-E7</f>
        <v>38369.43</v>
      </c>
      <c r="I8" s="198" t="s">
        <v>20</v>
      </c>
      <c r="J8" s="199">
        <f>SUMIF(统计!E$7:E$56,sp,统计!J$7:J$56)</f>
        <v>1</v>
      </c>
      <c r="K8" s="200">
        <f>SUMIF(统计!E$7:E$55,sp,统计!L$7:L$55)</f>
        <v>1462.6</v>
      </c>
      <c r="O8" s="198" t="s">
        <v>21</v>
      </c>
      <c r="P8" s="199">
        <f>SUMIF(统计!F$7:F$56,$O8,统计!J$7:J$56)</f>
        <v>2</v>
      </c>
      <c r="Q8" s="200">
        <f>SUMIF(统计!F$7:F$56,$O8,统计!L$7:L$56)</f>
        <v>2057.6</v>
      </c>
      <c r="U8" s="198"/>
      <c r="V8" s="199"/>
      <c r="W8" s="200"/>
      <c r="AA8" s="198"/>
      <c r="AB8" s="199"/>
      <c r="AC8" s="200"/>
    </row>
    <row r="9" customHeight="1" spans="3:27">
      <c r="C9" s="195"/>
      <c r="I9" s="195"/>
      <c r="O9" s="205" t="s">
        <v>22</v>
      </c>
      <c r="P9" s="199">
        <f>SUMIF(统计!F$7:F$56,$O9,统计!J$7:J$56)</f>
        <v>9</v>
      </c>
      <c r="Q9" s="200">
        <f>SUMIF(统计!F$7:F$56,$O9,统计!L$7:L$56)</f>
        <v>8847.07</v>
      </c>
      <c r="U9" s="195"/>
      <c r="AA9" s="195"/>
    </row>
    <row r="10" customHeight="1" spans="3:17">
      <c r="C10" s="196" t="s">
        <v>23</v>
      </c>
      <c r="E10" s="197" t="s">
        <v>24</v>
      </c>
      <c r="O10" s="190" t="s">
        <v>25</v>
      </c>
      <c r="P10" s="199">
        <f>SUMIF(统计!F$7:F$56,$O10,统计!J$7:J$56)</f>
        <v>2</v>
      </c>
      <c r="Q10" s="200">
        <f>SUMIF(统计!F$7:F$56,$O10,统计!L$7:L$56)</f>
        <v>2000</v>
      </c>
    </row>
    <row r="11" customHeight="1" spans="3:17">
      <c r="C11" s="202">
        <f ca="1">TODAY()</f>
        <v>43405</v>
      </c>
      <c r="E11" s="203">
        <v>95441</v>
      </c>
      <c r="O11" s="190" t="s">
        <v>26</v>
      </c>
      <c r="P11" s="199">
        <f>SUMIF(统计!F$7:F$56,$O11,统计!J$7:J$56)</f>
        <v>1</v>
      </c>
      <c r="Q11" s="200">
        <f>SUMIF(统计!F$7:F$56,$O11,统计!L$7:L$56)</f>
        <v>1000</v>
      </c>
    </row>
    <row r="12" customHeight="1" spans="5:17">
      <c r="E12" s="197" t="s">
        <v>27</v>
      </c>
      <c r="O12" s="190" t="s">
        <v>28</v>
      </c>
      <c r="P12" s="199">
        <f>SUMIF(统计!F$7:F$56,$O12,统计!J$7:J$56)</f>
        <v>0</v>
      </c>
      <c r="Q12" s="200">
        <f>SUMIF(统计!F$7:F$56,$O12,统计!L$7:L$56)</f>
        <v>462.599999999999</v>
      </c>
    </row>
    <row r="13" customHeight="1" spans="5:5">
      <c r="E13" s="204" t="e">
        <f>年化!D236</f>
        <v>#VALUE!</v>
      </c>
    </row>
    <row r="14" s="188" customFormat="1" customHeight="1" spans="1:31">
      <c r="A14" s="189"/>
      <c r="B14" s="190"/>
      <c r="C14" s="190"/>
      <c r="D14" s="191"/>
      <c r="E14" s="191"/>
      <c r="F14" s="190"/>
      <c r="G14" s="189"/>
      <c r="H14" s="190"/>
      <c r="I14" s="190"/>
      <c r="J14" s="191"/>
      <c r="K14" s="191"/>
      <c r="L14" s="190"/>
      <c r="M14" s="189"/>
      <c r="N14" s="190"/>
      <c r="O14" s="190"/>
      <c r="P14" s="191"/>
      <c r="Q14" s="191"/>
      <c r="R14" s="190"/>
      <c r="S14" s="189"/>
      <c r="T14" s="190"/>
      <c r="U14" s="190"/>
      <c r="V14" s="191"/>
      <c r="W14" s="191"/>
      <c r="X14" s="190"/>
      <c r="Y14" s="189"/>
      <c r="Z14" s="190"/>
      <c r="AA14" s="190"/>
      <c r="AB14" s="191"/>
      <c r="AC14" s="191"/>
      <c r="AD14" s="190"/>
      <c r="AE14" s="189"/>
    </row>
    <row r="18" s="188" customFormat="1" customHeight="1" spans="1:31">
      <c r="A18" s="189"/>
      <c r="B18" s="190"/>
      <c r="C18" s="190"/>
      <c r="D18" s="191"/>
      <c r="E18" s="191"/>
      <c r="F18" s="190"/>
      <c r="G18" s="189"/>
      <c r="H18" s="190"/>
      <c r="I18" s="190"/>
      <c r="J18" s="191"/>
      <c r="K18" s="191"/>
      <c r="L18" s="190"/>
      <c r="M18" s="189"/>
      <c r="N18" s="190"/>
      <c r="O18" s="190"/>
      <c r="P18" s="191"/>
      <c r="Q18" s="191"/>
      <c r="R18" s="190"/>
      <c r="S18" s="189"/>
      <c r="T18" s="190"/>
      <c r="U18" s="190"/>
      <c r="V18" s="191"/>
      <c r="W18" s="191"/>
      <c r="X18" s="190"/>
      <c r="Y18" s="189"/>
      <c r="Z18" s="190"/>
      <c r="AA18" s="190"/>
      <c r="AB18" s="191"/>
      <c r="AC18" s="191"/>
      <c r="AD18" s="190"/>
      <c r="AE18" s="189"/>
    </row>
  </sheetData>
  <sheetProtection sheet="1" selectLockedCells="1" objects="1"/>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V56"/>
  <sheetViews>
    <sheetView showGridLines="0" showZeros="0" workbookViewId="0">
      <pane ySplit="5" topLeftCell="A36" activePane="bottomLeft" state="frozen"/>
      <selection/>
      <selection pane="bottomLeft" activeCell="E39" sqref="E39"/>
    </sheetView>
  </sheetViews>
  <sheetFormatPr defaultColWidth="9" defaultRowHeight="30" customHeight="1"/>
  <cols>
    <col min="1" max="1" width="1.625" style="60" customWidth="1"/>
    <col min="2" max="2" width="2.625" style="62" customWidth="1"/>
    <col min="3" max="3" width="8.75" style="65" customWidth="1"/>
    <col min="4" max="4" width="27" style="65" customWidth="1"/>
    <col min="5" max="6" width="8.875" style="65" customWidth="1"/>
    <col min="7" max="7" width="7.625" style="65" customWidth="1"/>
    <col min="8" max="8" width="9.5" style="65" customWidth="1"/>
    <col min="9" max="9" width="1.625" style="65" customWidth="1"/>
    <col min="10" max="10" width="6.625" style="159" customWidth="1"/>
    <col min="11" max="12" width="12.625" style="159" customWidth="1"/>
    <col min="13" max="13" width="10.5" style="159" customWidth="1"/>
    <col min="14" max="14" width="1.625" style="65" customWidth="1"/>
    <col min="15" max="17" width="10.625" style="159" customWidth="1"/>
    <col min="18" max="18" width="1.625" style="65" customWidth="1"/>
    <col min="19" max="21" width="10.625" style="159" customWidth="1"/>
    <col min="22" max="22" width="2.625" style="62" customWidth="1"/>
    <col min="23" max="23" width="1.625" style="60" customWidth="1"/>
    <col min="24" max="256" width="9" style="66" customWidth="1"/>
  </cols>
  <sheetData>
    <row r="1" customFormat="1" ht="9.95" customHeight="1" spans="1:256">
      <c r="A1" s="31"/>
      <c r="B1" s="31"/>
      <c r="C1" s="37"/>
      <c r="D1" s="37"/>
      <c r="E1" s="37"/>
      <c r="F1" s="37"/>
      <c r="G1" s="37"/>
      <c r="H1" s="37"/>
      <c r="I1" s="37"/>
      <c r="J1" s="50"/>
      <c r="K1" s="50"/>
      <c r="L1" s="50"/>
      <c r="M1" s="50"/>
      <c r="N1" s="37"/>
      <c r="O1" s="50"/>
      <c r="P1" s="50"/>
      <c r="Q1" s="50"/>
      <c r="R1" s="37"/>
      <c r="S1" s="50"/>
      <c r="T1" s="50"/>
      <c r="U1" s="50"/>
      <c r="V1" s="31"/>
      <c r="W1" s="31"/>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row>
    <row r="2" s="2" customFormat="1" ht="35.1" customHeight="1" spans="1:28">
      <c r="A2" s="112"/>
      <c r="C2" s="38" t="s">
        <v>29</v>
      </c>
      <c r="D2" s="38"/>
      <c r="E2" s="38"/>
      <c r="F2" s="38"/>
      <c r="G2" s="38"/>
      <c r="H2" s="38"/>
      <c r="I2" s="114"/>
      <c r="J2" s="169"/>
      <c r="K2" s="169"/>
      <c r="L2" s="169"/>
      <c r="M2" s="169"/>
      <c r="N2" s="114"/>
      <c r="O2" s="169"/>
      <c r="P2" s="169"/>
      <c r="Q2" s="169"/>
      <c r="R2" s="114"/>
      <c r="S2" s="169"/>
      <c r="T2" s="169"/>
      <c r="U2" s="169"/>
      <c r="W2" s="130"/>
      <c r="X2" s="28"/>
      <c r="Y2" s="29"/>
      <c r="Z2" s="28"/>
      <c r="AA2" s="28"/>
      <c r="AB2" s="30"/>
    </row>
    <row r="3" s="2" customFormat="1" ht="9.95" customHeight="1" spans="1:28">
      <c r="A3" s="112"/>
      <c r="B3" s="112"/>
      <c r="C3" s="116"/>
      <c r="D3" s="117"/>
      <c r="E3" s="117"/>
      <c r="F3" s="117"/>
      <c r="G3" s="117"/>
      <c r="H3" s="117"/>
      <c r="I3" s="117"/>
      <c r="J3" s="51"/>
      <c r="K3" s="51"/>
      <c r="L3" s="51"/>
      <c r="M3" s="51"/>
      <c r="N3" s="117"/>
      <c r="O3" s="51"/>
      <c r="P3" s="51"/>
      <c r="Q3" s="51"/>
      <c r="R3" s="117"/>
      <c r="S3" s="51"/>
      <c r="T3" s="51"/>
      <c r="U3" s="51"/>
      <c r="V3" s="112"/>
      <c r="W3" s="130"/>
      <c r="X3" s="28"/>
      <c r="Y3" s="29"/>
      <c r="Z3" s="28"/>
      <c r="AA3" s="28"/>
      <c r="AB3" s="30"/>
    </row>
    <row r="4" s="66" customFormat="1" ht="24.95" customHeight="1" spans="1:23">
      <c r="A4" s="60"/>
      <c r="B4" s="62"/>
      <c r="C4" s="160" t="s">
        <v>30</v>
      </c>
      <c r="D4" s="160"/>
      <c r="E4" s="161"/>
      <c r="F4" s="161"/>
      <c r="G4" s="161"/>
      <c r="H4" s="161"/>
      <c r="I4" s="119"/>
      <c r="J4" s="170" t="s">
        <v>31</v>
      </c>
      <c r="K4" s="170"/>
      <c r="L4" s="170"/>
      <c r="M4" s="170"/>
      <c r="N4" s="171"/>
      <c r="O4" s="170" t="s">
        <v>32</v>
      </c>
      <c r="P4" s="170"/>
      <c r="Q4" s="170"/>
      <c r="R4" s="119"/>
      <c r="S4" s="170" t="s">
        <v>33</v>
      </c>
      <c r="T4" s="170"/>
      <c r="U4" s="170"/>
      <c r="V4" s="62"/>
      <c r="W4" s="60"/>
    </row>
    <row r="5" s="66" customFormat="1" ht="24.95" customHeight="1" spans="1:23">
      <c r="A5" s="60"/>
      <c r="B5" s="62"/>
      <c r="C5" s="162" t="s">
        <v>34</v>
      </c>
      <c r="D5" s="162" t="s">
        <v>35</v>
      </c>
      <c r="E5" s="162" t="s">
        <v>36</v>
      </c>
      <c r="F5" s="162" t="s">
        <v>37</v>
      </c>
      <c r="G5" s="162" t="s">
        <v>4</v>
      </c>
      <c r="H5" s="162" t="s">
        <v>5</v>
      </c>
      <c r="I5" s="162"/>
      <c r="J5" s="172" t="s">
        <v>38</v>
      </c>
      <c r="K5" s="172" t="s">
        <v>7</v>
      </c>
      <c r="L5" s="172" t="s">
        <v>39</v>
      </c>
      <c r="M5" s="172" t="s">
        <v>40</v>
      </c>
      <c r="N5" s="162"/>
      <c r="O5" s="172" t="s">
        <v>38</v>
      </c>
      <c r="P5" s="172" t="s">
        <v>7</v>
      </c>
      <c r="Q5" s="172" t="s">
        <v>8</v>
      </c>
      <c r="R5" s="162"/>
      <c r="S5" s="172" t="s">
        <v>38</v>
      </c>
      <c r="T5" s="172" t="s">
        <v>7</v>
      </c>
      <c r="U5" s="172" t="s">
        <v>8</v>
      </c>
      <c r="V5" s="62"/>
      <c r="W5" s="60"/>
    </row>
    <row r="6" s="157" customFormat="1" ht="35" customHeight="1" spans="1:256">
      <c r="A6" s="60"/>
      <c r="B6" s="62"/>
      <c r="C6" s="163" t="s">
        <v>41</v>
      </c>
      <c r="D6" s="163"/>
      <c r="E6" s="164"/>
      <c r="F6" s="164"/>
      <c r="G6" s="164"/>
      <c r="H6" s="164"/>
      <c r="I6" s="173"/>
      <c r="J6" s="164">
        <f t="shared" ref="J6:M6" si="0">SUM(J$7:J$56)</f>
        <v>110.72</v>
      </c>
      <c r="K6" s="174">
        <f t="shared" si="0"/>
        <v>93498.4648512368</v>
      </c>
      <c r="L6" s="175">
        <f t="shared" si="0"/>
        <v>111630.57</v>
      </c>
      <c r="M6" s="175"/>
      <c r="N6" s="173"/>
      <c r="O6" s="164">
        <f>SUM(O$7:O$56)</f>
        <v>136.72</v>
      </c>
      <c r="P6" s="164">
        <f>SUM(P$7:P$56)</f>
        <v>134657.265874418</v>
      </c>
      <c r="Q6" s="175">
        <f>SUM(Q$7:Q$56)</f>
        <v>142410</v>
      </c>
      <c r="R6" s="164">
        <f>SUM(R7:R50)</f>
        <v>0</v>
      </c>
      <c r="S6" s="184">
        <f>SUM(S$7:S$56)</f>
        <v>26</v>
      </c>
      <c r="T6" s="175">
        <f>SUM(T$7:T$56)</f>
        <v>41158.8010231815</v>
      </c>
      <c r="U6" s="174">
        <f>SUM(U$7:U$56)</f>
        <v>31704.63</v>
      </c>
      <c r="V6" s="62"/>
      <c r="W6" s="60"/>
      <c r="X6" s="66"/>
      <c r="Y6" s="6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c r="BA6" s="66"/>
      <c r="BB6" s="66"/>
      <c r="BC6" s="66"/>
      <c r="BD6" s="66"/>
      <c r="BE6" s="66"/>
      <c r="BF6" s="66"/>
      <c r="BG6" s="66"/>
      <c r="BH6" s="66"/>
      <c r="BI6" s="66"/>
      <c r="BJ6" s="66"/>
      <c r="BK6" s="66"/>
      <c r="BL6" s="66"/>
      <c r="BM6" s="66"/>
      <c r="BN6" s="66"/>
      <c r="BO6" s="66"/>
      <c r="BP6" s="66"/>
      <c r="BQ6" s="66"/>
      <c r="BR6" s="66"/>
      <c r="BS6" s="66"/>
      <c r="BT6" s="66"/>
      <c r="BU6" s="66"/>
      <c r="BV6" s="66"/>
      <c r="BW6" s="66"/>
      <c r="BX6" s="66"/>
      <c r="BY6" s="66"/>
      <c r="BZ6" s="66"/>
      <c r="CA6" s="66"/>
      <c r="CB6" s="66"/>
      <c r="CC6" s="66"/>
      <c r="CD6" s="66"/>
      <c r="CE6" s="66"/>
      <c r="CF6" s="66"/>
      <c r="CG6" s="66"/>
      <c r="CH6" s="66"/>
      <c r="CI6" s="66"/>
      <c r="CJ6" s="66"/>
      <c r="CK6" s="66"/>
      <c r="CL6" s="66"/>
      <c r="CM6" s="66"/>
      <c r="CN6" s="66"/>
      <c r="CO6" s="66"/>
      <c r="CP6" s="66"/>
      <c r="CQ6" s="66"/>
      <c r="CR6" s="66"/>
      <c r="CS6" s="66"/>
      <c r="CT6" s="66"/>
      <c r="CU6" s="66"/>
      <c r="CV6" s="66"/>
      <c r="CW6" s="66"/>
      <c r="CX6" s="66"/>
      <c r="CY6" s="66"/>
      <c r="CZ6" s="66"/>
      <c r="DA6" s="66"/>
      <c r="DB6" s="66"/>
      <c r="DC6" s="66"/>
      <c r="DD6" s="66"/>
      <c r="DE6" s="66"/>
      <c r="DF6" s="66"/>
      <c r="DG6" s="66"/>
      <c r="DH6" s="66"/>
      <c r="DI6" s="66"/>
      <c r="DJ6" s="66"/>
      <c r="DK6" s="66"/>
      <c r="DL6" s="66"/>
      <c r="DM6" s="66"/>
      <c r="DN6" s="66"/>
      <c r="DO6" s="66"/>
      <c r="DP6" s="66"/>
      <c r="DQ6" s="66"/>
      <c r="DR6" s="66"/>
      <c r="DS6" s="66"/>
      <c r="DT6" s="66"/>
      <c r="DU6" s="66"/>
      <c r="DV6" s="66"/>
      <c r="DW6" s="66"/>
      <c r="DX6" s="66"/>
      <c r="DY6" s="66"/>
      <c r="DZ6" s="66"/>
      <c r="EA6" s="66"/>
      <c r="EB6" s="66"/>
      <c r="EC6" s="66"/>
      <c r="ED6" s="66"/>
      <c r="EE6" s="66"/>
      <c r="EF6" s="66"/>
      <c r="EG6" s="66"/>
      <c r="EH6" s="66"/>
      <c r="EI6" s="66"/>
      <c r="EJ6" s="66"/>
      <c r="EK6" s="66"/>
      <c r="EL6" s="66"/>
      <c r="EM6" s="66"/>
      <c r="EN6" s="66"/>
      <c r="EO6" s="66"/>
      <c r="EP6" s="66"/>
      <c r="EQ6" s="66"/>
      <c r="ER6" s="66"/>
      <c r="ES6" s="66"/>
      <c r="ET6" s="66"/>
      <c r="EU6" s="66"/>
      <c r="EV6" s="66"/>
      <c r="EW6" s="66"/>
      <c r="EX6" s="66"/>
      <c r="EY6" s="66"/>
      <c r="EZ6" s="66"/>
      <c r="FA6" s="66"/>
      <c r="FB6" s="66"/>
      <c r="FC6" s="66"/>
      <c r="FD6" s="66"/>
      <c r="FE6" s="66"/>
      <c r="FF6" s="66"/>
      <c r="FG6" s="66"/>
      <c r="FH6" s="66"/>
      <c r="FI6" s="66"/>
      <c r="FJ6" s="66"/>
      <c r="FK6" s="66"/>
      <c r="FL6" s="66"/>
      <c r="FM6" s="66"/>
      <c r="FN6" s="66"/>
      <c r="FO6" s="66"/>
      <c r="FP6" s="66"/>
      <c r="FQ6" s="66"/>
      <c r="FR6" s="66"/>
      <c r="FS6" s="66"/>
      <c r="FT6" s="66"/>
      <c r="FU6" s="66"/>
      <c r="FV6" s="66"/>
      <c r="FW6" s="66"/>
      <c r="FX6" s="66"/>
      <c r="FY6" s="66"/>
      <c r="FZ6" s="66"/>
      <c r="GA6" s="66"/>
      <c r="GB6" s="66"/>
      <c r="GC6" s="66"/>
      <c r="GD6" s="66"/>
      <c r="GE6" s="66"/>
      <c r="GF6" s="66"/>
      <c r="GG6" s="66"/>
      <c r="GH6" s="66"/>
      <c r="GI6" s="66"/>
      <c r="GJ6" s="66"/>
      <c r="GK6" s="66"/>
      <c r="GL6" s="66"/>
      <c r="GM6" s="66"/>
      <c r="GN6" s="66"/>
      <c r="GO6" s="66"/>
      <c r="GP6" s="66"/>
      <c r="GQ6" s="66"/>
      <c r="GR6" s="66"/>
      <c r="GS6" s="66"/>
      <c r="GT6" s="66"/>
      <c r="GU6" s="66"/>
      <c r="GV6" s="66"/>
      <c r="GW6" s="66"/>
      <c r="GX6" s="66"/>
      <c r="GY6" s="66"/>
      <c r="GZ6" s="66"/>
      <c r="HA6" s="66"/>
      <c r="HB6" s="66"/>
      <c r="HC6" s="66"/>
      <c r="HD6" s="66"/>
      <c r="HE6" s="66"/>
      <c r="HF6" s="66"/>
      <c r="HG6" s="66"/>
      <c r="HH6" s="66"/>
      <c r="HI6" s="66"/>
      <c r="HJ6" s="66"/>
      <c r="HK6" s="66"/>
      <c r="HL6" s="66"/>
      <c r="HM6" s="66"/>
      <c r="HN6" s="66"/>
      <c r="HO6" s="66"/>
      <c r="HP6" s="66"/>
      <c r="HQ6" s="66"/>
      <c r="HR6" s="66"/>
      <c r="HS6" s="66"/>
      <c r="HT6" s="66"/>
      <c r="HU6" s="66"/>
      <c r="HV6" s="66"/>
      <c r="HW6" s="66"/>
      <c r="HX6" s="66"/>
      <c r="HY6" s="66"/>
      <c r="HZ6" s="66"/>
      <c r="IA6" s="66"/>
      <c r="IB6" s="66"/>
      <c r="IC6" s="66"/>
      <c r="ID6" s="66"/>
      <c r="IE6" s="66"/>
      <c r="IF6" s="66"/>
      <c r="IG6" s="66"/>
      <c r="IH6" s="66"/>
      <c r="II6" s="66"/>
      <c r="IJ6" s="66"/>
      <c r="IK6" s="66"/>
      <c r="IL6" s="66"/>
      <c r="IM6" s="66"/>
      <c r="IN6" s="66"/>
      <c r="IO6" s="66"/>
      <c r="IP6" s="66"/>
      <c r="IQ6" s="66"/>
      <c r="IR6" s="66"/>
      <c r="IS6" s="66"/>
      <c r="IT6" s="66"/>
      <c r="IU6" s="66"/>
      <c r="IV6" s="66"/>
    </row>
    <row r="7" customHeight="1" spans="3:21">
      <c r="C7" s="121">
        <f>基金!$C5</f>
        <v>3376</v>
      </c>
      <c r="D7" s="76" t="str">
        <f>基金!$E5</f>
        <v>广发中债7-10年国开债指数A</v>
      </c>
      <c r="E7" s="76" t="str">
        <f>基金!$O5</f>
        <v>债券</v>
      </c>
      <c r="F7" s="76" t="str">
        <f>基金!$Q5</f>
        <v>国内债</v>
      </c>
      <c r="G7" s="76" t="str">
        <f>基金!$G5</f>
        <v>场外</v>
      </c>
      <c r="H7" s="76" t="str">
        <f>基金!$I5</f>
        <v>天天基金</v>
      </c>
      <c r="I7" s="76"/>
      <c r="J7" s="176">
        <f t="shared" ref="J7:M7" si="1">O7-S7</f>
        <v>3</v>
      </c>
      <c r="K7" s="177">
        <f t="shared" si="1"/>
        <v>3191.41948860074</v>
      </c>
      <c r="L7" s="152">
        <f t="shared" si="1"/>
        <v>2860.39</v>
      </c>
      <c r="M7" s="178">
        <f t="shared" ref="M7:M13" si="2">IFERROR(L7/K7,"")</f>
        <v>0.896275155997786</v>
      </c>
      <c r="N7" s="76"/>
      <c r="O7" s="176">
        <f>SUMIFS(交易!$K$5:$K988,交易!$E$5:$E988,$C7,交易!$I$5:$I988,MR)</f>
        <v>6</v>
      </c>
      <c r="P7" s="177">
        <f>SUMIFS(交易!$P$5:$P988,交易!$E$5:$E988,$C7,交易!$I$5:$I988,MR)</f>
        <v>6370.00948860074</v>
      </c>
      <c r="Q7" s="152">
        <f>SUMIFS(交易!$O$5:$O988,交易!$E$5:$E988,$C7,交易!$I$5:$I988,MR)</f>
        <v>6000</v>
      </c>
      <c r="R7" s="76"/>
      <c r="S7" s="185">
        <f>SUMIFS(交易!$K$5:$K988,交易!$E$5:$E988,$C7,交易!$I$5:$I988,MC)</f>
        <v>3</v>
      </c>
      <c r="T7" s="152">
        <f>SUMIFS(交易!$P$5:$P988,交易!$E$5:$E988,$C7,交易!$I$5:$I988,MC)</f>
        <v>3178.59</v>
      </c>
      <c r="U7" s="177">
        <f>SUMIFS(交易!$O$5:$O988,交易!$E$5:$E988,$C7,交易!$I$5:$I988,MC)</f>
        <v>3139.61</v>
      </c>
    </row>
    <row r="8" customHeight="1" spans="3:21">
      <c r="C8" s="121">
        <f>基金!$C6</f>
        <v>100032</v>
      </c>
      <c r="D8" s="76" t="str">
        <f>基金!$E6</f>
        <v>富国中证红利指数增强</v>
      </c>
      <c r="E8" s="76" t="str">
        <f>基金!$O6</f>
        <v>股票</v>
      </c>
      <c r="F8" s="76" t="str">
        <f>基金!$Q6</f>
        <v>A股</v>
      </c>
      <c r="G8" s="76" t="str">
        <f>基金!$G6</f>
        <v>场外</v>
      </c>
      <c r="H8" s="76" t="str">
        <f>基金!$I6</f>
        <v>天天基金</v>
      </c>
      <c r="I8" s="76"/>
      <c r="J8" s="176">
        <f t="shared" ref="J8:J50" si="3">O8-S8</f>
        <v>12</v>
      </c>
      <c r="K8" s="177">
        <f t="shared" ref="K8:K50" si="4">P8-T8</f>
        <v>10614.8929598813</v>
      </c>
      <c r="L8" s="152">
        <f t="shared" ref="L8:L50" si="5">Q8-U8</f>
        <v>12000</v>
      </c>
      <c r="M8" s="178">
        <f t="shared" si="2"/>
        <v>1.13048714154289</v>
      </c>
      <c r="N8" s="76"/>
      <c r="O8" s="176">
        <f>SUMIFS(交易!$K$5:$K989,交易!$E$5:$E989,$C8,交易!$I$5:$I989,MR)</f>
        <v>12</v>
      </c>
      <c r="P8" s="177">
        <f>SUMIFS(交易!$P$5:$P989,交易!$E$5:$E989,$C8,交易!$I$5:$I989,MR)</f>
        <v>10614.8929598813</v>
      </c>
      <c r="Q8" s="152">
        <f>SUMIFS(交易!$O$5:$O989,交易!$E$5:$E989,$C8,交易!$I$5:$I989,MR)</f>
        <v>12000</v>
      </c>
      <c r="R8" s="76"/>
      <c r="S8" s="185">
        <f>SUMIFS(交易!$K$5:$K989,交易!$E$5:$E989,$C8,交易!$I$5:$I989,MC)</f>
        <v>0</v>
      </c>
      <c r="T8" s="152">
        <f>SUMIFS(交易!$P$5:$P989,交易!$E$5:$E989,$C8,交易!$I$5:$I989,MC)</f>
        <v>0</v>
      </c>
      <c r="U8" s="177">
        <f>SUMIFS(交易!$O$5:$O989,交易!$E$5:$E989,$C8,交易!$I$5:$I989,MC)</f>
        <v>0</v>
      </c>
    </row>
    <row r="9" customHeight="1" spans="3:21">
      <c r="C9" s="121">
        <f>基金!$C7</f>
        <v>50027</v>
      </c>
      <c r="D9" s="76" t="str">
        <f>基金!$E7</f>
        <v>博时信用债纯债债券A</v>
      </c>
      <c r="E9" s="76" t="str">
        <f>基金!$O7</f>
        <v>债券</v>
      </c>
      <c r="F9" s="76" t="str">
        <f>基金!$Q7</f>
        <v>国内债</v>
      </c>
      <c r="G9" s="76" t="str">
        <f>基金!$G7</f>
        <v>场外</v>
      </c>
      <c r="H9" s="76" t="str">
        <f>基金!$I7</f>
        <v>天天基金</v>
      </c>
      <c r="I9" s="76"/>
      <c r="J9" s="176">
        <f t="shared" si="3"/>
        <v>1</v>
      </c>
      <c r="K9" s="177">
        <f t="shared" si="4"/>
        <v>932.084884324868</v>
      </c>
      <c r="L9" s="152">
        <f t="shared" si="5"/>
        <v>1003.15</v>
      </c>
      <c r="M9" s="178">
        <f t="shared" si="2"/>
        <v>1.07624318006896</v>
      </c>
      <c r="N9" s="76"/>
      <c r="O9" s="176">
        <f>SUMIFS(交易!$K$5:$K990,交易!$E$5:$E990,$C9,交易!$I$5:$I990,MR)</f>
        <v>2</v>
      </c>
      <c r="P9" s="177">
        <f>SUMIFS(交易!$P$5:$P990,交易!$E$5:$E990,$C9,交易!$I$5:$I990,MR)</f>
        <v>1866.79488432487</v>
      </c>
      <c r="Q9" s="152">
        <f>SUMIFS(交易!$O$5:$O990,交易!$E$5:$E990,$C9,交易!$I$5:$I990,MR)</f>
        <v>2000</v>
      </c>
      <c r="R9" s="76"/>
      <c r="S9" s="185">
        <f>SUMIFS(交易!$K$5:$K990,交易!$E$5:$E990,$C9,交易!$I$5:$I990,MC)</f>
        <v>1</v>
      </c>
      <c r="T9" s="152">
        <f>SUMIFS(交易!$P$5:$P990,交易!$E$5:$E990,$C9,交易!$I$5:$I990,MC)</f>
        <v>934.71</v>
      </c>
      <c r="U9" s="177">
        <f>SUMIFS(交易!$O$5:$O990,交易!$E$5:$E990,$C9,交易!$I$5:$I990,MC)</f>
        <v>996.85</v>
      </c>
    </row>
    <row r="10" customHeight="1" spans="3:21">
      <c r="C10" s="121">
        <f>基金!$C8</f>
        <v>1064</v>
      </c>
      <c r="D10" s="76" t="str">
        <f>基金!$E8</f>
        <v>广发环保指数A</v>
      </c>
      <c r="E10" s="76" t="str">
        <f>基金!$O8</f>
        <v>股票</v>
      </c>
      <c r="F10" s="76" t="str">
        <f>基金!$Q8</f>
        <v>A股</v>
      </c>
      <c r="G10" s="76" t="str">
        <f>基金!$G8</f>
        <v>场外</v>
      </c>
      <c r="H10" s="76" t="str">
        <f>基金!$I8</f>
        <v>天天基金</v>
      </c>
      <c r="I10" s="76"/>
      <c r="J10" s="176">
        <f t="shared" si="3"/>
        <v>10</v>
      </c>
      <c r="K10" s="177">
        <f t="shared" si="4"/>
        <v>14806.2570153494</v>
      </c>
      <c r="L10" s="152">
        <f t="shared" si="5"/>
        <v>10000</v>
      </c>
      <c r="M10" s="178">
        <f t="shared" si="2"/>
        <v>0.675390140103145</v>
      </c>
      <c r="N10" s="76"/>
      <c r="O10" s="176">
        <f>SUMIFS(交易!$K$5:$K991,交易!$E$5:$E991,$C10,交易!$I$5:$I991,MR)</f>
        <v>10</v>
      </c>
      <c r="P10" s="177">
        <f>SUMIFS(交易!$P$5:$P991,交易!$E$5:$E991,$C10,交易!$I$5:$I991,MR)</f>
        <v>14806.2570153494</v>
      </c>
      <c r="Q10" s="152">
        <f>SUMIFS(交易!$O$5:$O991,交易!$E$5:$E991,$C10,交易!$I$5:$I991,MR)</f>
        <v>10000</v>
      </c>
      <c r="R10" s="76"/>
      <c r="S10" s="185">
        <f>SUMIFS(交易!$K$5:$K991,交易!$E$5:$E991,$C10,交易!$I$5:$I991,MC)</f>
        <v>0</v>
      </c>
      <c r="T10" s="152">
        <f>SUMIFS(交易!$P$5:$P991,交易!$E$5:$E991,$C10,交易!$I$5:$I991,MC)</f>
        <v>0</v>
      </c>
      <c r="U10" s="177">
        <f>SUMIFS(交易!$O$5:$O991,交易!$E$5:$E991,$C10,交易!$I$5:$I991,MC)</f>
        <v>0</v>
      </c>
    </row>
    <row r="11" customHeight="1" spans="3:21">
      <c r="C11" s="121">
        <f>基金!$C9</f>
        <v>162411</v>
      </c>
      <c r="D11" s="76" t="str">
        <f>基金!$E9</f>
        <v>华宝油气</v>
      </c>
      <c r="E11" s="76" t="str">
        <f>基金!$O9</f>
        <v>商品</v>
      </c>
      <c r="F11" s="76" t="str">
        <f>基金!$Q9</f>
        <v>原油</v>
      </c>
      <c r="G11" s="76" t="str">
        <f>基金!$G9</f>
        <v>场内</v>
      </c>
      <c r="H11" s="76" t="str">
        <f>基金!$I9</f>
        <v>华泰证券</v>
      </c>
      <c r="I11" s="76"/>
      <c r="J11" s="176">
        <f t="shared" si="3"/>
        <v>0</v>
      </c>
      <c r="K11" s="177">
        <f t="shared" si="4"/>
        <v>0</v>
      </c>
      <c r="L11" s="179">
        <f>U11-Q11</f>
        <v>462.599999999999</v>
      </c>
      <c r="M11" s="178" t="str">
        <f t="shared" si="2"/>
        <v/>
      </c>
      <c r="N11" s="76"/>
      <c r="O11" s="176">
        <f>SUMIFS(交易!$K$5:$K992,交易!$E$5:$E992,$C11,交易!$I$5:$I992,MR)</f>
        <v>9</v>
      </c>
      <c r="P11" s="177">
        <f>SUMIFS(交易!$P$5:$P992,交易!$E$5:$E992,$C11,交易!$I$5:$I992,MR)</f>
        <v>24900</v>
      </c>
      <c r="Q11" s="152">
        <f>SUMIFS(交易!$O$5:$O992,交易!$E$5:$E992,$C11,交易!$I$5:$I992,MR)</f>
        <v>13950.4</v>
      </c>
      <c r="R11" s="76"/>
      <c r="S11" s="185">
        <f>SUMIFS(交易!$K$5:$K992,交易!$E$5:$E992,$C11,交易!$I$5:$I992,MC)</f>
        <v>9</v>
      </c>
      <c r="T11" s="152">
        <f>SUMIFS(交易!$P$5:$P992,交易!$E$5:$E992,$C11,交易!$I$5:$I992,MC)</f>
        <v>24900</v>
      </c>
      <c r="U11" s="177">
        <f>SUMIFS(交易!$O$5:$O992,交易!$E$5:$E992,$C11,交易!$I$5:$I992,MC)</f>
        <v>14413</v>
      </c>
    </row>
    <row r="12" customHeight="1" spans="3:21">
      <c r="C12" s="121">
        <f>基金!$C10</f>
        <v>968</v>
      </c>
      <c r="D12" s="76" t="str">
        <f>基金!$E10</f>
        <v>广发养老指数A</v>
      </c>
      <c r="E12" s="76" t="str">
        <f>基金!$O10</f>
        <v>股票</v>
      </c>
      <c r="F12" s="76" t="str">
        <f>基金!$Q10</f>
        <v>A股</v>
      </c>
      <c r="G12" s="76" t="str">
        <f>基金!$G10</f>
        <v>场外</v>
      </c>
      <c r="H12" s="76" t="str">
        <f>基金!$I10</f>
        <v>天天基金</v>
      </c>
      <c r="I12" s="76"/>
      <c r="J12" s="176">
        <f t="shared" si="3"/>
        <v>9</v>
      </c>
      <c r="K12" s="177">
        <f t="shared" si="4"/>
        <v>9427.63844930751</v>
      </c>
      <c r="L12" s="152">
        <f t="shared" si="5"/>
        <v>9000</v>
      </c>
      <c r="M12" s="178">
        <f t="shared" si="2"/>
        <v>0.954639918405131</v>
      </c>
      <c r="N12" s="76"/>
      <c r="O12" s="176">
        <f>SUMIFS(交易!$K$5:$K993,交易!$E$5:$E993,$C12,交易!$I$5:$I993,MR)</f>
        <v>9</v>
      </c>
      <c r="P12" s="177">
        <f>SUMIFS(交易!$P$5:$P993,交易!$E$5:$E993,$C12,交易!$I$5:$I993,MR)</f>
        <v>9427.63844930751</v>
      </c>
      <c r="Q12" s="152">
        <f>SUMIFS(交易!$O$5:$O993,交易!$E$5:$E993,$C12,交易!$I$5:$I993,MR)</f>
        <v>9000</v>
      </c>
      <c r="R12" s="76"/>
      <c r="S12" s="185">
        <f>SUMIFS(交易!$K$5:$K993,交易!$E$5:$E993,$C12,交易!$I$5:$I993,MC)</f>
        <v>0</v>
      </c>
      <c r="T12" s="152">
        <f>SUMIFS(交易!$P$5:$P993,交易!$E$5:$E993,$C12,交易!$I$5:$I993,MC)</f>
        <v>0</v>
      </c>
      <c r="U12" s="177">
        <f>SUMIFS(交易!$O$5:$O993,交易!$E$5:$E993,$C12,交易!$I$5:$I993,MC)</f>
        <v>0</v>
      </c>
    </row>
    <row r="13" customHeight="1" spans="3:21">
      <c r="C13" s="121">
        <f>基金!$C11</f>
        <v>159938</v>
      </c>
      <c r="D13" s="76" t="str">
        <f>基金!$E11</f>
        <v>广发医药</v>
      </c>
      <c r="E13" s="76" t="str">
        <f>基金!$O11</f>
        <v>股票</v>
      </c>
      <c r="F13" s="76" t="str">
        <f>基金!$Q11</f>
        <v>A股</v>
      </c>
      <c r="G13" s="76" t="str">
        <f>基金!$G11</f>
        <v>场内</v>
      </c>
      <c r="H13" s="76" t="str">
        <f>基金!$I11</f>
        <v>华泰证券</v>
      </c>
      <c r="I13" s="76"/>
      <c r="J13" s="176">
        <f t="shared" si="3"/>
        <v>10</v>
      </c>
      <c r="K13" s="177">
        <f t="shared" si="4"/>
        <v>8100</v>
      </c>
      <c r="L13" s="152">
        <f t="shared" si="5"/>
        <v>10155.7</v>
      </c>
      <c r="M13" s="178">
        <f t="shared" si="2"/>
        <v>1.25379012345679</v>
      </c>
      <c r="N13" s="76"/>
      <c r="O13" s="176">
        <f>SUMIFS(交易!$K$5:$K994,交易!$E$5:$E994,$C13,交易!$I$5:$I994,MR)</f>
        <v>10</v>
      </c>
      <c r="P13" s="177">
        <f>SUMIFS(交易!$P$5:$P994,交易!$E$5:$E994,$C13,交易!$I$5:$I994,MR)</f>
        <v>8100</v>
      </c>
      <c r="Q13" s="152">
        <f>SUMIFS(交易!$O$5:$O994,交易!$E$5:$E994,$C13,交易!$I$5:$I994,MR)</f>
        <v>10155.7</v>
      </c>
      <c r="R13" s="76"/>
      <c r="S13" s="185">
        <f>SUMIFS(交易!$K$5:$K994,交易!$E$5:$E994,$C13,交易!$I$5:$I994,MC)</f>
        <v>0</v>
      </c>
      <c r="T13" s="152">
        <f>SUMIFS(交易!$P$5:$P994,交易!$E$5:$E994,$C13,交易!$I$5:$I994,MC)</f>
        <v>0</v>
      </c>
      <c r="U13" s="177">
        <f>SUMIFS(交易!$O$5:$O994,交易!$E$5:$E994,$C13,交易!$I$5:$I994,MC)</f>
        <v>0</v>
      </c>
    </row>
    <row r="14" customHeight="1" spans="3:21">
      <c r="C14" s="121">
        <f>基金!$C12</f>
        <v>510500</v>
      </c>
      <c r="D14" s="76" t="str">
        <f>基金!$E12</f>
        <v>500ETF</v>
      </c>
      <c r="E14" s="76" t="str">
        <f>基金!$O12</f>
        <v>股票</v>
      </c>
      <c r="F14" s="76" t="str">
        <f>基金!$Q12</f>
        <v>A股</v>
      </c>
      <c r="G14" s="76" t="str">
        <f>基金!$G12</f>
        <v>场内</v>
      </c>
      <c r="H14" s="76" t="str">
        <f>基金!$I12</f>
        <v>华泰证券</v>
      </c>
      <c r="I14" s="76"/>
      <c r="J14" s="176">
        <f t="shared" si="3"/>
        <v>10</v>
      </c>
      <c r="K14" s="177">
        <f t="shared" si="4"/>
        <v>1900</v>
      </c>
      <c r="L14" s="152">
        <f t="shared" si="5"/>
        <v>10513.2</v>
      </c>
      <c r="M14" s="178">
        <f t="shared" ref="M14:M56" si="6">IFERROR(L14/K14,"")</f>
        <v>5.53326315789474</v>
      </c>
      <c r="N14" s="76"/>
      <c r="O14" s="176">
        <f>SUMIFS(交易!$K$5:$K995,交易!$E$5:$E995,$C14,交易!$I$5:$I995,MR)</f>
        <v>14</v>
      </c>
      <c r="P14" s="177">
        <f>SUMIFS(交易!$P$5:$P995,交易!$E$5:$E995,$C14,交易!$I$5:$I995,MR)</f>
        <v>2700</v>
      </c>
      <c r="Q14" s="152">
        <f>SUMIFS(交易!$O$5:$O995,交易!$E$5:$E995,$C14,交易!$I$5:$I995,MR)</f>
        <v>14323.8</v>
      </c>
      <c r="R14" s="76"/>
      <c r="S14" s="185">
        <f>SUMIFS(交易!$K$5:$K995,交易!$E$5:$E995,$C14,交易!$I$5:$I995,MC)</f>
        <v>4</v>
      </c>
      <c r="T14" s="152">
        <f>SUMIFS(交易!$P$5:$P995,交易!$E$5:$E995,$C14,交易!$I$5:$I995,MC)</f>
        <v>800</v>
      </c>
      <c r="U14" s="177">
        <f>SUMIFS(交易!$O$5:$O995,交易!$E$5:$E995,$C14,交易!$I$5:$I995,MC)</f>
        <v>3810.6</v>
      </c>
    </row>
    <row r="15" customHeight="1" spans="3:21">
      <c r="C15" s="121">
        <f>基金!$C13</f>
        <v>159915</v>
      </c>
      <c r="D15" s="76" t="str">
        <f>基金!$E13</f>
        <v>创业板</v>
      </c>
      <c r="E15" s="76" t="str">
        <f>基金!$O13</f>
        <v>股票</v>
      </c>
      <c r="F15" s="76" t="str">
        <f>基金!$Q13</f>
        <v>A股</v>
      </c>
      <c r="G15" s="76" t="str">
        <f>基金!$G13</f>
        <v>场内</v>
      </c>
      <c r="H15" s="76" t="str">
        <f>基金!$I13</f>
        <v>华泰证券</v>
      </c>
      <c r="I15" s="76"/>
      <c r="J15" s="176">
        <f t="shared" si="3"/>
        <v>4</v>
      </c>
      <c r="K15" s="177">
        <f t="shared" si="4"/>
        <v>2700</v>
      </c>
      <c r="L15" s="152">
        <f t="shared" si="5"/>
        <v>3933</v>
      </c>
      <c r="M15" s="178">
        <f t="shared" si="6"/>
        <v>1.45666666666667</v>
      </c>
      <c r="N15" s="76"/>
      <c r="O15" s="176">
        <f>SUMIFS(交易!$K$5:$K996,交易!$E$5:$E996,$C15,交易!$I$5:$I996,MR)</f>
        <v>4</v>
      </c>
      <c r="P15" s="177">
        <f>SUMIFS(交易!$P$5:$P996,交易!$E$5:$E996,$C15,交易!$I$5:$I996,MR)</f>
        <v>2700</v>
      </c>
      <c r="Q15" s="152">
        <f>SUMIFS(交易!$O$5:$O996,交易!$E$5:$E996,$C15,交易!$I$5:$I996,MR)</f>
        <v>3933</v>
      </c>
      <c r="R15" s="76"/>
      <c r="S15" s="185">
        <f>SUMIFS(交易!$K$5:$K996,交易!$E$5:$E996,$C15,交易!$I$5:$I996,MC)</f>
        <v>0</v>
      </c>
      <c r="T15" s="152">
        <f>SUMIFS(交易!$P$5:$P996,交易!$E$5:$E996,$C15,交易!$I$5:$I996,MC)</f>
        <v>0</v>
      </c>
      <c r="U15" s="177">
        <f>SUMIFS(交易!$O$5:$O996,交易!$E$5:$E996,$C15,交易!$I$5:$I996,MC)</f>
        <v>0</v>
      </c>
    </row>
    <row r="16" customHeight="1" spans="3:21">
      <c r="C16" s="121">
        <f>基金!$C14</f>
        <v>159952</v>
      </c>
      <c r="D16" s="76" t="str">
        <f>基金!$E14</f>
        <v>创业ETF</v>
      </c>
      <c r="E16" s="76" t="str">
        <f>基金!$O14</f>
        <v>股票</v>
      </c>
      <c r="F16" s="76" t="str">
        <f>基金!$Q14</f>
        <v>A股</v>
      </c>
      <c r="G16" s="76" t="str">
        <f>基金!$G14</f>
        <v>场内</v>
      </c>
      <c r="H16" s="76" t="str">
        <f>基金!$I14</f>
        <v>华泰证券</v>
      </c>
      <c r="I16" s="76"/>
      <c r="J16" s="176">
        <f t="shared" si="3"/>
        <v>0</v>
      </c>
      <c r="K16" s="177">
        <f t="shared" si="4"/>
        <v>0</v>
      </c>
      <c r="L16" s="152">
        <f t="shared" si="5"/>
        <v>0</v>
      </c>
      <c r="M16" s="178" t="str">
        <f t="shared" si="6"/>
        <v/>
      </c>
      <c r="N16" s="76"/>
      <c r="O16" s="176">
        <f>SUMIFS(交易!$K$5:$K997,交易!$E$5:$E997,$C16,交易!$I$5:$I997,MR)</f>
        <v>0</v>
      </c>
      <c r="P16" s="177">
        <f>SUMIFS(交易!$P$5:$P997,交易!$E$5:$E997,$C16,交易!$I$5:$I997,MR)</f>
        <v>0</v>
      </c>
      <c r="Q16" s="152">
        <f>SUMIFS(交易!$O$5:$O997,交易!$E$5:$E997,$C16,交易!$I$5:$I997,MR)</f>
        <v>0</v>
      </c>
      <c r="R16" s="76"/>
      <c r="S16" s="185">
        <f>SUMIFS(交易!$K$5:$K997,交易!$E$5:$E997,$C16,交易!$I$5:$I997,MC)</f>
        <v>0</v>
      </c>
      <c r="T16" s="152">
        <f>SUMIFS(交易!$P$5:$P997,交易!$E$5:$E997,$C16,交易!$I$5:$I997,MC)</f>
        <v>0</v>
      </c>
      <c r="U16" s="177">
        <f>SUMIFS(交易!$O$5:$O997,交易!$E$5:$E997,$C16,交易!$I$5:$I997,MC)</f>
        <v>0</v>
      </c>
    </row>
    <row r="17" customHeight="1" spans="3:21">
      <c r="C17" s="121">
        <f>基金!$C15</f>
        <v>1061</v>
      </c>
      <c r="D17" s="76" t="str">
        <f>基金!$E15</f>
        <v>华夏海外收益债券A</v>
      </c>
      <c r="E17" s="76" t="str">
        <f>基金!$O15</f>
        <v>债券</v>
      </c>
      <c r="F17" s="76" t="str">
        <f>基金!$Q15</f>
        <v>海外债</v>
      </c>
      <c r="G17" s="76" t="str">
        <f>基金!$G15</f>
        <v>场外</v>
      </c>
      <c r="H17" s="76" t="str">
        <f>基金!$I15</f>
        <v>天天基金</v>
      </c>
      <c r="I17" s="76"/>
      <c r="J17" s="176">
        <f t="shared" si="3"/>
        <v>2</v>
      </c>
      <c r="K17" s="177">
        <f t="shared" si="4"/>
        <v>1696.91485451761</v>
      </c>
      <c r="L17" s="152">
        <f t="shared" si="5"/>
        <v>2000</v>
      </c>
      <c r="M17" s="178">
        <f t="shared" si="6"/>
        <v>1.17860951872482</v>
      </c>
      <c r="N17" s="76"/>
      <c r="O17" s="176">
        <f>SUMIFS(交易!$K$5:$K998,交易!$E$5:$E998,$C17,交易!$I$5:$I998,MR)</f>
        <v>4</v>
      </c>
      <c r="P17" s="177">
        <f>SUMIFS(交易!$P$5:$P998,交易!$E$5:$E998,$C17,交易!$I$5:$I998,MR)</f>
        <v>3295.63587769906</v>
      </c>
      <c r="Q17" s="152">
        <f>SUMIFS(交易!$O$5:$O998,交易!$E$5:$E998,$C17,交易!$I$5:$I998,MR)</f>
        <v>4000</v>
      </c>
      <c r="R17" s="76"/>
      <c r="S17" s="185">
        <f>SUMIFS(交易!$K$5:$K998,交易!$E$5:$E998,$C17,交易!$I$5:$I998,MC)</f>
        <v>2</v>
      </c>
      <c r="T17" s="152">
        <f>SUMIFS(交易!$P$5:$P998,交易!$E$5:$E998,$C17,交易!$I$5:$I998,MC)</f>
        <v>1598.72102318145</v>
      </c>
      <c r="U17" s="177">
        <f>SUMIFS(交易!$O$5:$O998,交易!$E$5:$E998,$C17,交易!$I$5:$I998,MC)</f>
        <v>2000</v>
      </c>
    </row>
    <row r="18" customHeight="1" spans="3:21">
      <c r="C18" s="121">
        <f>基金!$C16</f>
        <v>478</v>
      </c>
      <c r="D18" s="76" t="str">
        <f>基金!$E16</f>
        <v>建信中证500指数增强</v>
      </c>
      <c r="E18" s="76" t="str">
        <f>基金!$O16</f>
        <v>股票</v>
      </c>
      <c r="F18" s="76" t="str">
        <f>基金!$Q16</f>
        <v>A股</v>
      </c>
      <c r="G18" s="76" t="str">
        <f>基金!$G16</f>
        <v>场外</v>
      </c>
      <c r="H18" s="76" t="str">
        <f>基金!$I16</f>
        <v>天天基金</v>
      </c>
      <c r="I18" s="76"/>
      <c r="J18" s="176">
        <f t="shared" si="3"/>
        <v>13</v>
      </c>
      <c r="K18" s="177">
        <f t="shared" si="4"/>
        <v>5690.85023006264</v>
      </c>
      <c r="L18" s="152">
        <f t="shared" si="5"/>
        <v>13000</v>
      </c>
      <c r="M18" s="178">
        <f t="shared" si="6"/>
        <v>2.2843686750577</v>
      </c>
      <c r="N18" s="76"/>
      <c r="O18" s="176">
        <f>SUMIFS(交易!$K$5:$K999,交易!$E$5:$E999,$C18,交易!$I$5:$I999,MR)</f>
        <v>13</v>
      </c>
      <c r="P18" s="177">
        <f>SUMIFS(交易!$P$5:$P999,交易!$E$5:$E999,$C18,交易!$I$5:$I999,MR)</f>
        <v>5690.85023006264</v>
      </c>
      <c r="Q18" s="152">
        <f>SUMIFS(交易!$O$5:$O999,交易!$E$5:$E999,$C18,交易!$I$5:$I999,MR)</f>
        <v>13000</v>
      </c>
      <c r="R18" s="76"/>
      <c r="S18" s="185">
        <f>SUMIFS(交易!$K$5:$K999,交易!$E$5:$E999,$C18,交易!$I$5:$I999,MC)</f>
        <v>0</v>
      </c>
      <c r="T18" s="152">
        <f>SUMIFS(交易!$P$5:$P999,交易!$E$5:$E999,$C18,交易!$I$5:$I999,MC)</f>
        <v>0</v>
      </c>
      <c r="U18" s="177">
        <f>SUMIFS(交易!$O$5:$O999,交易!$E$5:$E999,$C18,交易!$I$5:$I999,MC)</f>
        <v>0</v>
      </c>
    </row>
    <row r="19" customHeight="1" spans="3:21">
      <c r="C19" s="121">
        <f>基金!$C17</f>
        <v>216</v>
      </c>
      <c r="D19" s="76" t="str">
        <f>基金!$E17</f>
        <v>华安黄金易ETF联接A</v>
      </c>
      <c r="E19" s="76" t="str">
        <f>基金!$O17</f>
        <v>商品</v>
      </c>
      <c r="F19" s="76" t="str">
        <f>基金!$Q17</f>
        <v>黄金</v>
      </c>
      <c r="G19" s="76" t="str">
        <f>基金!$G17</f>
        <v>场外</v>
      </c>
      <c r="H19" s="76" t="str">
        <f>基金!$I17</f>
        <v>天天基金</v>
      </c>
      <c r="I19" s="76"/>
      <c r="J19" s="176">
        <f t="shared" si="3"/>
        <v>1</v>
      </c>
      <c r="K19" s="177">
        <f t="shared" si="4"/>
        <v>971.234207968902</v>
      </c>
      <c r="L19" s="152">
        <f t="shared" si="5"/>
        <v>1000</v>
      </c>
      <c r="M19" s="178">
        <f t="shared" si="6"/>
        <v>1.0296177706624</v>
      </c>
      <c r="N19" s="76"/>
      <c r="O19" s="176">
        <f>SUMIFS(交易!$K$5:$K1000,交易!$E$5:$E1000,$C19,交易!$I$5:$I1000,MR)</f>
        <v>1</v>
      </c>
      <c r="P19" s="177">
        <f>SUMIFS(交易!$P$5:$P1000,交易!$E$5:$E1000,$C19,交易!$I$5:$I1000,MR)</f>
        <v>971.234207968902</v>
      </c>
      <c r="Q19" s="152">
        <f>SUMIFS(交易!$O$5:$O1000,交易!$E$5:$E1000,$C19,交易!$I$5:$I1000,MR)</f>
        <v>1000</v>
      </c>
      <c r="R19" s="76"/>
      <c r="S19" s="185">
        <f>SUMIFS(交易!$K$5:$K1000,交易!$E$5:$E1000,$C19,交易!$I$5:$I1000,MC)</f>
        <v>0</v>
      </c>
      <c r="T19" s="152">
        <f>SUMIFS(交易!$P$5:$P1000,交易!$E$5:$E1000,$C19,交易!$I$5:$I1000,MC)</f>
        <v>0</v>
      </c>
      <c r="U19" s="177">
        <f>SUMIFS(交易!$O$5:$O1000,交易!$E$5:$E1000,$C19,交易!$I$5:$I1000,MC)</f>
        <v>0</v>
      </c>
    </row>
    <row r="20" customHeight="1" spans="3:21">
      <c r="C20" s="121">
        <f>基金!$C18</f>
        <v>270048</v>
      </c>
      <c r="D20" s="76" t="str">
        <f>基金!$E18</f>
        <v>广发纯债债券A</v>
      </c>
      <c r="E20" s="76" t="str">
        <f>基金!$O18</f>
        <v>债券</v>
      </c>
      <c r="F20" s="76" t="str">
        <f>基金!$Q18</f>
        <v>国内债</v>
      </c>
      <c r="G20" s="76" t="str">
        <f>基金!$G18</f>
        <v>场外</v>
      </c>
      <c r="H20" s="76" t="str">
        <f>基金!$I18</f>
        <v>天天基金</v>
      </c>
      <c r="I20" s="76"/>
      <c r="J20" s="176">
        <f t="shared" si="3"/>
        <v>1</v>
      </c>
      <c r="K20" s="177">
        <f t="shared" si="4"/>
        <v>840.369719889952</v>
      </c>
      <c r="L20" s="152">
        <f t="shared" si="5"/>
        <v>983.53</v>
      </c>
      <c r="M20" s="178">
        <f t="shared" si="6"/>
        <v>1.17035392485202</v>
      </c>
      <c r="N20" s="76"/>
      <c r="O20" s="176">
        <f>SUMIFS(交易!$K$5:$K1001,交易!$E$5:$E1001,$C20,交易!$I$5:$I1001,MR)</f>
        <v>2</v>
      </c>
      <c r="P20" s="177">
        <f>SUMIFS(交易!$P$5:$P1001,交易!$E$5:$E1001,$C20,交易!$I$5:$I1001,MR)</f>
        <v>1687.14971988995</v>
      </c>
      <c r="Q20" s="152">
        <f>SUMIFS(交易!$O$5:$O1001,交易!$E$5:$E1001,$C20,交易!$I$5:$I1001,MR)</f>
        <v>2000</v>
      </c>
      <c r="R20" s="76"/>
      <c r="S20" s="185">
        <f>SUMIFS(交易!$K$5:$K1001,交易!$E$5:$E1001,$C20,交易!$I$5:$I1001,MC)</f>
        <v>1</v>
      </c>
      <c r="T20" s="152">
        <f>SUMIFS(交易!$P$5:$P1001,交易!$E$5:$E1001,$C20,交易!$I$5:$I1001,MC)</f>
        <v>846.78</v>
      </c>
      <c r="U20" s="177">
        <f>SUMIFS(交易!$O$5:$O1001,交易!$E$5:$E1001,$C20,交易!$I$5:$I1001,MC)</f>
        <v>1016.47</v>
      </c>
    </row>
    <row r="21" customHeight="1" spans="3:21">
      <c r="C21" s="121">
        <f>基金!$C19</f>
        <v>510050</v>
      </c>
      <c r="D21" s="76" t="str">
        <f>基金!$E19</f>
        <v>50ETF</v>
      </c>
      <c r="E21" s="76" t="str">
        <f>基金!$O19</f>
        <v>股票</v>
      </c>
      <c r="F21" s="76" t="str">
        <f>基金!$Q19</f>
        <v>A股</v>
      </c>
      <c r="G21" s="76" t="str">
        <f>基金!$G19</f>
        <v>场内</v>
      </c>
      <c r="H21" s="76" t="str">
        <f>基金!$I19</f>
        <v>华泰证券</v>
      </c>
      <c r="I21" s="76"/>
      <c r="J21" s="176">
        <f t="shared" si="3"/>
        <v>2</v>
      </c>
      <c r="K21" s="177">
        <f t="shared" si="4"/>
        <v>800</v>
      </c>
      <c r="L21" s="152">
        <f t="shared" si="5"/>
        <v>1983.2</v>
      </c>
      <c r="M21" s="178">
        <f t="shared" si="6"/>
        <v>2.479</v>
      </c>
      <c r="N21" s="76"/>
      <c r="O21" s="176">
        <f>SUMIFS(交易!$K$5:$K1002,交易!$E$5:$E1002,$C21,交易!$I$5:$I1002,MR)</f>
        <v>2</v>
      </c>
      <c r="P21" s="177">
        <f>SUMIFS(交易!$P$5:$P1002,交易!$E$5:$E1002,$C21,交易!$I$5:$I1002,MR)</f>
        <v>800</v>
      </c>
      <c r="Q21" s="152">
        <f>SUMIFS(交易!$O$5:$O1002,交易!$E$5:$E1002,$C21,交易!$I$5:$I1002,MR)</f>
        <v>1983.2</v>
      </c>
      <c r="R21" s="76"/>
      <c r="S21" s="185">
        <f>SUMIFS(交易!$K$5:$K1002,交易!$E$5:$E1002,$C21,交易!$I$5:$I1002,MC)</f>
        <v>0</v>
      </c>
      <c r="T21" s="152">
        <f>SUMIFS(交易!$P$5:$P1002,交易!$E$5:$E1002,$C21,交易!$I$5:$I1002,MC)</f>
        <v>0</v>
      </c>
      <c r="U21" s="177">
        <f>SUMIFS(交易!$O$5:$O1002,交易!$E$5:$E1002,$C21,交易!$I$5:$I1002,MC)</f>
        <v>0</v>
      </c>
    </row>
    <row r="22" customHeight="1" spans="3:21">
      <c r="C22" s="121">
        <f>基金!$C20</f>
        <v>160222</v>
      </c>
      <c r="D22" s="76" t="str">
        <f>基金!$E20</f>
        <v>国泰国政食品饮料行业指数分级</v>
      </c>
      <c r="E22" s="76" t="str">
        <f>基金!$O20</f>
        <v>股票</v>
      </c>
      <c r="F22" s="76" t="str">
        <f>基金!$Q20</f>
        <v>A股</v>
      </c>
      <c r="G22" s="76" t="str">
        <f>基金!$G20</f>
        <v>场外</v>
      </c>
      <c r="H22" s="76" t="str">
        <f>基金!$I20</f>
        <v>天天基金</v>
      </c>
      <c r="I22" s="76"/>
      <c r="J22" s="176">
        <f t="shared" si="3"/>
        <v>0</v>
      </c>
      <c r="K22" s="177">
        <f t="shared" si="4"/>
        <v>0</v>
      </c>
      <c r="L22" s="152">
        <f t="shared" si="5"/>
        <v>0</v>
      </c>
      <c r="M22" s="178" t="str">
        <f t="shared" si="6"/>
        <v/>
      </c>
      <c r="N22" s="76"/>
      <c r="O22" s="176">
        <f>SUMIFS(交易!$K$5:$K1003,交易!$E$5:$E1003,$C22,交易!$I$5:$I1003,MR)</f>
        <v>0</v>
      </c>
      <c r="P22" s="177">
        <f>SUMIFS(交易!$P$5:$P1003,交易!$E$5:$E1003,$C22,交易!$I$5:$I1003,MR)</f>
        <v>0</v>
      </c>
      <c r="Q22" s="152">
        <f>SUMIFS(交易!$O$5:$O1003,交易!$E$5:$E1003,$C22,交易!$I$5:$I1003,MR)</f>
        <v>0</v>
      </c>
      <c r="R22" s="76"/>
      <c r="S22" s="185">
        <f>SUMIFS(交易!$K$5:$K1003,交易!$E$5:$E1003,$C22,交易!$I$5:$I1003,MC)</f>
        <v>0</v>
      </c>
      <c r="T22" s="152">
        <f>SUMIFS(交易!$P$5:$P1003,交易!$E$5:$E1003,$C22,交易!$I$5:$I1003,MC)</f>
        <v>0</v>
      </c>
      <c r="U22" s="177">
        <f>SUMIFS(交易!$O$5:$O1003,交易!$E$5:$E1003,$C22,交易!$I$5:$I1003,MC)</f>
        <v>0</v>
      </c>
    </row>
    <row r="23" customHeight="1" spans="3:21">
      <c r="C23" s="121">
        <f>基金!$C21</f>
        <v>510180</v>
      </c>
      <c r="D23" s="76" t="str">
        <f>基金!$E21</f>
        <v>180ETF</v>
      </c>
      <c r="E23" s="76" t="str">
        <f>基金!$O21</f>
        <v>股票</v>
      </c>
      <c r="F23" s="76" t="str">
        <f>基金!$Q21</f>
        <v>A股</v>
      </c>
      <c r="G23" s="76" t="str">
        <f>基金!$G21</f>
        <v>场内</v>
      </c>
      <c r="H23" s="76" t="str">
        <f>基金!$I21</f>
        <v>华泰证券</v>
      </c>
      <c r="I23" s="76"/>
      <c r="J23" s="176">
        <f t="shared" si="3"/>
        <v>0</v>
      </c>
      <c r="K23" s="177">
        <f t="shared" si="4"/>
        <v>0</v>
      </c>
      <c r="L23" s="152">
        <f t="shared" si="5"/>
        <v>0</v>
      </c>
      <c r="M23" s="178" t="str">
        <f t="shared" si="6"/>
        <v/>
      </c>
      <c r="N23" s="76"/>
      <c r="O23" s="176">
        <f>SUMIFS(交易!$K$5:$K1004,交易!$E$5:$E1004,$C23,交易!$I$5:$I1004,MR)</f>
        <v>0</v>
      </c>
      <c r="P23" s="177">
        <f>SUMIFS(交易!$P$5:$P1004,交易!$E$5:$E1004,$C23,交易!$I$5:$I1004,MR)</f>
        <v>0</v>
      </c>
      <c r="Q23" s="152">
        <f>SUMIFS(交易!$O$5:$O1004,交易!$E$5:$E1004,$C23,交易!$I$5:$I1004,MR)</f>
        <v>0</v>
      </c>
      <c r="R23" s="76"/>
      <c r="S23" s="185">
        <f>SUMIFS(交易!$K$5:$K1004,交易!$E$5:$E1004,$C23,交易!$I$5:$I1004,MC)</f>
        <v>0</v>
      </c>
      <c r="T23" s="152">
        <f>SUMIFS(交易!$P$5:$P1004,交易!$E$5:$E1004,$C23,交易!$I$5:$I1004,MC)</f>
        <v>0</v>
      </c>
      <c r="U23" s="177">
        <f>SUMIFS(交易!$O$5:$O1004,交易!$E$5:$E1004,$C23,交易!$I$5:$I1004,MC)</f>
        <v>0</v>
      </c>
    </row>
    <row r="24" customHeight="1" spans="3:21">
      <c r="C24" s="121">
        <f>基金!$C22</f>
        <v>501018</v>
      </c>
      <c r="D24" s="76" t="str">
        <f>基金!$E22</f>
        <v>南方原油</v>
      </c>
      <c r="E24" s="76" t="str">
        <f>基金!$O22</f>
        <v>商品</v>
      </c>
      <c r="F24" s="76" t="str">
        <f>基金!$Q22</f>
        <v>原油</v>
      </c>
      <c r="G24" s="76" t="str">
        <f>基金!$G22</f>
        <v>场内</v>
      </c>
      <c r="H24" s="76" t="str">
        <f>基金!$I22</f>
        <v>华泰证券</v>
      </c>
      <c r="I24" s="76"/>
      <c r="J24" s="176">
        <f t="shared" si="3"/>
        <v>0</v>
      </c>
      <c r="K24" s="177">
        <f t="shared" si="4"/>
        <v>0</v>
      </c>
      <c r="L24" s="152">
        <f t="shared" si="5"/>
        <v>0</v>
      </c>
      <c r="M24" s="178" t="str">
        <f t="shared" si="6"/>
        <v/>
      </c>
      <c r="N24" s="76"/>
      <c r="O24" s="176">
        <f>SUMIFS(交易!$K$5:$K1005,交易!$E$5:$E1005,$C24,交易!$I$5:$I1005,MR)</f>
        <v>0</v>
      </c>
      <c r="P24" s="177">
        <f>SUMIFS(交易!$P$5:$P1005,交易!$E$5:$E1005,$C24,交易!$I$5:$I1005,MR)</f>
        <v>0</v>
      </c>
      <c r="Q24" s="152">
        <f>SUMIFS(交易!$O$5:$O1005,交易!$E$5:$E1005,$C24,交易!$I$5:$I1005,MR)</f>
        <v>0</v>
      </c>
      <c r="R24" s="76"/>
      <c r="S24" s="185">
        <f>SUMIFS(交易!$K$5:$K1005,交易!$E$5:$E1005,$C24,交易!$I$5:$I1005,MC)</f>
        <v>0</v>
      </c>
      <c r="T24" s="152">
        <f>SUMIFS(交易!$P$5:$P1005,交易!$E$5:$E1005,$C24,交易!$I$5:$I1005,MC)</f>
        <v>0</v>
      </c>
      <c r="U24" s="177">
        <f>SUMIFS(交易!$O$5:$O1005,交易!$E$5:$E1005,$C24,交易!$I$5:$I1005,MC)</f>
        <v>0</v>
      </c>
    </row>
    <row r="25" customHeight="1" spans="3:21">
      <c r="C25" s="121">
        <f>基金!$C23</f>
        <v>513030</v>
      </c>
      <c r="D25" s="76" t="str">
        <f>基金!$E23</f>
        <v>德国30</v>
      </c>
      <c r="E25" s="76" t="str">
        <f>基金!$O23</f>
        <v>股票</v>
      </c>
      <c r="F25" s="76" t="str">
        <f>基金!$Q23</f>
        <v>海外股</v>
      </c>
      <c r="G25" s="76" t="str">
        <f>基金!$G23</f>
        <v>场内</v>
      </c>
      <c r="H25" s="76" t="str">
        <f>基金!$I23</f>
        <v>华泰证券</v>
      </c>
      <c r="I25" s="76"/>
      <c r="J25" s="176">
        <f t="shared" si="3"/>
        <v>0</v>
      </c>
      <c r="K25" s="177">
        <f t="shared" si="4"/>
        <v>0</v>
      </c>
      <c r="L25" s="152">
        <f t="shared" si="5"/>
        <v>0</v>
      </c>
      <c r="M25" s="178" t="str">
        <f t="shared" si="6"/>
        <v/>
      </c>
      <c r="N25" s="76"/>
      <c r="O25" s="176">
        <f>SUMIFS(交易!$K$5:$K1006,交易!$E$5:$E1006,$C25,交易!$I$5:$I1006,MR)</f>
        <v>0</v>
      </c>
      <c r="P25" s="177">
        <f>SUMIFS(交易!$P$5:$P1006,交易!$E$5:$E1006,$C25,交易!$I$5:$I1006,MR)</f>
        <v>0</v>
      </c>
      <c r="Q25" s="152">
        <f>SUMIFS(交易!$O$5:$O1006,交易!$E$5:$E1006,$C25,交易!$I$5:$I1006,MR)</f>
        <v>0</v>
      </c>
      <c r="R25" s="76"/>
      <c r="S25" s="185">
        <f>SUMIFS(交易!$K$5:$K1006,交易!$E$5:$E1006,$C25,交易!$I$5:$I1006,MC)</f>
        <v>0</v>
      </c>
      <c r="T25" s="152">
        <f>SUMIFS(交易!$P$5:$P1006,交易!$E$5:$E1006,$C25,交易!$I$5:$I1006,MC)</f>
        <v>0</v>
      </c>
      <c r="U25" s="177">
        <f>SUMIFS(交易!$O$5:$O1006,交易!$E$5:$E1006,$C25,交易!$I$5:$I1006,MC)</f>
        <v>0</v>
      </c>
    </row>
    <row r="26" customHeight="1" spans="3:21">
      <c r="C26" s="121">
        <f>基金!$C24</f>
        <v>510300</v>
      </c>
      <c r="D26" s="76" t="str">
        <f>基金!$E24</f>
        <v>300ETF</v>
      </c>
      <c r="E26" s="76" t="str">
        <f>基金!$O24</f>
        <v>股票</v>
      </c>
      <c r="F26" s="76" t="str">
        <f>基金!$Q24</f>
        <v>A股</v>
      </c>
      <c r="G26" s="76" t="str">
        <f>基金!$G24</f>
        <v>场内</v>
      </c>
      <c r="H26" s="76" t="str">
        <f>基金!$I24</f>
        <v>华泰证券</v>
      </c>
      <c r="I26" s="76"/>
      <c r="J26" s="176">
        <f t="shared" si="3"/>
        <v>0</v>
      </c>
      <c r="K26" s="177">
        <f t="shared" si="4"/>
        <v>0</v>
      </c>
      <c r="L26" s="152">
        <f t="shared" si="5"/>
        <v>0</v>
      </c>
      <c r="M26" s="178" t="str">
        <f t="shared" si="6"/>
        <v/>
      </c>
      <c r="N26" s="76"/>
      <c r="O26" s="176">
        <f>SUMIFS(交易!$K$5:$K1007,交易!$E$5:$E1007,$C26,交易!$I$5:$I1007,MR)</f>
        <v>0</v>
      </c>
      <c r="P26" s="177">
        <f>SUMIFS(交易!$P$5:$P1007,交易!$E$5:$E1007,$C26,交易!$I$5:$I1007,MR)</f>
        <v>0</v>
      </c>
      <c r="Q26" s="152">
        <f>SUMIFS(交易!$O$5:$O1007,交易!$E$5:$E1007,$C26,交易!$I$5:$I1007,MR)</f>
        <v>0</v>
      </c>
      <c r="R26" s="76"/>
      <c r="S26" s="185">
        <f>SUMIFS(交易!$K$5:$K1007,交易!$E$5:$E1007,$C26,交易!$I$5:$I1007,MC)</f>
        <v>0</v>
      </c>
      <c r="T26" s="152">
        <f>SUMIFS(交易!$P$5:$P1007,交易!$E$5:$E1007,$C26,交易!$I$5:$I1007,MC)</f>
        <v>0</v>
      </c>
      <c r="U26" s="177">
        <f>SUMIFS(交易!$O$5:$O1007,交易!$E$5:$E1007,$C26,交易!$I$5:$I1007,MC)</f>
        <v>0</v>
      </c>
    </row>
    <row r="27" customHeight="1" spans="3:21">
      <c r="C27" s="121">
        <f>基金!$C25</f>
        <v>159920</v>
      </c>
      <c r="D27" s="76" t="str">
        <f>基金!$E25</f>
        <v>恒生ETF</v>
      </c>
      <c r="E27" s="76" t="str">
        <f>基金!$O25</f>
        <v>股票</v>
      </c>
      <c r="F27" s="76" t="str">
        <f>基金!$Q25</f>
        <v>港股</v>
      </c>
      <c r="G27" s="76" t="str">
        <f>基金!$G25</f>
        <v>场内</v>
      </c>
      <c r="H27" s="76" t="str">
        <f>基金!$I25</f>
        <v>华泰证券</v>
      </c>
      <c r="I27" s="76"/>
      <c r="J27" s="176">
        <f t="shared" si="3"/>
        <v>0</v>
      </c>
      <c r="K27" s="177">
        <f t="shared" si="4"/>
        <v>0</v>
      </c>
      <c r="L27" s="152">
        <f t="shared" si="5"/>
        <v>0</v>
      </c>
      <c r="M27" s="178" t="str">
        <f t="shared" si="6"/>
        <v/>
      </c>
      <c r="N27" s="76"/>
      <c r="O27" s="176">
        <f>SUMIFS(交易!$K$5:$K1008,交易!$E$5:$E1008,$C27,交易!$I$5:$I1008,MR)</f>
        <v>0</v>
      </c>
      <c r="P27" s="177">
        <f>SUMIFS(交易!$P$5:$P1008,交易!$E$5:$E1008,$C27,交易!$I$5:$I1008,MR)</f>
        <v>0</v>
      </c>
      <c r="Q27" s="152">
        <f>SUMIFS(交易!$O$5:$O1008,交易!$E$5:$E1008,$C27,交易!$I$5:$I1008,MR)</f>
        <v>0</v>
      </c>
      <c r="R27" s="76"/>
      <c r="S27" s="185">
        <f>SUMIFS(交易!$K$5:$K1008,交易!$E$5:$E1008,$C27,交易!$I$5:$I1008,MC)</f>
        <v>0</v>
      </c>
      <c r="T27" s="152">
        <f>SUMIFS(交易!$P$5:$P1008,交易!$E$5:$E1008,$C27,交易!$I$5:$I1008,MC)</f>
        <v>0</v>
      </c>
      <c r="U27" s="177">
        <f>SUMIFS(交易!$O$5:$O1008,交易!$E$5:$E1008,$C27,交易!$I$5:$I1008,MC)</f>
        <v>0</v>
      </c>
    </row>
    <row r="28" customHeight="1" spans="3:21">
      <c r="C28" s="121">
        <f>基金!$C26</f>
        <v>159901</v>
      </c>
      <c r="D28" s="76" t="str">
        <f>基金!$E26</f>
        <v>深100ETF</v>
      </c>
      <c r="E28" s="76" t="str">
        <f>基金!$O26</f>
        <v>股票</v>
      </c>
      <c r="F28" s="76" t="str">
        <f>基金!$Q26</f>
        <v>A股</v>
      </c>
      <c r="G28" s="76" t="str">
        <f>基金!$G26</f>
        <v>场内</v>
      </c>
      <c r="H28" s="76" t="str">
        <f>基金!$I26</f>
        <v>华泰证券</v>
      </c>
      <c r="I28" s="76"/>
      <c r="J28" s="176">
        <f t="shared" si="3"/>
        <v>0</v>
      </c>
      <c r="K28" s="177">
        <f t="shared" si="4"/>
        <v>0</v>
      </c>
      <c r="L28" s="152">
        <f t="shared" si="5"/>
        <v>0</v>
      </c>
      <c r="M28" s="178" t="str">
        <f t="shared" si="6"/>
        <v/>
      </c>
      <c r="N28" s="76"/>
      <c r="O28" s="176">
        <f>SUMIFS(交易!$K$5:$K1009,交易!$E$5:$E1009,$C28,交易!$I$5:$I1009,MR)</f>
        <v>0</v>
      </c>
      <c r="P28" s="177">
        <f>SUMIFS(交易!$P$5:$P1009,交易!$E$5:$E1009,$C28,交易!$I$5:$I1009,MR)</f>
        <v>0</v>
      </c>
      <c r="Q28" s="152">
        <f>SUMIFS(交易!$O$5:$O1009,交易!$E$5:$E1009,$C28,交易!$I$5:$I1009,MR)</f>
        <v>0</v>
      </c>
      <c r="R28" s="76"/>
      <c r="S28" s="185">
        <f>SUMIFS(交易!$K$5:$K1009,交易!$E$5:$E1009,$C28,交易!$I$5:$I1009,MC)</f>
        <v>0</v>
      </c>
      <c r="T28" s="152">
        <f>SUMIFS(交易!$P$5:$P1009,交易!$E$5:$E1009,$C28,交易!$I$5:$I1009,MC)</f>
        <v>0</v>
      </c>
      <c r="U28" s="177">
        <f>SUMIFS(交易!$O$5:$O1009,交易!$E$5:$E1009,$C28,交易!$I$5:$I1009,MC)</f>
        <v>0</v>
      </c>
    </row>
    <row r="29" customHeight="1" spans="3:21">
      <c r="C29" s="121">
        <f>基金!$C27</f>
        <v>160416</v>
      </c>
      <c r="D29" s="76" t="str">
        <f>基金!$E27</f>
        <v>华安石油</v>
      </c>
      <c r="E29" s="76" t="str">
        <f>基金!$O27</f>
        <v>商品</v>
      </c>
      <c r="F29" s="76" t="str">
        <f>基金!$Q27</f>
        <v>原油</v>
      </c>
      <c r="G29" s="76" t="str">
        <f>基金!$G27</f>
        <v>场内</v>
      </c>
      <c r="H29" s="76" t="str">
        <f>基金!$I27</f>
        <v>华泰证券</v>
      </c>
      <c r="I29" s="76"/>
      <c r="J29" s="176">
        <f t="shared" si="3"/>
        <v>0</v>
      </c>
      <c r="K29" s="177">
        <f t="shared" si="4"/>
        <v>0</v>
      </c>
      <c r="L29" s="152">
        <f t="shared" si="5"/>
        <v>0</v>
      </c>
      <c r="M29" s="178" t="str">
        <f t="shared" si="6"/>
        <v/>
      </c>
      <c r="N29" s="76"/>
      <c r="O29" s="176">
        <f>SUMIFS(交易!$K$5:$K1010,交易!$E$5:$E1010,$C29,交易!$I$5:$I1010,MR)</f>
        <v>0</v>
      </c>
      <c r="P29" s="177">
        <f>SUMIFS(交易!$P$5:$P1010,交易!$E$5:$E1010,$C29,交易!$I$5:$I1010,MR)</f>
        <v>0</v>
      </c>
      <c r="Q29" s="152">
        <f>SUMIFS(交易!$O$5:$O1010,交易!$E$5:$E1010,$C29,交易!$I$5:$I1010,MR)</f>
        <v>0</v>
      </c>
      <c r="R29" s="76"/>
      <c r="S29" s="185">
        <f>SUMIFS(交易!$K$5:$K1010,交易!$E$5:$E1010,$C29,交易!$I$5:$I1010,MC)</f>
        <v>0</v>
      </c>
      <c r="T29" s="152">
        <f>SUMIFS(交易!$P$5:$P1010,交易!$E$5:$E1010,$C29,交易!$I$5:$I1010,MC)</f>
        <v>0</v>
      </c>
      <c r="U29" s="177">
        <f>SUMIFS(交易!$O$5:$O1010,交易!$E$5:$E1010,$C29,交易!$I$5:$I1010,MC)</f>
        <v>0</v>
      </c>
    </row>
    <row r="30" customHeight="1" spans="3:21">
      <c r="C30" s="121">
        <f>基金!$C28</f>
        <v>150235</v>
      </c>
      <c r="D30" s="76" t="str">
        <f>基金!$E28</f>
        <v>券商A级</v>
      </c>
      <c r="E30" s="76" t="str">
        <f>基金!$O28</f>
        <v>股票</v>
      </c>
      <c r="F30" s="76" t="str">
        <f>基金!$Q28</f>
        <v>A股</v>
      </c>
      <c r="G30" s="76" t="str">
        <f>基金!$G28</f>
        <v>场内</v>
      </c>
      <c r="H30" s="76" t="str">
        <f>基金!$I28</f>
        <v>华泰证券</v>
      </c>
      <c r="I30" s="76"/>
      <c r="J30" s="176">
        <f t="shared" si="3"/>
        <v>0</v>
      </c>
      <c r="K30" s="177">
        <f t="shared" si="4"/>
        <v>0</v>
      </c>
      <c r="L30" s="152">
        <f t="shared" si="5"/>
        <v>0</v>
      </c>
      <c r="M30" s="178" t="str">
        <f t="shared" si="6"/>
        <v/>
      </c>
      <c r="N30" s="76"/>
      <c r="O30" s="176">
        <f>SUMIFS(交易!$K$5:$K1011,交易!$E$5:$E1011,$C30,交易!$I$5:$I1011,MR)</f>
        <v>0</v>
      </c>
      <c r="P30" s="177">
        <f>SUMIFS(交易!$P$5:$P1011,交易!$E$5:$E1011,$C30,交易!$I$5:$I1011,MR)</f>
        <v>0</v>
      </c>
      <c r="Q30" s="152">
        <f>SUMIFS(交易!$O$5:$O1011,交易!$E$5:$E1011,$C30,交易!$I$5:$I1011,MR)</f>
        <v>0</v>
      </c>
      <c r="R30" s="76"/>
      <c r="S30" s="185">
        <f>SUMIFS(交易!$K$5:$K1011,交易!$E$5:$E1011,$C30,交易!$I$5:$I1011,MC)</f>
        <v>0</v>
      </c>
      <c r="T30" s="152">
        <f>SUMIFS(交易!$P$5:$P1011,交易!$E$5:$E1011,$C30,交易!$I$5:$I1011,MC)</f>
        <v>0</v>
      </c>
      <c r="U30" s="177">
        <f>SUMIFS(交易!$O$5:$O1011,交易!$E$5:$E1011,$C30,交易!$I$5:$I1011,MC)</f>
        <v>0</v>
      </c>
    </row>
    <row r="31" customHeight="1" spans="3:21">
      <c r="C31" s="121">
        <f>基金!$C29</f>
        <v>1180</v>
      </c>
      <c r="D31" s="76" t="str">
        <f>基金!$E29</f>
        <v>广发医药卫生联结A</v>
      </c>
      <c r="E31" s="76" t="str">
        <f>基金!$O29</f>
        <v>股票</v>
      </c>
      <c r="F31" s="76" t="str">
        <f>基金!$Q29</f>
        <v>A股</v>
      </c>
      <c r="G31" s="76" t="str">
        <f>基金!$G29</f>
        <v>场外</v>
      </c>
      <c r="H31" s="76" t="str">
        <f>基金!$I29</f>
        <v>天天基金</v>
      </c>
      <c r="I31" s="76"/>
      <c r="J31" s="176">
        <f t="shared" si="3"/>
        <v>0</v>
      </c>
      <c r="K31" s="177">
        <f t="shared" si="4"/>
        <v>0</v>
      </c>
      <c r="L31" s="152">
        <f t="shared" si="5"/>
        <v>0</v>
      </c>
      <c r="M31" s="178" t="str">
        <f t="shared" si="6"/>
        <v/>
      </c>
      <c r="N31" s="76"/>
      <c r="O31" s="176">
        <f>SUMIFS(交易!$K$5:$K1012,交易!$E$5:$E1012,$C31,交易!$I$5:$I1012,MR)</f>
        <v>0</v>
      </c>
      <c r="P31" s="177">
        <f>SUMIFS(交易!$P$5:$P1012,交易!$E$5:$E1012,$C31,交易!$I$5:$I1012,MR)</f>
        <v>0</v>
      </c>
      <c r="Q31" s="152">
        <f>SUMIFS(交易!$O$5:$O1012,交易!$E$5:$E1012,$C31,交易!$I$5:$I1012,MR)</f>
        <v>0</v>
      </c>
      <c r="R31" s="76"/>
      <c r="S31" s="185">
        <f>SUMIFS(交易!$K$5:$K1012,交易!$E$5:$E1012,$C31,交易!$I$5:$I1012,MC)</f>
        <v>0</v>
      </c>
      <c r="T31" s="152">
        <f>SUMIFS(交易!$P$5:$P1012,交易!$E$5:$E1012,$C31,交易!$I$5:$I1012,MC)</f>
        <v>0</v>
      </c>
      <c r="U31" s="177">
        <f>SUMIFS(交易!$O$5:$O1012,交易!$E$5:$E1012,$C31,交易!$I$5:$I1012,MC)</f>
        <v>0</v>
      </c>
    </row>
    <row r="32" s="158" customFormat="1" customHeight="1" spans="1:256">
      <c r="A32" s="165"/>
      <c r="B32" s="166"/>
      <c r="C32" s="167">
        <f>基金!$C30</f>
        <v>512880</v>
      </c>
      <c r="D32" s="168" t="str">
        <f>基金!$E30</f>
        <v>证券ETF</v>
      </c>
      <c r="E32" s="168" t="str">
        <f>基金!$O30</f>
        <v>股票</v>
      </c>
      <c r="F32" s="168" t="str">
        <f>基金!$Q30</f>
        <v>A股</v>
      </c>
      <c r="G32" s="168" t="str">
        <f>基金!$G30</f>
        <v>场内</v>
      </c>
      <c r="H32" s="168" t="str">
        <f>基金!$I30</f>
        <v>华泰证券</v>
      </c>
      <c r="I32" s="168"/>
      <c r="J32" s="180">
        <f t="shared" si="3"/>
        <v>8</v>
      </c>
      <c r="K32" s="181">
        <f t="shared" si="4"/>
        <v>10000</v>
      </c>
      <c r="L32" s="182">
        <f t="shared" si="5"/>
        <v>7654.8</v>
      </c>
      <c r="M32" s="183">
        <f t="shared" si="6"/>
        <v>0.76548</v>
      </c>
      <c r="N32" s="168"/>
      <c r="O32" s="180">
        <f>SUMIFS(交易!$K$5:$K1013,交易!$E$5:$E1013,$C32,交易!$I$5:$I1013,MR)</f>
        <v>14</v>
      </c>
      <c r="P32" s="181">
        <f>SUMIFS(交易!$P$5:$P1013,交易!$E$5:$E1013,$C32,交易!$I$5:$I1013,MR)</f>
        <v>18900</v>
      </c>
      <c r="Q32" s="182">
        <f>SUMIFS(交易!$O$5:$O1013,交易!$E$5:$E1013,$C32,交易!$I$5:$I1013,MR)</f>
        <v>13982.9</v>
      </c>
      <c r="R32" s="168"/>
      <c r="S32" s="186">
        <f>SUMIFS(交易!$K$5:$K1013,交易!$E$5:$E1013,$C32,交易!$I$5:$I1013,MC)</f>
        <v>6</v>
      </c>
      <c r="T32" s="182">
        <f>SUMIFS(交易!$P$5:$P1013,交易!$E$5:$E1013,$C32,交易!$I$5:$I1013,MC)</f>
        <v>8900</v>
      </c>
      <c r="U32" s="181">
        <f>SUMIFS(交易!$O$5:$O1013,交易!$E$5:$E1013,$C32,交易!$I$5:$I1013,MC)</f>
        <v>6328.1</v>
      </c>
      <c r="V32" s="166"/>
      <c r="W32" s="165"/>
      <c r="X32" s="187"/>
      <c r="Y32" s="187"/>
      <c r="Z32" s="187"/>
      <c r="AA32" s="187"/>
      <c r="AB32" s="187"/>
      <c r="AC32" s="187"/>
      <c r="AD32" s="187"/>
      <c r="AE32" s="187"/>
      <c r="AF32" s="187"/>
      <c r="AG32" s="187"/>
      <c r="AH32" s="187"/>
      <c r="AI32" s="187"/>
      <c r="AJ32" s="187"/>
      <c r="AK32" s="187"/>
      <c r="AL32" s="187"/>
      <c r="AM32" s="187"/>
      <c r="AN32" s="187"/>
      <c r="AO32" s="187"/>
      <c r="AP32" s="187"/>
      <c r="AQ32" s="187"/>
      <c r="AR32" s="187"/>
      <c r="AS32" s="187"/>
      <c r="AT32" s="187"/>
      <c r="AU32" s="187"/>
      <c r="AV32" s="187"/>
      <c r="AW32" s="187"/>
      <c r="AX32" s="187"/>
      <c r="AY32" s="187"/>
      <c r="AZ32" s="187"/>
      <c r="BA32" s="187"/>
      <c r="BB32" s="187"/>
      <c r="BC32" s="187"/>
      <c r="BD32" s="187"/>
      <c r="BE32" s="187"/>
      <c r="BF32" s="187"/>
      <c r="BG32" s="187"/>
      <c r="BH32" s="187"/>
      <c r="BI32" s="187"/>
      <c r="BJ32" s="187"/>
      <c r="BK32" s="187"/>
      <c r="BL32" s="187"/>
      <c r="BM32" s="187"/>
      <c r="BN32" s="187"/>
      <c r="BO32" s="187"/>
      <c r="BP32" s="187"/>
      <c r="BQ32" s="187"/>
      <c r="BR32" s="187"/>
      <c r="BS32" s="187"/>
      <c r="BT32" s="187"/>
      <c r="BU32" s="187"/>
      <c r="BV32" s="187"/>
      <c r="BW32" s="187"/>
      <c r="BX32" s="187"/>
      <c r="BY32" s="187"/>
      <c r="BZ32" s="187"/>
      <c r="CA32" s="187"/>
      <c r="CB32" s="187"/>
      <c r="CC32" s="187"/>
      <c r="CD32" s="187"/>
      <c r="CE32" s="187"/>
      <c r="CF32" s="187"/>
      <c r="CG32" s="187"/>
      <c r="CH32" s="187"/>
      <c r="CI32" s="187"/>
      <c r="CJ32" s="187"/>
      <c r="CK32" s="187"/>
      <c r="CL32" s="187"/>
      <c r="CM32" s="187"/>
      <c r="CN32" s="187"/>
      <c r="CO32" s="187"/>
      <c r="CP32" s="187"/>
      <c r="CQ32" s="187"/>
      <c r="CR32" s="187"/>
      <c r="CS32" s="187"/>
      <c r="CT32" s="187"/>
      <c r="CU32" s="187"/>
      <c r="CV32" s="187"/>
      <c r="CW32" s="187"/>
      <c r="CX32" s="187"/>
      <c r="CY32" s="187"/>
      <c r="CZ32" s="187"/>
      <c r="DA32" s="187"/>
      <c r="DB32" s="187"/>
      <c r="DC32" s="187"/>
      <c r="DD32" s="187"/>
      <c r="DE32" s="187"/>
      <c r="DF32" s="187"/>
      <c r="DG32" s="187"/>
      <c r="DH32" s="187"/>
      <c r="DI32" s="187"/>
      <c r="DJ32" s="187"/>
      <c r="DK32" s="187"/>
      <c r="DL32" s="187"/>
      <c r="DM32" s="187"/>
      <c r="DN32" s="187"/>
      <c r="DO32" s="187"/>
      <c r="DP32" s="187"/>
      <c r="DQ32" s="187"/>
      <c r="DR32" s="187"/>
      <c r="DS32" s="187"/>
      <c r="DT32" s="187"/>
      <c r="DU32" s="187"/>
      <c r="DV32" s="187"/>
      <c r="DW32" s="187"/>
      <c r="DX32" s="187"/>
      <c r="DY32" s="187"/>
      <c r="DZ32" s="187"/>
      <c r="EA32" s="187"/>
      <c r="EB32" s="187"/>
      <c r="EC32" s="187"/>
      <c r="ED32" s="187"/>
      <c r="EE32" s="187"/>
      <c r="EF32" s="187"/>
      <c r="EG32" s="187"/>
      <c r="EH32" s="187"/>
      <c r="EI32" s="187"/>
      <c r="EJ32" s="187"/>
      <c r="EK32" s="187"/>
      <c r="EL32" s="187"/>
      <c r="EM32" s="187"/>
      <c r="EN32" s="187"/>
      <c r="EO32" s="187"/>
      <c r="EP32" s="187"/>
      <c r="EQ32" s="187"/>
      <c r="ER32" s="187"/>
      <c r="ES32" s="187"/>
      <c r="ET32" s="187"/>
      <c r="EU32" s="187"/>
      <c r="EV32" s="187"/>
      <c r="EW32" s="187"/>
      <c r="EX32" s="187"/>
      <c r="EY32" s="187"/>
      <c r="EZ32" s="187"/>
      <c r="FA32" s="187"/>
      <c r="FB32" s="187"/>
      <c r="FC32" s="187"/>
      <c r="FD32" s="187"/>
      <c r="FE32" s="187"/>
      <c r="FF32" s="187"/>
      <c r="FG32" s="187"/>
      <c r="FH32" s="187"/>
      <c r="FI32" s="187"/>
      <c r="FJ32" s="187"/>
      <c r="FK32" s="187"/>
      <c r="FL32" s="187"/>
      <c r="FM32" s="187"/>
      <c r="FN32" s="187"/>
      <c r="FO32" s="187"/>
      <c r="FP32" s="187"/>
      <c r="FQ32" s="187"/>
      <c r="FR32" s="187"/>
      <c r="FS32" s="187"/>
      <c r="FT32" s="187"/>
      <c r="FU32" s="187"/>
      <c r="FV32" s="187"/>
      <c r="FW32" s="187"/>
      <c r="FX32" s="187"/>
      <c r="FY32" s="187"/>
      <c r="FZ32" s="187"/>
      <c r="GA32" s="187"/>
      <c r="GB32" s="187"/>
      <c r="GC32" s="187"/>
      <c r="GD32" s="187"/>
      <c r="GE32" s="187"/>
      <c r="GF32" s="187"/>
      <c r="GG32" s="187"/>
      <c r="GH32" s="187"/>
      <c r="GI32" s="187"/>
      <c r="GJ32" s="187"/>
      <c r="GK32" s="187"/>
      <c r="GL32" s="187"/>
      <c r="GM32" s="187"/>
      <c r="GN32" s="187"/>
      <c r="GO32" s="187"/>
      <c r="GP32" s="187"/>
      <c r="GQ32" s="187"/>
      <c r="GR32" s="187"/>
      <c r="GS32" s="187"/>
      <c r="GT32" s="187"/>
      <c r="GU32" s="187"/>
      <c r="GV32" s="187"/>
      <c r="GW32" s="187"/>
      <c r="GX32" s="187"/>
      <c r="GY32" s="187"/>
      <c r="GZ32" s="187"/>
      <c r="HA32" s="187"/>
      <c r="HB32" s="187"/>
      <c r="HC32" s="187"/>
      <c r="HD32" s="187"/>
      <c r="HE32" s="187"/>
      <c r="HF32" s="187"/>
      <c r="HG32" s="187"/>
      <c r="HH32" s="187"/>
      <c r="HI32" s="187"/>
      <c r="HJ32" s="187"/>
      <c r="HK32" s="187"/>
      <c r="HL32" s="187"/>
      <c r="HM32" s="187"/>
      <c r="HN32" s="187"/>
      <c r="HO32" s="187"/>
      <c r="HP32" s="187"/>
      <c r="HQ32" s="187"/>
      <c r="HR32" s="187"/>
      <c r="HS32" s="187"/>
      <c r="HT32" s="187"/>
      <c r="HU32" s="187"/>
      <c r="HV32" s="187"/>
      <c r="HW32" s="187"/>
      <c r="HX32" s="187"/>
      <c r="HY32" s="187"/>
      <c r="HZ32" s="187"/>
      <c r="IA32" s="187"/>
      <c r="IB32" s="187"/>
      <c r="IC32" s="187"/>
      <c r="ID32" s="187"/>
      <c r="IE32" s="187"/>
      <c r="IF32" s="187"/>
      <c r="IG32" s="187"/>
      <c r="IH32" s="187"/>
      <c r="II32" s="187"/>
      <c r="IJ32" s="187"/>
      <c r="IK32" s="187"/>
      <c r="IL32" s="187"/>
      <c r="IM32" s="187"/>
      <c r="IN32" s="187"/>
      <c r="IO32" s="187"/>
      <c r="IP32" s="187"/>
      <c r="IQ32" s="187"/>
      <c r="IR32" s="187"/>
      <c r="IS32" s="187"/>
      <c r="IT32" s="187"/>
      <c r="IU32" s="187"/>
      <c r="IV32" s="187"/>
    </row>
    <row r="33" customHeight="1" spans="3:21">
      <c r="C33" s="121">
        <f>基金!$C31</f>
        <v>512980</v>
      </c>
      <c r="D33" s="76" t="str">
        <f>基金!$E31</f>
        <v>中证传媒</v>
      </c>
      <c r="E33" s="76" t="str">
        <f>基金!$O31</f>
        <v>股票</v>
      </c>
      <c r="F33" s="76" t="str">
        <f>基金!$Q31</f>
        <v>A股</v>
      </c>
      <c r="G33" s="76" t="str">
        <f>基金!$G31</f>
        <v>场内</v>
      </c>
      <c r="H33" s="76" t="str">
        <f>基金!$I31</f>
        <v>华泰证券</v>
      </c>
      <c r="I33" s="76"/>
      <c r="J33" s="176">
        <f t="shared" si="3"/>
        <v>5.72</v>
      </c>
      <c r="K33" s="177">
        <f t="shared" si="4"/>
        <v>7100</v>
      </c>
      <c r="L33" s="152">
        <f t="shared" si="5"/>
        <v>6023.4</v>
      </c>
      <c r="M33" s="178">
        <f t="shared" si="6"/>
        <v>0.848366197183099</v>
      </c>
      <c r="N33" s="76"/>
      <c r="O33" s="176">
        <f>SUMIFS(交易!$K$5:$K1014,交易!$E$5:$E1014,$C33,交易!$I$5:$I1014,MR)</f>
        <v>5.72</v>
      </c>
      <c r="P33" s="177">
        <f>SUMIFS(交易!$P$5:$P1014,交易!$E$5:$E1014,$C33,交易!$I$5:$I1014,MR)</f>
        <v>7100</v>
      </c>
      <c r="Q33" s="152">
        <f>SUMIFS(交易!$O$5:$O1014,交易!$E$5:$E1014,$C33,交易!$I$5:$I1014,MR)</f>
        <v>6023.4</v>
      </c>
      <c r="R33" s="76"/>
      <c r="S33" s="185">
        <f>SUMIFS(交易!$K$5:$K1014,交易!$E$5:$E1014,$C33,交易!$I$5:$I1014,MC)</f>
        <v>0</v>
      </c>
      <c r="T33" s="152">
        <f>SUMIFS(交易!$P$5:$P1014,交易!$E$5:$E1014,$C33,交易!$I$5:$I1014,MC)</f>
        <v>0</v>
      </c>
      <c r="U33" s="177">
        <f>SUMIFS(交易!$O$5:$O1014,交易!$E$5:$E1014,$C33,交易!$I$5:$I1014,MC)</f>
        <v>0</v>
      </c>
    </row>
    <row r="34" customHeight="1" spans="3:21">
      <c r="C34" s="121">
        <f>基金!$C32</f>
        <v>512580</v>
      </c>
      <c r="D34" s="76" t="str">
        <f>基金!$E32</f>
        <v>中证环保</v>
      </c>
      <c r="E34" s="76" t="str">
        <f>基金!$O32</f>
        <v>股票</v>
      </c>
      <c r="F34" s="76" t="str">
        <f>基金!$Q32</f>
        <v>A股</v>
      </c>
      <c r="G34" s="76" t="str">
        <f>基金!$G32</f>
        <v>场内</v>
      </c>
      <c r="H34" s="76" t="str">
        <f>基金!$I32</f>
        <v>华泰证券</v>
      </c>
      <c r="I34" s="76"/>
      <c r="J34" s="176">
        <f t="shared" si="3"/>
        <v>0</v>
      </c>
      <c r="K34" s="177">
        <f t="shared" si="4"/>
        <v>0</v>
      </c>
      <c r="L34" s="152">
        <f t="shared" si="5"/>
        <v>0</v>
      </c>
      <c r="M34" s="178" t="str">
        <f t="shared" si="6"/>
        <v/>
      </c>
      <c r="N34" s="76"/>
      <c r="O34" s="176">
        <f>SUMIFS(交易!$K$5:$K1015,交易!$E$5:$E1015,$C34,交易!$I$5:$I1015,MR)</f>
        <v>0</v>
      </c>
      <c r="P34" s="177">
        <f>SUMIFS(交易!$P$5:$P1015,交易!$E$5:$E1015,$C34,交易!$I$5:$I1015,MR)</f>
        <v>0</v>
      </c>
      <c r="Q34" s="152">
        <f>SUMIFS(交易!$O$5:$O1015,交易!$E$5:$E1015,$C34,交易!$I$5:$I1015,MR)</f>
        <v>0</v>
      </c>
      <c r="R34" s="76"/>
      <c r="S34" s="185">
        <f>SUMIFS(交易!$K$5:$K1015,交易!$E$5:$E1015,$C34,交易!$I$5:$I1015,MC)</f>
        <v>0</v>
      </c>
      <c r="T34" s="152">
        <f>SUMIFS(交易!$P$5:$P1015,交易!$E$5:$E1015,$C34,交易!$I$5:$I1015,MC)</f>
        <v>0</v>
      </c>
      <c r="U34" s="177">
        <f>SUMIFS(交易!$O$5:$O1015,交易!$E$5:$E1015,$C34,交易!$I$5:$I1015,MC)</f>
        <v>0</v>
      </c>
    </row>
    <row r="35" customHeight="1" spans="3:21">
      <c r="C35" s="121">
        <f>基金!$C33</f>
        <v>100038</v>
      </c>
      <c r="D35" s="76" t="str">
        <f>基金!$E33</f>
        <v>富国沪深300指数增强</v>
      </c>
      <c r="E35" s="76" t="str">
        <f>基金!$O33</f>
        <v>股票</v>
      </c>
      <c r="F35" s="76" t="str">
        <f>基金!$Q33</f>
        <v>A股</v>
      </c>
      <c r="G35" s="76" t="str">
        <f>基金!$G33</f>
        <v>场外</v>
      </c>
      <c r="H35" s="76" t="str">
        <f>基金!$I33</f>
        <v>华泰证券</v>
      </c>
      <c r="I35" s="76"/>
      <c r="J35" s="176">
        <f t="shared" si="3"/>
        <v>6</v>
      </c>
      <c r="K35" s="177">
        <f t="shared" si="4"/>
        <v>3591.75671353004</v>
      </c>
      <c r="L35" s="152">
        <f t="shared" si="5"/>
        <v>6000</v>
      </c>
      <c r="M35" s="178">
        <f t="shared" si="6"/>
        <v>1.67049176170485</v>
      </c>
      <c r="N35" s="76"/>
      <c r="O35" s="176">
        <f>SUMIFS(交易!$K$5:$K1016,交易!$E$5:$E1016,$C35,交易!$I$5:$I1016,MR)</f>
        <v>6</v>
      </c>
      <c r="P35" s="177">
        <f>SUMIFS(交易!$P$5:$P1016,交易!$E$5:$E1016,$C35,交易!$I$5:$I1016,MR)</f>
        <v>3591.75671353004</v>
      </c>
      <c r="Q35" s="152">
        <f>SUMIFS(交易!$O$5:$O1016,交易!$E$5:$E1016,$C35,交易!$I$5:$I1016,MR)</f>
        <v>6000</v>
      </c>
      <c r="R35" s="76"/>
      <c r="S35" s="185">
        <f>SUMIFS(交易!$K$5:$K1016,交易!$E$5:$E1016,$C35,交易!$I$5:$I1016,MC)</f>
        <v>0</v>
      </c>
      <c r="T35" s="152">
        <f>SUMIFS(交易!$P$5:$P1016,交易!$E$5:$E1016,$C35,交易!$I$5:$I1016,MC)</f>
        <v>0</v>
      </c>
      <c r="U35" s="177">
        <f>SUMIFS(交易!$O$5:$O1016,交易!$E$5:$E1016,$C35,交易!$I$5:$I1016,MC)</f>
        <v>0</v>
      </c>
    </row>
    <row r="36" customHeight="1" spans="3:21">
      <c r="C36" s="121">
        <f>基金!$C34</f>
        <v>340001</v>
      </c>
      <c r="D36" s="76" t="str">
        <f>基金!$E34</f>
        <v>兴全可转债混合</v>
      </c>
      <c r="E36" s="76" t="str">
        <f>基金!$O34</f>
        <v>债券</v>
      </c>
      <c r="F36" s="76" t="str">
        <f>基金!$Q34</f>
        <v>国内债</v>
      </c>
      <c r="G36" s="76" t="str">
        <f>基金!$G34</f>
        <v>场外</v>
      </c>
      <c r="H36" s="76" t="str">
        <f>基金!$I34</f>
        <v>华泰证券</v>
      </c>
      <c r="I36" s="76"/>
      <c r="J36" s="176">
        <f t="shared" si="3"/>
        <v>4</v>
      </c>
      <c r="K36" s="177">
        <f t="shared" si="4"/>
        <v>3966.40773984463</v>
      </c>
      <c r="L36" s="152">
        <f t="shared" si="5"/>
        <v>4000</v>
      </c>
      <c r="M36" s="178">
        <f t="shared" si="6"/>
        <v>1.008469189846</v>
      </c>
      <c r="N36" s="76"/>
      <c r="O36" s="176">
        <f>SUMIFS(交易!$K$5:$K1017,交易!$E$5:$E1017,$C36,交易!$I$5:$I1017,MR)</f>
        <v>4</v>
      </c>
      <c r="P36" s="177">
        <f>SUMIFS(交易!$P$5:$P1017,交易!$E$5:$E1017,$C36,交易!$I$5:$I1017,MR)</f>
        <v>3966.40773984463</v>
      </c>
      <c r="Q36" s="152">
        <f>SUMIFS(交易!$O$5:$O1017,交易!$E$5:$E1017,$C36,交易!$I$5:$I1017,MR)</f>
        <v>4000</v>
      </c>
      <c r="R36" s="76"/>
      <c r="S36" s="185">
        <f>SUMIFS(交易!$K$5:$K1017,交易!$E$5:$E1017,$C36,交易!$I$5:$I1017,MC)</f>
        <v>0</v>
      </c>
      <c r="T36" s="152">
        <f>SUMIFS(交易!$P$5:$P1017,交易!$E$5:$E1017,$C36,交易!$I$5:$I1017,MC)</f>
        <v>0</v>
      </c>
      <c r="U36" s="177">
        <f>SUMIFS(交易!$O$5:$O1017,交易!$E$5:$E1017,$C36,交易!$I$5:$I1017,MC)</f>
        <v>0</v>
      </c>
    </row>
    <row r="37" customHeight="1" spans="3:21">
      <c r="C37" s="121">
        <f>基金!$C35</f>
        <v>1469</v>
      </c>
      <c r="D37" s="76" t="str">
        <f>基金!$E35</f>
        <v>广发中证全指金融地产联接A</v>
      </c>
      <c r="E37" s="76" t="str">
        <f>基金!$O35</f>
        <v>股票</v>
      </c>
      <c r="F37" s="76" t="str">
        <f>基金!$Q35</f>
        <v>A股</v>
      </c>
      <c r="G37" s="76" t="str">
        <f>基金!$G35</f>
        <v>场外</v>
      </c>
      <c r="H37" s="76" t="str">
        <f>基金!$I35</f>
        <v>华泰证券</v>
      </c>
      <c r="I37" s="76"/>
      <c r="J37" s="176">
        <f t="shared" si="3"/>
        <v>3</v>
      </c>
      <c r="K37" s="177">
        <f t="shared" si="4"/>
        <v>3298.94313125674</v>
      </c>
      <c r="L37" s="152">
        <f t="shared" si="5"/>
        <v>3000</v>
      </c>
      <c r="M37" s="178">
        <f t="shared" si="6"/>
        <v>0.909382150779041</v>
      </c>
      <c r="N37" s="76"/>
      <c r="O37" s="176">
        <f>SUMIFS(交易!$K$5:$K1018,交易!$E$5:$E1018,$C37,交易!$I$5:$I1018,MR)</f>
        <v>3</v>
      </c>
      <c r="P37" s="177">
        <f>SUMIFS(交易!$P$5:$P1018,交易!$E$5:$E1018,$C37,交易!$I$5:$I1018,MR)</f>
        <v>3298.94313125674</v>
      </c>
      <c r="Q37" s="152">
        <f>SUMIFS(交易!$O$5:$O1018,交易!$E$5:$E1018,$C37,交易!$I$5:$I1018,MR)</f>
        <v>3000</v>
      </c>
      <c r="R37" s="76"/>
      <c r="S37" s="185">
        <f>SUMIFS(交易!$K$5:$K1018,交易!$E$5:$E1018,$C37,交易!$I$5:$I1018,MC)</f>
        <v>0</v>
      </c>
      <c r="T37" s="152">
        <f>SUMIFS(交易!$P$5:$P1018,交易!$E$5:$E1018,$C37,交易!$I$5:$I1018,MC)</f>
        <v>0</v>
      </c>
      <c r="U37" s="177">
        <f>SUMIFS(交易!$O$5:$O1018,交易!$E$5:$E1018,$C37,交易!$I$5:$I1018,MC)</f>
        <v>0</v>
      </c>
    </row>
    <row r="38" customHeight="1" spans="3:21">
      <c r="C38" s="121">
        <f>基金!$C36</f>
        <v>614</v>
      </c>
      <c r="D38" s="76" t="str">
        <f>基金!$E36</f>
        <v>华安德国30(DAX)联接</v>
      </c>
      <c r="E38" s="76" t="str">
        <f>基金!$O36</f>
        <v>股票</v>
      </c>
      <c r="F38" s="76" t="str">
        <f>基金!$Q36</f>
        <v>海外股</v>
      </c>
      <c r="G38" s="76" t="str">
        <f>基金!$G36</f>
        <v>场外</v>
      </c>
      <c r="H38" s="76" t="str">
        <f>基金!$I36</f>
        <v>天天基金</v>
      </c>
      <c r="I38" s="76"/>
      <c r="J38" s="176">
        <f t="shared" si="3"/>
        <v>1</v>
      </c>
      <c r="K38" s="177">
        <f t="shared" si="4"/>
        <v>828.192371475954</v>
      </c>
      <c r="L38" s="152">
        <f t="shared" si="5"/>
        <v>1000</v>
      </c>
      <c r="M38" s="178">
        <f t="shared" si="6"/>
        <v>1.20744893872647</v>
      </c>
      <c r="O38" s="176">
        <f>SUMIFS(交易!$K$5:$K1019,交易!$E$5:$E1019,$C38,交易!$I$5:$I1019,MR)</f>
        <v>1</v>
      </c>
      <c r="P38" s="177">
        <f>SUMIFS(交易!$P$5:$P1019,交易!$E$5:$E1019,$C38,交易!$I$5:$I1019,MR)</f>
        <v>828.192371475954</v>
      </c>
      <c r="Q38" s="152">
        <f>SUMIFS(交易!$O$5:$O1019,交易!$E$5:$E1019,$C38,交易!$I$5:$I1019,MR)</f>
        <v>1000</v>
      </c>
      <c r="R38" s="76"/>
      <c r="S38" s="185">
        <f>SUMIFS(交易!$K$5:$K1019,交易!$E$5:$E1019,$C38,交易!$I$5:$I1019,MC)</f>
        <v>0</v>
      </c>
      <c r="T38" s="152">
        <f>SUMIFS(交易!$P$5:$P1019,交易!$E$5:$E1019,$C38,交易!$I$5:$I1019,MC)</f>
        <v>0</v>
      </c>
      <c r="U38" s="177">
        <f>SUMIFS(交易!$O$5:$O1019,交易!$E$5:$E1019,$C38,交易!$I$5:$I1019,MC)</f>
        <v>0</v>
      </c>
    </row>
    <row r="39" customHeight="1" spans="3:21">
      <c r="C39" s="121">
        <f>基金!$C37</f>
        <v>161017</v>
      </c>
      <c r="D39" s="76" t="str">
        <f>基金!$E37</f>
        <v>富国中证500</v>
      </c>
      <c r="E39" s="76" t="str">
        <f>基金!$O37</f>
        <v>股票</v>
      </c>
      <c r="F39" s="76" t="str">
        <f>基金!$Q37</f>
        <v>A股</v>
      </c>
      <c r="G39" s="76" t="str">
        <f>基金!$G37</f>
        <v>场外</v>
      </c>
      <c r="H39" s="76" t="str">
        <f>基金!$I37</f>
        <v>华泰证券</v>
      </c>
      <c r="I39" s="76"/>
      <c r="J39" s="176">
        <f t="shared" si="3"/>
        <v>3</v>
      </c>
      <c r="K39" s="177">
        <f t="shared" si="4"/>
        <v>1658.60758026442</v>
      </c>
      <c r="L39" s="152">
        <f t="shared" si="5"/>
        <v>3000</v>
      </c>
      <c r="M39" s="178">
        <f t="shared" si="6"/>
        <v>1.80874610468242</v>
      </c>
      <c r="O39" s="176">
        <f>SUMIFS(交易!$K$5:$K1020,交易!$E$5:$E1020,$C39,交易!$I$5:$I1020,MR)</f>
        <v>3</v>
      </c>
      <c r="P39" s="177">
        <f>SUMIFS(交易!$P$5:$P1020,交易!$E$5:$E1020,$C39,交易!$I$5:$I1020,MR)</f>
        <v>1658.60758026442</v>
      </c>
      <c r="Q39" s="152">
        <f>SUMIFS(交易!$O$5:$O1020,交易!$E$5:$E1020,$C39,交易!$I$5:$I1020,MR)</f>
        <v>3000</v>
      </c>
      <c r="R39" s="76"/>
      <c r="S39" s="185">
        <f>SUMIFS(交易!$K$5:$K1020,交易!$E$5:$E1020,$C39,交易!$I$5:$I1020,MC)</f>
        <v>0</v>
      </c>
      <c r="T39" s="152">
        <f>SUMIFS(交易!$P$5:$P1020,交易!$E$5:$E1020,$C39,交易!$I$5:$I1020,MC)</f>
        <v>0</v>
      </c>
      <c r="U39" s="177">
        <f>SUMIFS(交易!$O$5:$O1020,交易!$E$5:$E1020,$C39,交易!$I$5:$I1020,MC)</f>
        <v>0</v>
      </c>
    </row>
    <row r="40" customHeight="1" spans="3:21">
      <c r="C40" s="121">
        <f>基金!$C38</f>
        <v>513050</v>
      </c>
      <c r="D40" s="76" t="str">
        <f>基金!$E38</f>
        <v>中概互联</v>
      </c>
      <c r="E40" s="76" t="str">
        <f>基金!$O38</f>
        <v>股票</v>
      </c>
      <c r="F40" s="76" t="str">
        <f>基金!$Q38</f>
        <v>海外股</v>
      </c>
      <c r="G40" s="76" t="str">
        <f>基金!$G38</f>
        <v>场内</v>
      </c>
      <c r="H40" s="76" t="str">
        <f>基金!$I38</f>
        <v>华泰证券</v>
      </c>
      <c r="I40" s="76"/>
      <c r="J40" s="176">
        <f t="shared" si="3"/>
        <v>1</v>
      </c>
      <c r="K40" s="177">
        <f t="shared" si="4"/>
        <v>800</v>
      </c>
      <c r="L40" s="152">
        <f t="shared" si="5"/>
        <v>1057.6</v>
      </c>
      <c r="M40" s="178">
        <f t="shared" si="6"/>
        <v>1.322</v>
      </c>
      <c r="O40" s="176">
        <f>SUMIFS(交易!$K$5:$K1021,交易!$E$5:$E1021,$C40,交易!$I$5:$I1021,MR)</f>
        <v>1</v>
      </c>
      <c r="P40" s="177">
        <f>SUMIFS(交易!$P$5:$P1021,交易!$E$5:$E1021,$C40,交易!$I$5:$I1021,MR)</f>
        <v>800</v>
      </c>
      <c r="Q40" s="152">
        <f>SUMIFS(交易!$O$5:$O1021,交易!$E$5:$E1021,$C40,交易!$I$5:$I1021,MR)</f>
        <v>1057.6</v>
      </c>
      <c r="R40" s="76"/>
      <c r="S40" s="185">
        <f>SUMIFS(交易!$K$5:$K1021,交易!$E$5:$E1021,$C40,交易!$I$5:$I1021,MC)</f>
        <v>0</v>
      </c>
      <c r="T40" s="152">
        <f>SUMIFS(交易!$P$5:$P1021,交易!$E$5:$E1021,$C40,交易!$I$5:$I1021,MC)</f>
        <v>0</v>
      </c>
      <c r="U40" s="177">
        <f>SUMIFS(交易!$O$5:$O1021,交易!$E$5:$E1021,$C40,交易!$I$5:$I1021,MC)</f>
        <v>0</v>
      </c>
    </row>
    <row r="41" customHeight="1" spans="3:21">
      <c r="C41" s="121">
        <f>基金!$C39</f>
        <v>110022</v>
      </c>
      <c r="D41" s="76" t="str">
        <f>基金!$E39</f>
        <v>易方达消费行业</v>
      </c>
      <c r="E41" s="76" t="str">
        <f>基金!$O39</f>
        <v>股票</v>
      </c>
      <c r="F41" s="76" t="str">
        <f>基金!$Q39</f>
        <v>A股</v>
      </c>
      <c r="G41" s="76" t="str">
        <f>基金!$G39</f>
        <v>场外</v>
      </c>
      <c r="H41" s="76" t="str">
        <f>基金!$I39</f>
        <v>华泰证券</v>
      </c>
      <c r="I41" s="76"/>
      <c r="J41" s="176">
        <f t="shared" si="3"/>
        <v>1</v>
      </c>
      <c r="K41" s="177">
        <f t="shared" si="4"/>
        <v>582.895504962055</v>
      </c>
      <c r="L41" s="152">
        <f t="shared" si="5"/>
        <v>1000</v>
      </c>
      <c r="M41" s="178">
        <f t="shared" si="6"/>
        <v>1.71557336004006</v>
      </c>
      <c r="O41" s="176">
        <f>SUMIFS(交易!$K$5:$K1022,交易!$E$5:$E1022,$C41,交易!$I$5:$I1022,MR)</f>
        <v>1</v>
      </c>
      <c r="P41" s="177">
        <f>SUMIFS(交易!$P$5:$P1022,交易!$E$5:$E1022,$C41,交易!$I$5:$I1022,MR)</f>
        <v>582.895504962055</v>
      </c>
      <c r="Q41" s="152">
        <f>SUMIFS(交易!$O$5:$O1022,交易!$E$5:$E1022,$C41,交易!$I$5:$I1022,MR)</f>
        <v>1000</v>
      </c>
      <c r="R41" s="76"/>
      <c r="S41" s="185">
        <f>SUMIFS(交易!$K$5:$K1022,交易!$E$5:$E1022,$C41,交易!$I$5:$I1022,MC)</f>
        <v>0</v>
      </c>
      <c r="T41" s="152">
        <f>SUMIFS(交易!$P$5:$P1022,交易!$E$5:$E1022,$C41,交易!$I$5:$I1022,MC)</f>
        <v>0</v>
      </c>
      <c r="U41" s="177">
        <f>SUMIFS(交易!$O$5:$O1022,交易!$E$5:$E1022,$C41,交易!$I$5:$I1022,MC)</f>
        <v>0</v>
      </c>
    </row>
    <row r="42" customHeight="1" spans="3:21">
      <c r="C42" s="121">
        <f>基金!$C40</f>
        <v>0</v>
      </c>
      <c r="D42" s="76">
        <f>基金!$E40</f>
        <v>0</v>
      </c>
      <c r="E42" s="76" t="str">
        <f>基金!$O40</f>
        <v/>
      </c>
      <c r="F42" s="76" t="str">
        <f>基金!$Q40</f>
        <v/>
      </c>
      <c r="G42" s="76">
        <f>基金!$G40</f>
        <v>0</v>
      </c>
      <c r="H42" s="76" t="str">
        <f>基金!$I40</f>
        <v/>
      </c>
      <c r="I42" s="76"/>
      <c r="J42" s="176">
        <f t="shared" si="3"/>
        <v>0</v>
      </c>
      <c r="K42" s="177">
        <f t="shared" si="4"/>
        <v>0</v>
      </c>
      <c r="L42" s="152">
        <f t="shared" si="5"/>
        <v>0</v>
      </c>
      <c r="M42" s="178" t="str">
        <f t="shared" si="6"/>
        <v/>
      </c>
      <c r="O42" s="176">
        <f>SUMIFS(交易!$K$5:$K1023,交易!$E$5:$E1023,$C42,交易!$I$5:$I1023,MR)</f>
        <v>0</v>
      </c>
      <c r="P42" s="177">
        <f>SUMIFS(交易!$P$5:$P1023,交易!$E$5:$E1023,$C42,交易!$I$5:$I1023,MR)</f>
        <v>0</v>
      </c>
      <c r="Q42" s="152">
        <f>SUMIFS(交易!$O$5:$O1023,交易!$E$5:$E1023,$C42,交易!$I$5:$I1023,MR)</f>
        <v>0</v>
      </c>
      <c r="R42" s="76"/>
      <c r="S42" s="185">
        <f>SUMIFS(交易!$K$5:$K1023,交易!$E$5:$E1023,$C42,交易!$I$5:$I1023,MC)</f>
        <v>0</v>
      </c>
      <c r="T42" s="152">
        <f>SUMIFS(交易!$P$5:$P1023,交易!$E$5:$E1023,$C42,交易!$I$5:$I1023,MC)</f>
        <v>0</v>
      </c>
      <c r="U42" s="177">
        <f>SUMIFS(交易!$O$5:$O1023,交易!$E$5:$E1023,$C42,交易!$I$5:$I1023,MC)</f>
        <v>0</v>
      </c>
    </row>
    <row r="43" customHeight="1" spans="3:21">
      <c r="C43" s="121">
        <f>基金!$C41</f>
        <v>0</v>
      </c>
      <c r="D43" s="76">
        <f>基金!$E41</f>
        <v>0</v>
      </c>
      <c r="E43" s="76" t="str">
        <f>基金!$O41</f>
        <v/>
      </c>
      <c r="F43" s="76" t="str">
        <f>基金!$Q41</f>
        <v/>
      </c>
      <c r="G43" s="76">
        <f>基金!$G41</f>
        <v>0</v>
      </c>
      <c r="H43" s="76" t="str">
        <f>基金!$I41</f>
        <v/>
      </c>
      <c r="I43" s="76"/>
      <c r="J43" s="176">
        <f t="shared" si="3"/>
        <v>0</v>
      </c>
      <c r="K43" s="177">
        <f t="shared" si="4"/>
        <v>0</v>
      </c>
      <c r="L43" s="152">
        <f t="shared" si="5"/>
        <v>0</v>
      </c>
      <c r="M43" s="178" t="str">
        <f t="shared" si="6"/>
        <v/>
      </c>
      <c r="O43" s="176">
        <f>SUMIFS(交易!$K$5:$K1024,交易!$E$5:$E1024,$C43,交易!$I$5:$I1024,MR)</f>
        <v>0</v>
      </c>
      <c r="P43" s="177">
        <f>SUMIFS(交易!$P$5:$P1024,交易!$E$5:$E1024,$C43,交易!$I$5:$I1024,MR)</f>
        <v>0</v>
      </c>
      <c r="Q43" s="152">
        <f>SUMIFS(交易!$O$5:$O1024,交易!$E$5:$E1024,$C43,交易!$I$5:$I1024,MR)</f>
        <v>0</v>
      </c>
      <c r="R43" s="76"/>
      <c r="S43" s="185">
        <f>SUMIFS(交易!$K$5:$K1024,交易!$E$5:$E1024,$C43,交易!$I$5:$I1024,MC)</f>
        <v>0</v>
      </c>
      <c r="T43" s="152">
        <f>SUMIFS(交易!$P$5:$P1024,交易!$E$5:$E1024,$C43,交易!$I$5:$I1024,MC)</f>
        <v>0</v>
      </c>
      <c r="U43" s="177">
        <f>SUMIFS(交易!$O$5:$O1024,交易!$E$5:$E1024,$C43,交易!$I$5:$I1024,MC)</f>
        <v>0</v>
      </c>
    </row>
    <row r="44" customHeight="1" spans="3:21">
      <c r="C44" s="121">
        <f>基金!$C42</f>
        <v>0</v>
      </c>
      <c r="D44" s="76">
        <f>基金!$E42</f>
        <v>0</v>
      </c>
      <c r="E44" s="76" t="str">
        <f>基金!$O42</f>
        <v/>
      </c>
      <c r="F44" s="76" t="str">
        <f>基金!$Q42</f>
        <v/>
      </c>
      <c r="G44" s="76">
        <f>基金!$G42</f>
        <v>0</v>
      </c>
      <c r="H44" s="76" t="str">
        <f>基金!$I42</f>
        <v/>
      </c>
      <c r="I44" s="76"/>
      <c r="J44" s="176">
        <f t="shared" si="3"/>
        <v>0</v>
      </c>
      <c r="K44" s="177">
        <f t="shared" si="4"/>
        <v>0</v>
      </c>
      <c r="L44" s="152">
        <f t="shared" si="5"/>
        <v>0</v>
      </c>
      <c r="M44" s="178" t="str">
        <f t="shared" si="6"/>
        <v/>
      </c>
      <c r="O44" s="176">
        <f>SUMIFS(交易!$K$5:$K1025,交易!$E$5:$E1025,$C44,交易!$I$5:$I1025,MR)</f>
        <v>0</v>
      </c>
      <c r="P44" s="177">
        <f>SUMIFS(交易!$P$5:$P1025,交易!$E$5:$E1025,$C44,交易!$I$5:$I1025,MR)</f>
        <v>0</v>
      </c>
      <c r="Q44" s="152">
        <f>SUMIFS(交易!$O$5:$O1025,交易!$E$5:$E1025,$C44,交易!$I$5:$I1025,MR)</f>
        <v>0</v>
      </c>
      <c r="R44" s="76"/>
      <c r="S44" s="185">
        <f>SUMIFS(交易!$K$5:$K1025,交易!$E$5:$E1025,$C44,交易!$I$5:$I1025,MC)</f>
        <v>0</v>
      </c>
      <c r="T44" s="152">
        <f>SUMIFS(交易!$P$5:$P1025,交易!$E$5:$E1025,$C44,交易!$I$5:$I1025,MC)</f>
        <v>0</v>
      </c>
      <c r="U44" s="177">
        <f>SUMIFS(交易!$O$5:$O1025,交易!$E$5:$E1025,$C44,交易!$I$5:$I1025,MC)</f>
        <v>0</v>
      </c>
    </row>
    <row r="45" customHeight="1" spans="3:21">
      <c r="C45" s="121">
        <f>基金!$C43</f>
        <v>0</v>
      </c>
      <c r="D45" s="76">
        <f>基金!$E43</f>
        <v>0</v>
      </c>
      <c r="E45" s="76" t="str">
        <f>基金!$O43</f>
        <v/>
      </c>
      <c r="F45" s="76" t="str">
        <f>基金!$Q43</f>
        <v/>
      </c>
      <c r="G45" s="76">
        <f>基金!$G43</f>
        <v>0</v>
      </c>
      <c r="H45" s="76" t="str">
        <f>基金!$I43</f>
        <v/>
      </c>
      <c r="I45" s="76"/>
      <c r="J45" s="176">
        <f t="shared" si="3"/>
        <v>0</v>
      </c>
      <c r="K45" s="177">
        <f t="shared" si="4"/>
        <v>0</v>
      </c>
      <c r="L45" s="152">
        <f t="shared" si="5"/>
        <v>0</v>
      </c>
      <c r="M45" s="178" t="str">
        <f t="shared" si="6"/>
        <v/>
      </c>
      <c r="O45" s="176">
        <f>SUMIFS(交易!$K$5:$K1026,交易!$E$5:$E1026,$C45,交易!$I$5:$I1026,MR)</f>
        <v>0</v>
      </c>
      <c r="P45" s="177">
        <f>SUMIFS(交易!$P$5:$P1026,交易!$E$5:$E1026,$C45,交易!$I$5:$I1026,MR)</f>
        <v>0</v>
      </c>
      <c r="Q45" s="152">
        <f>SUMIFS(交易!$O$5:$O1026,交易!$E$5:$E1026,$C45,交易!$I$5:$I1026,MR)</f>
        <v>0</v>
      </c>
      <c r="R45" s="76"/>
      <c r="S45" s="185">
        <f>SUMIFS(交易!$K$5:$K1026,交易!$E$5:$E1026,$C45,交易!$I$5:$I1026,MC)</f>
        <v>0</v>
      </c>
      <c r="T45" s="152">
        <f>SUMIFS(交易!$P$5:$P1026,交易!$E$5:$E1026,$C45,交易!$I$5:$I1026,MC)</f>
        <v>0</v>
      </c>
      <c r="U45" s="177">
        <f>SUMIFS(交易!$O$5:$O1026,交易!$E$5:$E1026,$C45,交易!$I$5:$I1026,MC)</f>
        <v>0</v>
      </c>
    </row>
    <row r="46" customHeight="1" spans="3:21">
      <c r="C46" s="121">
        <f>基金!$C44</f>
        <v>0</v>
      </c>
      <c r="D46" s="76">
        <f>基金!$E44</f>
        <v>0</v>
      </c>
      <c r="E46" s="76" t="str">
        <f>基金!$O44</f>
        <v/>
      </c>
      <c r="F46" s="76" t="str">
        <f>基金!$Q44</f>
        <v/>
      </c>
      <c r="G46" s="76">
        <f>基金!$G44</f>
        <v>0</v>
      </c>
      <c r="H46" s="76" t="str">
        <f>基金!$I44</f>
        <v/>
      </c>
      <c r="I46" s="76"/>
      <c r="J46" s="176">
        <f t="shared" si="3"/>
        <v>0</v>
      </c>
      <c r="K46" s="177">
        <f t="shared" si="4"/>
        <v>0</v>
      </c>
      <c r="L46" s="152">
        <f t="shared" si="5"/>
        <v>0</v>
      </c>
      <c r="M46" s="178" t="str">
        <f t="shared" si="6"/>
        <v/>
      </c>
      <c r="O46" s="176">
        <f>SUMIFS(交易!$K$5:$K1027,交易!$E$5:$E1027,$C46,交易!$I$5:$I1027,MR)</f>
        <v>0</v>
      </c>
      <c r="P46" s="177">
        <f>SUMIFS(交易!$P$5:$P1027,交易!$E$5:$E1027,$C46,交易!$I$5:$I1027,MR)</f>
        <v>0</v>
      </c>
      <c r="Q46" s="152">
        <f>SUMIFS(交易!$O$5:$O1027,交易!$E$5:$E1027,$C46,交易!$I$5:$I1027,MR)</f>
        <v>0</v>
      </c>
      <c r="R46" s="76"/>
      <c r="S46" s="185">
        <f>SUMIFS(交易!$K$5:$K1027,交易!$E$5:$E1027,$C46,交易!$I$5:$I1027,MC)</f>
        <v>0</v>
      </c>
      <c r="T46" s="152">
        <f>SUMIFS(交易!$P$5:$P1027,交易!$E$5:$E1027,$C46,交易!$I$5:$I1027,MC)</f>
        <v>0</v>
      </c>
      <c r="U46" s="177">
        <f>SUMIFS(交易!$O$5:$O1027,交易!$E$5:$E1027,$C46,交易!$I$5:$I1027,MC)</f>
        <v>0</v>
      </c>
    </row>
    <row r="47" customHeight="1" spans="3:21">
      <c r="C47" s="121">
        <f>基金!$C45</f>
        <v>0</v>
      </c>
      <c r="D47" s="76">
        <f>基金!$E45</f>
        <v>0</v>
      </c>
      <c r="E47" s="76" t="str">
        <f>基金!$O45</f>
        <v/>
      </c>
      <c r="F47" s="76" t="str">
        <f>基金!$Q45</f>
        <v/>
      </c>
      <c r="G47" s="76">
        <f>基金!$G45</f>
        <v>0</v>
      </c>
      <c r="H47" s="76" t="str">
        <f>基金!$I45</f>
        <v/>
      </c>
      <c r="I47" s="76"/>
      <c r="J47" s="176">
        <f t="shared" si="3"/>
        <v>0</v>
      </c>
      <c r="K47" s="177">
        <f t="shared" si="4"/>
        <v>0</v>
      </c>
      <c r="L47" s="152">
        <f t="shared" si="5"/>
        <v>0</v>
      </c>
      <c r="M47" s="178" t="str">
        <f t="shared" si="6"/>
        <v/>
      </c>
      <c r="O47" s="176">
        <f>SUMIFS(交易!$K$5:$K1028,交易!$E$5:$E1028,$C47,交易!$I$5:$I1028,MR)</f>
        <v>0</v>
      </c>
      <c r="P47" s="177">
        <f>SUMIFS(交易!$P$5:$P1028,交易!$E$5:$E1028,$C47,交易!$I$5:$I1028,MR)</f>
        <v>0</v>
      </c>
      <c r="Q47" s="152">
        <f>SUMIFS(交易!$O$5:$O1028,交易!$E$5:$E1028,$C47,交易!$I$5:$I1028,MR)</f>
        <v>0</v>
      </c>
      <c r="R47" s="76"/>
      <c r="S47" s="185">
        <f>SUMIFS(交易!$K$5:$K1028,交易!$E$5:$E1028,$C47,交易!$I$5:$I1028,MC)</f>
        <v>0</v>
      </c>
      <c r="T47" s="152">
        <f>SUMIFS(交易!$P$5:$P1028,交易!$E$5:$E1028,$C47,交易!$I$5:$I1028,MC)</f>
        <v>0</v>
      </c>
      <c r="U47" s="177">
        <f>SUMIFS(交易!$O$5:$O1028,交易!$E$5:$E1028,$C47,交易!$I$5:$I1028,MC)</f>
        <v>0</v>
      </c>
    </row>
    <row r="48" customHeight="1" spans="3:21">
      <c r="C48" s="121">
        <f>基金!$C46</f>
        <v>0</v>
      </c>
      <c r="D48" s="76">
        <f>基金!$E46</f>
        <v>0</v>
      </c>
      <c r="E48" s="76" t="str">
        <f>基金!$O46</f>
        <v/>
      </c>
      <c r="F48" s="76" t="str">
        <f>基金!$Q46</f>
        <v/>
      </c>
      <c r="G48" s="76">
        <f>基金!$G46</f>
        <v>0</v>
      </c>
      <c r="H48" s="76" t="str">
        <f>基金!$I46</f>
        <v/>
      </c>
      <c r="I48" s="76"/>
      <c r="J48" s="176">
        <f t="shared" si="3"/>
        <v>0</v>
      </c>
      <c r="K48" s="177">
        <f t="shared" si="4"/>
        <v>0</v>
      </c>
      <c r="L48" s="152">
        <f t="shared" si="5"/>
        <v>0</v>
      </c>
      <c r="M48" s="178" t="str">
        <f t="shared" si="6"/>
        <v/>
      </c>
      <c r="O48" s="176">
        <f>SUMIFS(交易!$K$5:$K1029,交易!$E$5:$E1029,$C48,交易!$I$5:$I1029,MR)</f>
        <v>0</v>
      </c>
      <c r="P48" s="177">
        <f>SUMIFS(交易!$P$5:$P1029,交易!$E$5:$E1029,$C48,交易!$I$5:$I1029,MR)</f>
        <v>0</v>
      </c>
      <c r="Q48" s="152">
        <f>SUMIFS(交易!$O$5:$O1029,交易!$E$5:$E1029,$C48,交易!$I$5:$I1029,MR)</f>
        <v>0</v>
      </c>
      <c r="R48" s="76"/>
      <c r="S48" s="185">
        <f>SUMIFS(交易!$K$5:$K1029,交易!$E$5:$E1029,$C48,交易!$I$5:$I1029,MC)</f>
        <v>0</v>
      </c>
      <c r="T48" s="152">
        <f>SUMIFS(交易!$P$5:$P1029,交易!$E$5:$E1029,$C48,交易!$I$5:$I1029,MC)</f>
        <v>0</v>
      </c>
      <c r="U48" s="177">
        <f>SUMIFS(交易!$O$5:$O1029,交易!$E$5:$E1029,$C48,交易!$I$5:$I1029,MC)</f>
        <v>0</v>
      </c>
    </row>
    <row r="49" customHeight="1" spans="3:21">
      <c r="C49" s="121">
        <f>基金!$C47</f>
        <v>0</v>
      </c>
      <c r="D49" s="76">
        <f>基金!$E47</f>
        <v>0</v>
      </c>
      <c r="E49" s="76" t="str">
        <f>基金!$O47</f>
        <v/>
      </c>
      <c r="F49" s="76" t="str">
        <f>基金!$Q47</f>
        <v/>
      </c>
      <c r="G49" s="76">
        <f>基金!$G47</f>
        <v>0</v>
      </c>
      <c r="H49" s="76" t="str">
        <f>基金!$I47</f>
        <v/>
      </c>
      <c r="I49" s="76"/>
      <c r="J49" s="176">
        <f t="shared" si="3"/>
        <v>0</v>
      </c>
      <c r="K49" s="177">
        <f t="shared" si="4"/>
        <v>0</v>
      </c>
      <c r="L49" s="152">
        <f t="shared" si="5"/>
        <v>0</v>
      </c>
      <c r="M49" s="178" t="str">
        <f t="shared" si="6"/>
        <v/>
      </c>
      <c r="O49" s="176">
        <f>SUMIFS(交易!$K$5:$K1030,交易!$E$5:$E1030,$C49,交易!$I$5:$I1030,MR)</f>
        <v>0</v>
      </c>
      <c r="P49" s="177">
        <f>SUMIFS(交易!$P$5:$P1030,交易!$E$5:$E1030,$C49,交易!$I$5:$I1030,MR)</f>
        <v>0</v>
      </c>
      <c r="Q49" s="152">
        <f>SUMIFS(交易!$O$5:$O1030,交易!$E$5:$E1030,$C49,交易!$I$5:$I1030,MR)</f>
        <v>0</v>
      </c>
      <c r="R49" s="76"/>
      <c r="S49" s="185">
        <f>SUMIFS(交易!$K$5:$K1030,交易!$E$5:$E1030,$C49,交易!$I$5:$I1030,MC)</f>
        <v>0</v>
      </c>
      <c r="T49" s="152">
        <f>SUMIFS(交易!$P$5:$P1030,交易!$E$5:$E1030,$C49,交易!$I$5:$I1030,MC)</f>
        <v>0</v>
      </c>
      <c r="U49" s="177">
        <f>SUMIFS(交易!$O$5:$O1030,交易!$E$5:$E1030,$C49,交易!$I$5:$I1030,MC)</f>
        <v>0</v>
      </c>
    </row>
    <row r="50" customHeight="1" spans="3:21">
      <c r="C50" s="121">
        <f>基金!$C48</f>
        <v>0</v>
      </c>
      <c r="D50" s="76">
        <f>基金!$E48</f>
        <v>0</v>
      </c>
      <c r="E50" s="76" t="str">
        <f>基金!$O48</f>
        <v/>
      </c>
      <c r="F50" s="76" t="str">
        <f>基金!$Q48</f>
        <v/>
      </c>
      <c r="G50" s="76">
        <f>基金!$G48</f>
        <v>0</v>
      </c>
      <c r="H50" s="76" t="str">
        <f>基金!$I48</f>
        <v/>
      </c>
      <c r="I50" s="76"/>
      <c r="J50" s="176">
        <f t="shared" si="3"/>
        <v>0</v>
      </c>
      <c r="K50" s="177">
        <f t="shared" si="4"/>
        <v>0</v>
      </c>
      <c r="L50" s="152">
        <f t="shared" si="5"/>
        <v>0</v>
      </c>
      <c r="M50" s="178" t="str">
        <f t="shared" si="6"/>
        <v/>
      </c>
      <c r="O50" s="176">
        <f>SUMIFS(交易!$K$5:$K1031,交易!$E$5:$E1031,$C50,交易!$I$5:$I1031,MR)</f>
        <v>0</v>
      </c>
      <c r="P50" s="177">
        <f>SUMIFS(交易!$P$5:$P1031,交易!$E$5:$E1031,$C50,交易!$I$5:$I1031,MR)</f>
        <v>0</v>
      </c>
      <c r="Q50" s="152">
        <f>SUMIFS(交易!$O$5:$O1031,交易!$E$5:$E1031,$C50,交易!$I$5:$I1031,MR)</f>
        <v>0</v>
      </c>
      <c r="R50" s="76"/>
      <c r="S50" s="185">
        <f>SUMIFS(交易!$K$5:$K1031,交易!$E$5:$E1031,$C50,交易!$I$5:$I1031,MC)</f>
        <v>0</v>
      </c>
      <c r="T50" s="152">
        <f>SUMIFS(交易!$P$5:$P1031,交易!$E$5:$E1031,$C50,交易!$I$5:$I1031,MC)</f>
        <v>0</v>
      </c>
      <c r="U50" s="177">
        <f>SUMIFS(交易!$O$5:$O1031,交易!$E$5:$E1031,$C50,交易!$I$5:$I1031,MC)</f>
        <v>0</v>
      </c>
    </row>
    <row r="51" customHeight="1" spans="3:21">
      <c r="C51" s="121">
        <f>基金!$C49</f>
        <v>0</v>
      </c>
      <c r="D51" s="76">
        <f>基金!$E49</f>
        <v>0</v>
      </c>
      <c r="E51" s="76" t="str">
        <f>基金!$O49</f>
        <v/>
      </c>
      <c r="F51" s="76" t="str">
        <f>基金!$Q49</f>
        <v/>
      </c>
      <c r="G51" s="76">
        <f>基金!$G49</f>
        <v>0</v>
      </c>
      <c r="H51" s="76" t="str">
        <f>基金!$I49</f>
        <v/>
      </c>
      <c r="I51" s="76"/>
      <c r="J51" s="176">
        <f t="shared" ref="J51:J56" si="7">O51-S51</f>
        <v>0</v>
      </c>
      <c r="K51" s="177">
        <f t="shared" ref="K51:K56" si="8">P51-T51</f>
        <v>0</v>
      </c>
      <c r="L51" s="152">
        <f t="shared" ref="L51:L56" si="9">Q51-U51</f>
        <v>0</v>
      </c>
      <c r="M51" s="178" t="str">
        <f t="shared" si="6"/>
        <v/>
      </c>
      <c r="O51" s="176">
        <f>SUMIFS(交易!$K$5:$K1032,交易!$E$5:$E1032,$C51,交易!$I$5:$I1032,MR)</f>
        <v>0</v>
      </c>
      <c r="P51" s="177">
        <f>SUMIFS(交易!$P$5:$P1032,交易!$E$5:$E1032,$C51,交易!$I$5:$I1032,MR)</f>
        <v>0</v>
      </c>
      <c r="Q51" s="152">
        <f>SUMIFS(交易!$O$5:$O1032,交易!$E$5:$E1032,$C51,交易!$I$5:$I1032,MR)</f>
        <v>0</v>
      </c>
      <c r="R51" s="76"/>
      <c r="S51" s="185">
        <f>SUMIFS(交易!$K$5:$K1032,交易!$E$5:$E1032,$C51,交易!$I$5:$I1032,MC)</f>
        <v>0</v>
      </c>
      <c r="T51" s="152">
        <f>SUMIFS(交易!$P$5:$P1032,交易!$E$5:$E1032,$C51,交易!$I$5:$I1032,MC)</f>
        <v>0</v>
      </c>
      <c r="U51" s="177">
        <f>SUMIFS(交易!$O$5:$O1032,交易!$E$5:$E1032,$C51,交易!$I$5:$I1032,MC)</f>
        <v>0</v>
      </c>
    </row>
    <row r="52" customHeight="1" spans="3:21">
      <c r="C52" s="121">
        <f>基金!$C50</f>
        <v>0</v>
      </c>
      <c r="D52" s="76">
        <f>基金!$E50</f>
        <v>0</v>
      </c>
      <c r="E52" s="76" t="str">
        <f>基金!$O50</f>
        <v/>
      </c>
      <c r="F52" s="76" t="str">
        <f>基金!$Q50</f>
        <v/>
      </c>
      <c r="G52" s="76">
        <f>基金!$G50</f>
        <v>0</v>
      </c>
      <c r="H52" s="76" t="str">
        <f>基金!$I50</f>
        <v/>
      </c>
      <c r="I52" s="76"/>
      <c r="J52" s="176">
        <f t="shared" si="7"/>
        <v>0</v>
      </c>
      <c r="K52" s="177">
        <f t="shared" si="8"/>
        <v>0</v>
      </c>
      <c r="L52" s="152">
        <f t="shared" si="9"/>
        <v>0</v>
      </c>
      <c r="M52" s="178" t="str">
        <f t="shared" si="6"/>
        <v/>
      </c>
      <c r="O52" s="176">
        <f>SUMIFS(交易!$K$5:$K1033,交易!$E$5:$E1033,$C52,交易!$I$5:$I1033,MR)</f>
        <v>0</v>
      </c>
      <c r="P52" s="177">
        <f>SUMIFS(交易!$P$5:$P1033,交易!$E$5:$E1033,$C52,交易!$I$5:$I1033,MR)</f>
        <v>0</v>
      </c>
      <c r="Q52" s="152">
        <f>SUMIFS(交易!$O$5:$O1033,交易!$E$5:$E1033,$C52,交易!$I$5:$I1033,MR)</f>
        <v>0</v>
      </c>
      <c r="R52" s="76"/>
      <c r="S52" s="185">
        <f>SUMIFS(交易!$K$5:$K1033,交易!$E$5:$E1033,$C52,交易!$I$5:$I1033,MC)</f>
        <v>0</v>
      </c>
      <c r="T52" s="152">
        <f>SUMIFS(交易!$P$5:$P1033,交易!$E$5:$E1033,$C52,交易!$I$5:$I1033,MC)</f>
        <v>0</v>
      </c>
      <c r="U52" s="177">
        <f>SUMIFS(交易!$O$5:$O1033,交易!$E$5:$E1033,$C52,交易!$I$5:$I1033,MC)</f>
        <v>0</v>
      </c>
    </row>
    <row r="53" customHeight="1" spans="3:21">
      <c r="C53" s="121">
        <f>基金!$C51</f>
        <v>0</v>
      </c>
      <c r="D53" s="76">
        <f>基金!$E51</f>
        <v>0</v>
      </c>
      <c r="E53" s="76" t="str">
        <f>基金!$O51</f>
        <v/>
      </c>
      <c r="F53" s="76" t="str">
        <f>基金!$Q51</f>
        <v/>
      </c>
      <c r="G53" s="76">
        <f>基金!$G51</f>
        <v>0</v>
      </c>
      <c r="H53" s="76" t="str">
        <f>基金!$I51</f>
        <v/>
      </c>
      <c r="I53" s="76"/>
      <c r="J53" s="176">
        <f t="shared" si="7"/>
        <v>0</v>
      </c>
      <c r="K53" s="177">
        <f t="shared" si="8"/>
        <v>0</v>
      </c>
      <c r="L53" s="152">
        <f t="shared" si="9"/>
        <v>0</v>
      </c>
      <c r="M53" s="178" t="str">
        <f t="shared" si="6"/>
        <v/>
      </c>
      <c r="O53" s="176">
        <f>SUMIFS(交易!$K$5:$K1034,交易!$E$5:$E1034,$C53,交易!$I$5:$I1034,MR)</f>
        <v>0</v>
      </c>
      <c r="P53" s="177">
        <f>SUMIFS(交易!$P$5:$P1034,交易!$E$5:$E1034,$C53,交易!$I$5:$I1034,MR)</f>
        <v>0</v>
      </c>
      <c r="Q53" s="152">
        <f>SUMIFS(交易!$O$5:$O1034,交易!$E$5:$E1034,$C53,交易!$I$5:$I1034,MR)</f>
        <v>0</v>
      </c>
      <c r="R53" s="76"/>
      <c r="S53" s="185">
        <f>SUMIFS(交易!$K$5:$K1034,交易!$E$5:$E1034,$C53,交易!$I$5:$I1034,MC)</f>
        <v>0</v>
      </c>
      <c r="T53" s="152">
        <f>SUMIFS(交易!$P$5:$P1034,交易!$E$5:$E1034,$C53,交易!$I$5:$I1034,MC)</f>
        <v>0</v>
      </c>
      <c r="U53" s="177">
        <f>SUMIFS(交易!$O$5:$O1034,交易!$E$5:$E1034,$C53,交易!$I$5:$I1034,MC)</f>
        <v>0</v>
      </c>
    </row>
    <row r="54" customHeight="1" spans="3:21">
      <c r="C54" s="121">
        <f>基金!$C52</f>
        <v>0</v>
      </c>
      <c r="D54" s="76">
        <f>基金!$E52</f>
        <v>0</v>
      </c>
      <c r="E54" s="76" t="str">
        <f>基金!$O52</f>
        <v/>
      </c>
      <c r="F54" s="76" t="str">
        <f>基金!$Q52</f>
        <v/>
      </c>
      <c r="G54" s="76">
        <f>基金!$G52</f>
        <v>0</v>
      </c>
      <c r="H54" s="76" t="str">
        <f>基金!$I52</f>
        <v/>
      </c>
      <c r="I54" s="76"/>
      <c r="J54" s="176">
        <f t="shared" si="7"/>
        <v>0</v>
      </c>
      <c r="K54" s="177">
        <f t="shared" si="8"/>
        <v>0</v>
      </c>
      <c r="L54" s="152">
        <f t="shared" si="9"/>
        <v>0</v>
      </c>
      <c r="M54" s="178" t="str">
        <f t="shared" si="6"/>
        <v/>
      </c>
      <c r="O54" s="176">
        <f>SUMIFS(交易!$K$5:$K1035,交易!$E$5:$E1035,$C54,交易!$I$5:$I1035,MR)</f>
        <v>0</v>
      </c>
      <c r="P54" s="177">
        <f>SUMIFS(交易!$P$5:$P1035,交易!$E$5:$E1035,$C54,交易!$I$5:$I1035,MR)</f>
        <v>0</v>
      </c>
      <c r="Q54" s="152">
        <f>SUMIFS(交易!$O$5:$O1035,交易!$E$5:$E1035,$C54,交易!$I$5:$I1035,MR)</f>
        <v>0</v>
      </c>
      <c r="R54" s="76"/>
      <c r="S54" s="185">
        <f>SUMIFS(交易!$K$5:$K1035,交易!$E$5:$E1035,$C54,交易!$I$5:$I1035,MC)</f>
        <v>0</v>
      </c>
      <c r="T54" s="152">
        <f>SUMIFS(交易!$P$5:$P1035,交易!$E$5:$E1035,$C54,交易!$I$5:$I1035,MC)</f>
        <v>0</v>
      </c>
      <c r="U54" s="177">
        <f>SUMIFS(交易!$O$5:$O1035,交易!$E$5:$E1035,$C54,交易!$I$5:$I1035,MC)</f>
        <v>0</v>
      </c>
    </row>
    <row r="55" customHeight="1" spans="3:21">
      <c r="C55" s="121">
        <f>基金!$C53</f>
        <v>0</v>
      </c>
      <c r="D55" s="76">
        <f>基金!$E53</f>
        <v>0</v>
      </c>
      <c r="E55" s="76" t="str">
        <f>基金!$O53</f>
        <v/>
      </c>
      <c r="F55" s="76" t="str">
        <f>基金!$Q53</f>
        <v/>
      </c>
      <c r="G55" s="76">
        <f>基金!$G53</f>
        <v>0</v>
      </c>
      <c r="H55" s="76" t="str">
        <f>基金!$I53</f>
        <v/>
      </c>
      <c r="I55" s="76"/>
      <c r="J55" s="176">
        <f t="shared" si="7"/>
        <v>0</v>
      </c>
      <c r="K55" s="177">
        <f t="shared" si="8"/>
        <v>0</v>
      </c>
      <c r="L55" s="152">
        <f t="shared" si="9"/>
        <v>0</v>
      </c>
      <c r="M55" s="178" t="str">
        <f t="shared" si="6"/>
        <v/>
      </c>
      <c r="O55" s="176">
        <f>SUMIFS(交易!$K$5:$K1036,交易!$E$5:$E1036,$C55,交易!$I$5:$I1036,MR)</f>
        <v>0</v>
      </c>
      <c r="P55" s="177">
        <f>SUMIFS(交易!$P$5:$P1036,交易!$E$5:$E1036,$C55,交易!$I$5:$I1036,MR)</f>
        <v>0</v>
      </c>
      <c r="Q55" s="152">
        <f>SUMIFS(交易!$O$5:$O1036,交易!$E$5:$E1036,$C55,交易!$I$5:$I1036,MR)</f>
        <v>0</v>
      </c>
      <c r="R55" s="76"/>
      <c r="S55" s="185">
        <f>SUMIFS(交易!$K$5:$K1036,交易!$E$5:$E1036,$C55,交易!$I$5:$I1036,MC)</f>
        <v>0</v>
      </c>
      <c r="T55" s="152">
        <f>SUMIFS(交易!$P$5:$P1036,交易!$E$5:$E1036,$C55,交易!$I$5:$I1036,MC)</f>
        <v>0</v>
      </c>
      <c r="U55" s="177">
        <f>SUMIFS(交易!$O$5:$O1036,交易!$E$5:$E1036,$C55,交易!$I$5:$I1036,MC)</f>
        <v>0</v>
      </c>
    </row>
    <row r="56" customHeight="1" spans="3:21">
      <c r="C56" s="121">
        <f>基金!$C54</f>
        <v>0</v>
      </c>
      <c r="D56" s="76">
        <f>基金!$E54</f>
        <v>0</v>
      </c>
      <c r="E56" s="76" t="str">
        <f>基金!$O54</f>
        <v/>
      </c>
      <c r="F56" s="76" t="str">
        <f>基金!$Q54</f>
        <v/>
      </c>
      <c r="G56" s="76">
        <f>基金!$G54</f>
        <v>0</v>
      </c>
      <c r="H56" s="76" t="str">
        <f>基金!$I54</f>
        <v/>
      </c>
      <c r="I56" s="76"/>
      <c r="J56" s="176">
        <f t="shared" si="7"/>
        <v>0</v>
      </c>
      <c r="K56" s="177">
        <f t="shared" si="8"/>
        <v>0</v>
      </c>
      <c r="L56" s="152">
        <f t="shared" si="9"/>
        <v>0</v>
      </c>
      <c r="M56" s="178" t="str">
        <f t="shared" si="6"/>
        <v/>
      </c>
      <c r="O56" s="176">
        <f>SUMIFS(交易!$K$5:$K1037,交易!$E$5:$E1037,$C56,交易!$I$5:$I1037,MR)</f>
        <v>0</v>
      </c>
      <c r="P56" s="177">
        <f>SUMIFS(交易!$P$5:$P1037,交易!$E$5:$E1037,$C56,交易!$I$5:$I1037,MR)</f>
        <v>0</v>
      </c>
      <c r="Q56" s="152">
        <f>SUMIFS(交易!$O$5:$O1037,交易!$E$5:$E1037,$C56,交易!$I$5:$I1037,MR)</f>
        <v>0</v>
      </c>
      <c r="R56" s="76"/>
      <c r="S56" s="185">
        <f>SUMIFS(交易!$K$5:$K1037,交易!$E$5:$E1037,$C56,交易!$I$5:$I1037,MC)</f>
        <v>0</v>
      </c>
      <c r="T56" s="152">
        <f>SUMIFS(交易!$P$5:$P1037,交易!$E$5:$E1037,$C56,交易!$I$5:$I1037,MC)</f>
        <v>0</v>
      </c>
      <c r="U56" s="177">
        <f>SUMIFS(交易!$O$5:$O1037,交易!$E$5:$E1037,$C56,交易!$I$5:$I1037,MC)</f>
        <v>0</v>
      </c>
    </row>
  </sheetData>
  <sheetProtection sheet="1" selectLockedCells="1" objects="1"/>
  <mergeCells count="5">
    <mergeCell ref="C4:D4"/>
    <mergeCell ref="J4:M4"/>
    <mergeCell ref="O4:Q4"/>
    <mergeCell ref="S4:U4"/>
    <mergeCell ref="C6:D6"/>
  </mergeCell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T226"/>
  <sheetViews>
    <sheetView showGridLines="0" tabSelected="1" workbookViewId="0">
      <pane ySplit="4" topLeftCell="A152" activePane="bottomLeft" state="frozen"/>
      <selection/>
      <selection pane="bottomLeft" activeCell="G12" sqref="G12"/>
    </sheetView>
  </sheetViews>
  <sheetFormatPr defaultColWidth="9" defaultRowHeight="30" customHeight="1"/>
  <cols>
    <col min="1" max="1" width="1.625" style="31" customWidth="1"/>
    <col min="2" max="2" width="2.625" style="6" customWidth="1"/>
    <col min="3" max="3" width="10.125" style="133" customWidth="1"/>
    <col min="4" max="4" width="1.625" style="133" customWidth="1"/>
    <col min="5" max="5" width="7.125" style="134" customWidth="1"/>
    <col min="6" max="6" width="1.625" style="133" customWidth="1"/>
    <col min="7" max="7" width="25.625" style="26" customWidth="1"/>
    <col min="8" max="8" width="5.375" style="6" customWidth="1"/>
    <col min="9" max="9" width="4.875" style="6" customWidth="1"/>
    <col min="10" max="10" width="1.625" style="133" customWidth="1"/>
    <col min="11" max="11" width="4.5" style="111" customWidth="1"/>
    <col min="12" max="12" width="1.625" style="133" customWidth="1"/>
    <col min="13" max="13" width="8.625" style="111" customWidth="1"/>
    <col min="14" max="14" width="9" style="111" hidden="1"/>
    <col min="15" max="16" width="11.625" style="111" customWidth="1"/>
    <col min="17" max="17" width="8.625" style="111" customWidth="1"/>
    <col min="18" max="18" width="9" style="111" customWidth="1"/>
    <col min="19" max="19" width="2.625" style="6" customWidth="1"/>
    <col min="20" max="20" width="1.625" style="31" customWidth="1"/>
    <col min="21" max="254" width="9" style="4" customWidth="1"/>
  </cols>
  <sheetData>
    <row r="1" ht="9.95" customHeight="1" spans="2:19">
      <c r="B1" s="31"/>
      <c r="C1" s="135"/>
      <c r="D1" s="135"/>
      <c r="E1" s="136"/>
      <c r="F1" s="135"/>
      <c r="G1" s="37"/>
      <c r="H1" s="31"/>
      <c r="I1" s="31"/>
      <c r="J1" s="135"/>
      <c r="K1" s="50"/>
      <c r="L1" s="135"/>
      <c r="M1" s="50"/>
      <c r="N1" s="50"/>
      <c r="O1" s="50"/>
      <c r="P1" s="50"/>
      <c r="Q1" s="50"/>
      <c r="R1" s="50"/>
      <c r="S1" s="31"/>
    </row>
    <row r="2" ht="35.1" customHeight="1" spans="2:19">
      <c r="B2" s="137"/>
      <c r="C2" s="138" t="s">
        <v>42</v>
      </c>
      <c r="D2" s="138"/>
      <c r="E2" s="138"/>
      <c r="F2" s="138"/>
      <c r="G2" s="138"/>
      <c r="H2" s="138"/>
      <c r="I2" s="138"/>
      <c r="J2" s="138"/>
      <c r="K2" s="138"/>
      <c r="L2" s="138"/>
      <c r="M2" s="138"/>
      <c r="N2" s="138"/>
      <c r="O2" s="138"/>
      <c r="P2" s="138"/>
      <c r="Q2" s="138"/>
      <c r="R2" s="150"/>
      <c r="S2" s="137"/>
    </row>
    <row r="3" s="31" customFormat="1" ht="9.95" customHeight="1" spans="3:254">
      <c r="C3" s="135"/>
      <c r="D3" s="135"/>
      <c r="E3" s="136"/>
      <c r="F3" s="135"/>
      <c r="G3" s="37"/>
      <c r="J3" s="135"/>
      <c r="K3" s="50"/>
      <c r="L3" s="135"/>
      <c r="M3" s="50"/>
      <c r="N3" s="50"/>
      <c r="O3" s="50"/>
      <c r="P3" s="50"/>
      <c r="Q3" s="50"/>
      <c r="R3" s="50"/>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row>
    <row r="4" s="131" customFormat="1" customHeight="1" spans="1:254">
      <c r="A4" s="60"/>
      <c r="B4" s="62"/>
      <c r="C4" s="74" t="s">
        <v>43</v>
      </c>
      <c r="D4" s="74"/>
      <c r="E4" s="75" t="s">
        <v>44</v>
      </c>
      <c r="F4" s="74"/>
      <c r="G4" s="76" t="s">
        <v>45</v>
      </c>
      <c r="H4" s="99" t="s">
        <v>46</v>
      </c>
      <c r="I4" s="99" t="s">
        <v>47</v>
      </c>
      <c r="J4" s="74"/>
      <c r="K4" s="143" t="s">
        <v>38</v>
      </c>
      <c r="L4" s="74"/>
      <c r="M4" s="143" t="s">
        <v>48</v>
      </c>
      <c r="N4" s="143" t="s">
        <v>49</v>
      </c>
      <c r="O4" s="127" t="s">
        <v>8</v>
      </c>
      <c r="P4" s="127" t="s">
        <v>7</v>
      </c>
      <c r="Q4" s="151" t="s">
        <v>50</v>
      </c>
      <c r="R4" s="143" t="s">
        <v>51</v>
      </c>
      <c r="S4" s="62"/>
      <c r="T4" s="60"/>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66"/>
      <c r="AY4" s="66"/>
      <c r="AZ4" s="66"/>
      <c r="BA4" s="66"/>
      <c r="BB4" s="66"/>
      <c r="BC4" s="66"/>
      <c r="BD4" s="66"/>
      <c r="BE4" s="66"/>
      <c r="BF4" s="66"/>
      <c r="BG4" s="66"/>
      <c r="BH4" s="66"/>
      <c r="BI4" s="66"/>
      <c r="BJ4" s="66"/>
      <c r="BK4" s="66"/>
      <c r="BL4" s="66"/>
      <c r="BM4" s="66"/>
      <c r="BN4" s="66"/>
      <c r="BO4" s="66"/>
      <c r="BP4" s="66"/>
      <c r="BQ4" s="66"/>
      <c r="BR4" s="66"/>
      <c r="BS4" s="66"/>
      <c r="BT4" s="66"/>
      <c r="BU4" s="66"/>
      <c r="BV4" s="66"/>
      <c r="BW4" s="66"/>
      <c r="BX4" s="66"/>
      <c r="BY4" s="66"/>
      <c r="BZ4" s="66"/>
      <c r="CA4" s="66"/>
      <c r="CB4" s="66"/>
      <c r="CC4" s="66"/>
      <c r="CD4" s="66"/>
      <c r="CE4" s="66"/>
      <c r="CF4" s="66"/>
      <c r="CG4" s="66"/>
      <c r="CH4" s="66"/>
      <c r="CI4" s="66"/>
      <c r="CJ4" s="66"/>
      <c r="CK4" s="66"/>
      <c r="CL4" s="66"/>
      <c r="CM4" s="66"/>
      <c r="CN4" s="66"/>
      <c r="CO4" s="66"/>
      <c r="CP4" s="66"/>
      <c r="CQ4" s="66"/>
      <c r="CR4" s="66"/>
      <c r="CS4" s="66"/>
      <c r="CT4" s="66"/>
      <c r="CU4" s="66"/>
      <c r="CV4" s="66"/>
      <c r="CW4" s="66"/>
      <c r="CX4" s="66"/>
      <c r="CY4" s="66"/>
      <c r="CZ4" s="66"/>
      <c r="DA4" s="66"/>
      <c r="DB4" s="66"/>
      <c r="DC4" s="66"/>
      <c r="DD4" s="66"/>
      <c r="DE4" s="66"/>
      <c r="DF4" s="66"/>
      <c r="DG4" s="66"/>
      <c r="DH4" s="66"/>
      <c r="DI4" s="66"/>
      <c r="DJ4" s="66"/>
      <c r="DK4" s="66"/>
      <c r="DL4" s="66"/>
      <c r="DM4" s="66"/>
      <c r="DN4" s="66"/>
      <c r="DO4" s="66"/>
      <c r="DP4" s="66"/>
      <c r="DQ4" s="66"/>
      <c r="DR4" s="66"/>
      <c r="DS4" s="66"/>
      <c r="DT4" s="66"/>
      <c r="DU4" s="66"/>
      <c r="DV4" s="66"/>
      <c r="DW4" s="66"/>
      <c r="DX4" s="66"/>
      <c r="DY4" s="66"/>
      <c r="DZ4" s="66"/>
      <c r="EA4" s="66"/>
      <c r="EB4" s="66"/>
      <c r="EC4" s="66"/>
      <c r="ED4" s="66"/>
      <c r="EE4" s="66"/>
      <c r="EF4" s="66"/>
      <c r="EG4" s="66"/>
      <c r="EH4" s="66"/>
      <c r="EI4" s="66"/>
      <c r="EJ4" s="66"/>
      <c r="EK4" s="66"/>
      <c r="EL4" s="66"/>
      <c r="EM4" s="66"/>
      <c r="EN4" s="66"/>
      <c r="EO4" s="66"/>
      <c r="EP4" s="66"/>
      <c r="EQ4" s="66"/>
      <c r="ER4" s="66"/>
      <c r="ES4" s="66"/>
      <c r="ET4" s="66"/>
      <c r="EU4" s="66"/>
      <c r="EV4" s="66"/>
      <c r="EW4" s="66"/>
      <c r="EX4" s="66"/>
      <c r="EY4" s="66"/>
      <c r="EZ4" s="66"/>
      <c r="FA4" s="66"/>
      <c r="FB4" s="66"/>
      <c r="FC4" s="66"/>
      <c r="FD4" s="66"/>
      <c r="FE4" s="66"/>
      <c r="FF4" s="66"/>
      <c r="FG4" s="66"/>
      <c r="FH4" s="66"/>
      <c r="FI4" s="66"/>
      <c r="FJ4" s="66"/>
      <c r="FK4" s="66"/>
      <c r="FL4" s="66"/>
      <c r="FM4" s="66"/>
      <c r="FN4" s="66"/>
      <c r="FO4" s="66"/>
      <c r="FP4" s="66"/>
      <c r="FQ4" s="66"/>
      <c r="FR4" s="66"/>
      <c r="FS4" s="66"/>
      <c r="FT4" s="66"/>
      <c r="FU4" s="66"/>
      <c r="FV4" s="66"/>
      <c r="FW4" s="66"/>
      <c r="FX4" s="66"/>
      <c r="FY4" s="66"/>
      <c r="FZ4" s="66"/>
      <c r="GA4" s="66"/>
      <c r="GB4" s="66"/>
      <c r="GC4" s="66"/>
      <c r="GD4" s="66"/>
      <c r="GE4" s="66"/>
      <c r="GF4" s="66"/>
      <c r="GG4" s="66"/>
      <c r="GH4" s="66"/>
      <c r="GI4" s="66"/>
      <c r="GJ4" s="66"/>
      <c r="GK4" s="66"/>
      <c r="GL4" s="66"/>
      <c r="GM4" s="66"/>
      <c r="GN4" s="66"/>
      <c r="GO4" s="66"/>
      <c r="GP4" s="66"/>
      <c r="GQ4" s="66"/>
      <c r="GR4" s="66"/>
      <c r="GS4" s="66"/>
      <c r="GT4" s="66"/>
      <c r="GU4" s="66"/>
      <c r="GV4" s="66"/>
      <c r="GW4" s="66"/>
      <c r="GX4" s="66"/>
      <c r="GY4" s="66"/>
      <c r="GZ4" s="66"/>
      <c r="HA4" s="66"/>
      <c r="HB4" s="66"/>
      <c r="HC4" s="66"/>
      <c r="HD4" s="66"/>
      <c r="HE4" s="66"/>
      <c r="HF4" s="66"/>
      <c r="HG4" s="66"/>
      <c r="HH4" s="66"/>
      <c r="HI4" s="66"/>
      <c r="HJ4" s="66"/>
      <c r="HK4" s="66"/>
      <c r="HL4" s="66"/>
      <c r="HM4" s="66"/>
      <c r="HN4" s="66"/>
      <c r="HO4" s="66"/>
      <c r="HP4" s="66"/>
      <c r="HQ4" s="66"/>
      <c r="HR4" s="66"/>
      <c r="HS4" s="66"/>
      <c r="HT4" s="66"/>
      <c r="HU4" s="66"/>
      <c r="HV4" s="66"/>
      <c r="HW4" s="66"/>
      <c r="HX4" s="66"/>
      <c r="HY4" s="66"/>
      <c r="HZ4" s="66"/>
      <c r="IA4" s="66"/>
      <c r="IB4" s="66"/>
      <c r="IC4" s="66"/>
      <c r="ID4" s="66"/>
      <c r="IE4" s="66"/>
      <c r="IF4" s="66"/>
      <c r="IG4" s="66"/>
      <c r="IH4" s="66"/>
      <c r="II4" s="66"/>
      <c r="IJ4" s="66"/>
      <c r="IK4" s="66"/>
      <c r="IL4" s="66"/>
      <c r="IM4" s="66"/>
      <c r="IN4" s="66"/>
      <c r="IO4" s="66"/>
      <c r="IP4" s="66"/>
      <c r="IQ4" s="66"/>
      <c r="IR4" s="66"/>
      <c r="IS4" s="66"/>
      <c r="IT4" s="66"/>
    </row>
    <row r="5" customHeight="1" spans="3:19">
      <c r="C5" s="139">
        <v>42403</v>
      </c>
      <c r="D5" s="140"/>
      <c r="E5" s="120">
        <v>100032</v>
      </c>
      <c r="F5" s="141"/>
      <c r="G5" s="76" t="str">
        <f>IF($E5="","",VLOOKUP($E5,基金!$C$5:$I$36,3,0))</f>
        <v>富国中证红利指数增强</v>
      </c>
      <c r="H5" s="142" t="str">
        <f>IF($E5="","",VLOOKUP($E5,基金!$C$5:$I$36,5,0))</f>
        <v>场外</v>
      </c>
      <c r="I5" s="144" t="s">
        <v>32</v>
      </c>
      <c r="J5" s="141"/>
      <c r="K5" s="145">
        <v>1</v>
      </c>
      <c r="L5" s="141"/>
      <c r="M5" s="146">
        <v>1.103</v>
      </c>
      <c r="N5" s="143">
        <f>IF(E5="","",K5*MFJE)</f>
        <v>1000</v>
      </c>
      <c r="O5" s="147">
        <f>IF(OR(E5="",H5="",M5="",K5="",I5=""),"",IF($H5=CN,P5*M5,K5*MFJE))</f>
        <v>1000</v>
      </c>
      <c r="P5" s="148">
        <f>IF(OR(E5="",H5="",M5="",K5="",I5=""),"",IF(H5=CN,ROUND(N5/M5,-2),(N5-Q5)/M5))</f>
        <v>905.258386219402</v>
      </c>
      <c r="Q5" s="152">
        <f>IF(OR(E5="",H5="",M5="",K5="",I5=""),"",IF(I5=MC,O5*VLOOKUP(E5,基金!$C$5:$M$55,11,0),O5*VLOOKUP(E5,基金!$C$5:$M$55,9,0)))</f>
        <v>1.5</v>
      </c>
      <c r="R5" s="153" t="str">
        <f>IF($E5="","",VLOOKUP($E5,基金!$C$5:$I$36,7,0))</f>
        <v>天天基金</v>
      </c>
      <c r="S5" s="62"/>
    </row>
    <row r="6" customHeight="1" spans="3:19">
      <c r="C6" s="139">
        <v>42407</v>
      </c>
      <c r="D6" s="140"/>
      <c r="E6" s="120">
        <v>100032</v>
      </c>
      <c r="F6" s="141"/>
      <c r="G6" s="76" t="str">
        <f>IF($E6="","",VLOOKUP($E6,基金!$C$5:$I$36,3,0))</f>
        <v>富国中证红利指数增强</v>
      </c>
      <c r="H6" s="142" t="str">
        <f>IF($E6="","",VLOOKUP($E6,基金!$C$5:$I$36,5,0))</f>
        <v>场外</v>
      </c>
      <c r="I6" s="144" t="s">
        <v>32</v>
      </c>
      <c r="J6" s="141"/>
      <c r="K6" s="145">
        <v>2</v>
      </c>
      <c r="L6" s="141"/>
      <c r="M6" s="146">
        <v>1.106</v>
      </c>
      <c r="N6" s="143">
        <f>IF(E6="","",K6*MFJE)</f>
        <v>2000</v>
      </c>
      <c r="O6" s="147">
        <f>IF(OR(E6="",H6="",M6="",K6="",I6=""),"",IF($H6=CN,P6*M6,K6*MFJE))</f>
        <v>2000</v>
      </c>
      <c r="P6" s="148">
        <f>IF(OR(E6="",H6="",M6="",K6="",I6=""),"",IF(H6=CN,ROUND(N6/M6,-2),(N6-Q6)/M6))</f>
        <v>1805.60578661844</v>
      </c>
      <c r="Q6" s="152">
        <f>IF(OR(E6="",H6="",M6="",K6="",I6=""),"",IF(I6=MC,O6*VLOOKUP(E6,基金!$C$5:$M$55,11,0),O6*VLOOKUP(E6,基金!$C$5:$M$55,9,0)))</f>
        <v>3</v>
      </c>
      <c r="R6" s="153" t="str">
        <f>IF($E6="","",VLOOKUP($E6,基金!$C$5:$I$36,7,0))</f>
        <v>天天基金</v>
      </c>
      <c r="S6" s="62"/>
    </row>
    <row r="7" customHeight="1" spans="3:19">
      <c r="C7" s="139">
        <v>42769</v>
      </c>
      <c r="D7" s="140"/>
      <c r="E7" s="120">
        <v>1064</v>
      </c>
      <c r="F7" s="141"/>
      <c r="G7" s="76" t="str">
        <f>IF(E7="","",VLOOKUP(E7,基金!$C$5:$M$55,3,0))</f>
        <v>广发环保指数A</v>
      </c>
      <c r="H7" s="142" t="str">
        <f>IF($E7="","",VLOOKUP($E7,基金!$C$5:$M$55,5,0))</f>
        <v>场外</v>
      </c>
      <c r="I7" s="144" t="s">
        <v>32</v>
      </c>
      <c r="J7" s="141"/>
      <c r="K7" s="145">
        <v>1</v>
      </c>
      <c r="L7" s="141"/>
      <c r="M7" s="146">
        <v>0.7552</v>
      </c>
      <c r="N7" s="143">
        <f>IF(E7="","",K7*MFJE)</f>
        <v>1000</v>
      </c>
      <c r="O7" s="147">
        <f>IF(OR(E7="",H7="",M7="",K7="",I7=""),"",IF($H7=CN,P7*M7,K7*MFJE))</f>
        <v>1000</v>
      </c>
      <c r="P7" s="148">
        <f>IF(OR(E7="",H7="",M7="",K7="",I7=""),"",IF(H7=CN,ROUND(N7/M7,-2),(N7-Q7)/M7))</f>
        <v>1322.56355932203</v>
      </c>
      <c r="Q7" s="152">
        <f>IF(OR(E7="",H7="",M7="",K7="",I7=""),"",IF(I7=MC,O7*VLOOKUP(E7,基金!$C$5:$M$55,11,0),O7*VLOOKUP(E7,基金!$C$5:$M$55,9,0)))</f>
        <v>1.2</v>
      </c>
      <c r="R7" s="153" t="str">
        <f>IF(E7="","",VLOOKUP(E7,基金!$C$5:$M$55,7,0))</f>
        <v>天天基金</v>
      </c>
      <c r="S7" s="62"/>
    </row>
    <row r="8" s="132" customFormat="1" customHeight="1" spans="1:254">
      <c r="A8" s="31"/>
      <c r="B8" s="6"/>
      <c r="C8" s="139">
        <v>42769</v>
      </c>
      <c r="D8" s="140"/>
      <c r="E8" s="120">
        <v>50027</v>
      </c>
      <c r="F8" s="141"/>
      <c r="G8" s="76" t="str">
        <f>IF($E8="","",VLOOKUP($E8,基金!$C$5:$I$36,3,0))</f>
        <v>博时信用债纯债债券A</v>
      </c>
      <c r="H8" s="142" t="str">
        <f>IF($E8="","",VLOOKUP($E8,基金!$C$5:$I$36,5,0))</f>
        <v>场外</v>
      </c>
      <c r="I8" s="144" t="s">
        <v>32</v>
      </c>
      <c r="J8" s="141"/>
      <c r="K8" s="145">
        <v>1</v>
      </c>
      <c r="L8" s="141"/>
      <c r="M8" s="146">
        <v>1.069</v>
      </c>
      <c r="N8" s="143">
        <f>IF(E8="","",K8*MFJE)</f>
        <v>1000</v>
      </c>
      <c r="O8" s="147">
        <f>IF(OR(E8="",H8="",M8="",K8="",I8=""),"",IF($H8=CN,P8*M8,K8*MFJE))</f>
        <v>1000</v>
      </c>
      <c r="P8" s="148">
        <f>IF(OR(E8="",H8="",M8="",K8="",I8=""),"",IF(H8=CN,ROUND(N8/M8,-2),(N8-Q8)/M8))</f>
        <v>934.705332086062</v>
      </c>
      <c r="Q8" s="152">
        <f>IF(OR(E8="",H8="",M8="",K8="",I8=""),"",IF(I8=MC,O8*VLOOKUP(E8,基金!$C$5:$M$55,11,0),O8*VLOOKUP(E8,基金!$C$5:$M$55,9,0)))</f>
        <v>0.8</v>
      </c>
      <c r="R8" s="153" t="str">
        <f>IF($E8="","",VLOOKUP($E8,基金!$C$5:$I$36,7,0))</f>
        <v>天天基金</v>
      </c>
      <c r="S8" s="62"/>
      <c r="T8" s="31"/>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row>
    <row r="9" customHeight="1" spans="3:19">
      <c r="C9" s="139">
        <v>42780</v>
      </c>
      <c r="D9" s="140"/>
      <c r="E9" s="120">
        <v>3376</v>
      </c>
      <c r="F9" s="141"/>
      <c r="G9" s="76" t="str">
        <f>IF($E9="","",VLOOKUP($E9,基金!$C$5:$I$36,3,0))</f>
        <v>广发中债7-10年国开债指数A</v>
      </c>
      <c r="H9" s="142" t="str">
        <f>IF($E9="","",VLOOKUP($E9,基金!$C$5:$I$36,5,0))</f>
        <v>场外</v>
      </c>
      <c r="I9" s="144" t="s">
        <v>32</v>
      </c>
      <c r="J9" s="141"/>
      <c r="K9" s="145">
        <v>1</v>
      </c>
      <c r="L9" s="141"/>
      <c r="M9" s="146">
        <v>0.9504</v>
      </c>
      <c r="N9" s="143">
        <f>IF(E9="","",K9*MFJE)</f>
        <v>1000</v>
      </c>
      <c r="O9" s="147">
        <f>IF(OR(E9="",H9="",M9="",K9="",I9=""),"",IF($H9=CN,P9*M9,K9*MFJE))</f>
        <v>1000</v>
      </c>
      <c r="P9" s="148">
        <f>IF(OR(E9="",H9="",M9="",K9="",I9=""),"",IF(H9=CN,ROUND(N9/M9,-2),(N9-Q9)/M9))</f>
        <v>1051.66245791246</v>
      </c>
      <c r="Q9" s="152">
        <f>IF(OR(E9="",H9="",M9="",K9="",I9=""),"",IF(I9=MC,O9*VLOOKUP(E9,基金!$C$5:$M$55,11,0),O9*VLOOKUP(E9,基金!$C$5:$M$55,9,0)))</f>
        <v>0.5</v>
      </c>
      <c r="R9" s="153" t="str">
        <f>IF($E9="","",VLOOKUP($E9,基金!$C$5:$I$36,7,0))</f>
        <v>天天基金</v>
      </c>
      <c r="S9" s="62"/>
    </row>
    <row r="10" customHeight="1" spans="3:19">
      <c r="C10" s="139">
        <v>42803</v>
      </c>
      <c r="D10" s="140"/>
      <c r="E10" s="120">
        <v>162411</v>
      </c>
      <c r="F10" s="141"/>
      <c r="G10" s="76" t="str">
        <f>IF($E10="","",VLOOKUP($E10,基金!$C$5:$I$36,3,0))</f>
        <v>华宝油气</v>
      </c>
      <c r="H10" s="142" t="str">
        <f>IF($E10="","",VLOOKUP($E10,基金!$C$5:$I$36,5,0))</f>
        <v>场内</v>
      </c>
      <c r="I10" s="144" t="s">
        <v>32</v>
      </c>
      <c r="J10" s="141"/>
      <c r="K10" s="145">
        <v>1</v>
      </c>
      <c r="L10" s="141"/>
      <c r="M10" s="146">
        <v>0.627</v>
      </c>
      <c r="N10" s="143">
        <f>IF(E10="","",K10*MFJE)</f>
        <v>1000</v>
      </c>
      <c r="O10" s="147">
        <f>IF(OR(E10="",H10="",M10="",K10="",I10=""),"",IF($H10=CN,P10*M10,K10*MFJE))</f>
        <v>1003.2</v>
      </c>
      <c r="P10" s="148">
        <f>IF(OR(E10="",H10="",M10="",K10="",I10=""),"",IF(H10=CN,ROUND(N10/M10,-2),(N10-Q10)/M10))</f>
        <v>1600</v>
      </c>
      <c r="Q10" s="152">
        <f>IF(OR(E10="",H10="",M10="",K10="",I10=""),"",IF(I10=MC,O10*VLOOKUP(E10,基金!$C$5:$M$55,11,0),O10*VLOOKUP(E10,基金!$C$5:$M$55,9,0)))</f>
        <v>0.30096</v>
      </c>
      <c r="R10" s="153" t="str">
        <f>IF($E10="","",VLOOKUP($E10,基金!$C$5:$I$36,7,0))</f>
        <v>华泰证券</v>
      </c>
      <c r="S10" s="62"/>
    </row>
    <row r="11" customHeight="1" spans="3:19">
      <c r="C11" s="139">
        <v>42825</v>
      </c>
      <c r="D11" s="140"/>
      <c r="E11" s="120">
        <v>159938</v>
      </c>
      <c r="F11" s="141"/>
      <c r="G11" s="76" t="str">
        <f>IF($E11="","",VLOOKUP($E11,基金!$C$5:$I$36,3,0))</f>
        <v>广发医药</v>
      </c>
      <c r="H11" s="142" t="str">
        <f>IF($E11="","",VLOOKUP($E11,基金!$C$5:$I$36,5,0))</f>
        <v>场内</v>
      </c>
      <c r="I11" s="144" t="s">
        <v>32</v>
      </c>
      <c r="J11" s="141"/>
      <c r="K11" s="145">
        <f>IF($E11="","",1)</f>
        <v>1</v>
      </c>
      <c r="L11" s="141"/>
      <c r="M11" s="146">
        <v>1.3</v>
      </c>
      <c r="N11" s="143">
        <f>IF(E11="","",K11*MFJE)</f>
        <v>1000</v>
      </c>
      <c r="O11" s="147">
        <f>IF(OR(E11="",H11="",M11="",K11="",I11=""),"",IF($H11=CN,P11*M11,K11*MFJE))</f>
        <v>1040</v>
      </c>
      <c r="P11" s="148">
        <f>IF(OR(E11="",H11="",M11="",K11="",I11=""),"",IF(H11=CN,ROUND(N11/M11,-2),(N11-Q11)/M11))</f>
        <v>800</v>
      </c>
      <c r="Q11" s="152">
        <f>IF(OR(E11="",H11="",M11="",K11="",I11=""),"",IF(I11=MC,O11*VLOOKUP(E11,基金!$C$5:$M$55,11,0),O11*VLOOKUP(E11,基金!$C$5:$M$55,9,0)))</f>
        <v>0.312</v>
      </c>
      <c r="R11" s="153" t="str">
        <f>IF($E11="","",VLOOKUP($E11,基金!$C$5:$I$36,7,0))</f>
        <v>华泰证券</v>
      </c>
      <c r="S11" s="62"/>
    </row>
    <row r="12" s="132" customFormat="1" customHeight="1" spans="1:254">
      <c r="A12" s="31"/>
      <c r="B12" s="6"/>
      <c r="C12" s="139">
        <v>42837</v>
      </c>
      <c r="D12" s="140"/>
      <c r="E12" s="120">
        <v>159938</v>
      </c>
      <c r="F12" s="141"/>
      <c r="G12" s="76" t="str">
        <f>IF($E12="","",VLOOKUP($E12,基金!$C$5:$I$36,3,0))</f>
        <v>广发医药</v>
      </c>
      <c r="H12" s="142" t="str">
        <f>IF($E12="","",VLOOKUP($E12,基金!$C$5:$I$36,5,0))</f>
        <v>场内</v>
      </c>
      <c r="I12" s="144" t="s">
        <v>32</v>
      </c>
      <c r="J12" s="141"/>
      <c r="K12" s="145">
        <v>1</v>
      </c>
      <c r="L12" s="141"/>
      <c r="M12" s="146">
        <v>1.3</v>
      </c>
      <c r="N12" s="143">
        <f>IF(E12="","",K12*MFJE)</f>
        <v>1000</v>
      </c>
      <c r="O12" s="147">
        <f>IF(OR(E12="",H12="",M12="",K12="",I12=""),"",IF($H12=CN,P12*M12,K12*MFJE))</f>
        <v>1040</v>
      </c>
      <c r="P12" s="148">
        <f>IF(OR(E12="",H12="",M12="",K12="",I12=""),"",IF(H12=CN,ROUND(N12/M12,-2),(N12-Q12)/M12))</f>
        <v>800</v>
      </c>
      <c r="Q12" s="152">
        <f>IF(OR(E12="",H12="",M12="",K12="",I12=""),"",IF(I12=MC,O12*VLOOKUP(E12,基金!$C$5:$M$55,11,0),O12*VLOOKUP(E12,基金!$C$5:$M$55,9,0)))</f>
        <v>0.312</v>
      </c>
      <c r="R12" s="153" t="str">
        <f>IF($E12="","",VLOOKUP($E12,基金!$C$5:$I$36,7,0))</f>
        <v>华泰证券</v>
      </c>
      <c r="S12" s="62"/>
      <c r="T12" s="31"/>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row>
    <row r="13" s="132" customFormat="1" customHeight="1" spans="1:254">
      <c r="A13" s="31"/>
      <c r="B13" s="6"/>
      <c r="C13" s="139">
        <v>42838</v>
      </c>
      <c r="D13" s="140"/>
      <c r="E13" s="120">
        <v>968</v>
      </c>
      <c r="F13" s="141"/>
      <c r="G13" s="76" t="str">
        <f>IF($E13="","",VLOOKUP($E13,基金!$C$5:$I$36,3,0))</f>
        <v>广发养老指数A</v>
      </c>
      <c r="H13" s="142" t="str">
        <f>IF($E13="","",VLOOKUP($E13,基金!$C$5:$I$36,5,0))</f>
        <v>场外</v>
      </c>
      <c r="I13" s="144" t="s">
        <v>32</v>
      </c>
      <c r="J13" s="141"/>
      <c r="K13" s="145">
        <v>2</v>
      </c>
      <c r="L13" s="141"/>
      <c r="M13" s="146">
        <v>0.9977</v>
      </c>
      <c r="N13" s="143">
        <f>IF(E13="","",K13*MFJE)</f>
        <v>2000</v>
      </c>
      <c r="O13" s="147">
        <f>IF(OR(E13="",H13="",M13="",K13="",I13=""),"",IF($H13=CN,P13*M13,K13*MFJE))</f>
        <v>2000</v>
      </c>
      <c r="P13" s="148">
        <f>IF(OR(E13="",H13="",M13="",K13="",I13=""),"",IF(H13=CN,ROUND(N13/M13,-2),(N13-Q13)/M13))</f>
        <v>2002.20507166483</v>
      </c>
      <c r="Q13" s="152">
        <f>IF(OR(E13="",H13="",M13="",K13="",I13=""),"",IF(I13=MC,O13*VLOOKUP(E13,基金!$C$5:$M$55,11,0),O13*VLOOKUP(E13,基金!$C$5:$M$55,9,0)))</f>
        <v>2.4</v>
      </c>
      <c r="R13" s="153" t="str">
        <f>IF($E13="","",VLOOKUP($E13,基金!$C$5:$I$36,7,0))</f>
        <v>天天基金</v>
      </c>
      <c r="S13" s="62"/>
      <c r="T13" s="31"/>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row>
    <row r="14" s="132" customFormat="1" customHeight="1" spans="1:254">
      <c r="A14" s="31"/>
      <c r="B14" s="6"/>
      <c r="C14" s="139">
        <v>42844</v>
      </c>
      <c r="D14" s="140"/>
      <c r="E14" s="120">
        <v>162411</v>
      </c>
      <c r="F14" s="141"/>
      <c r="G14" s="76" t="str">
        <f>IF($E14="","",VLOOKUP($E14,基金!$C$5:$I$36,3,0))</f>
        <v>华宝油气</v>
      </c>
      <c r="H14" s="142" t="str">
        <f>IF($E14="","",VLOOKUP($E14,基金!$C$5:$I$36,5,0))</f>
        <v>场内</v>
      </c>
      <c r="I14" s="144" t="s">
        <v>32</v>
      </c>
      <c r="J14" s="141"/>
      <c r="K14" s="145">
        <v>1</v>
      </c>
      <c r="L14" s="141"/>
      <c r="M14" s="146">
        <v>0.603</v>
      </c>
      <c r="N14" s="143">
        <f>IF(E14="","",K14*MFJE)</f>
        <v>1000</v>
      </c>
      <c r="O14" s="147">
        <f>IF(OR(E14="",H14="",M14="",K14="",I14=""),"",IF($H14=CN,P14*M14,K14*MFJE))</f>
        <v>2050.2</v>
      </c>
      <c r="P14" s="148">
        <v>3400</v>
      </c>
      <c r="Q14" s="152">
        <f>IF(OR(E14="",H14="",M14="",K14="",I14=""),"",IF(I14=MC,O14*VLOOKUP(E14,基金!$C$5:$M$55,11,0),O14*VLOOKUP(E14,基金!$C$5:$M$55,9,0)))</f>
        <v>0.61506</v>
      </c>
      <c r="R14" s="153" t="str">
        <f>IF($E14="","",VLOOKUP($E14,基金!$C$5:$I$36,7,0))</f>
        <v>华泰证券</v>
      </c>
      <c r="S14" s="62"/>
      <c r="T14" s="31"/>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row>
    <row r="15" s="132" customFormat="1" customHeight="1" spans="1:254">
      <c r="A15" s="31"/>
      <c r="B15" s="6"/>
      <c r="C15" s="139">
        <v>42850</v>
      </c>
      <c r="D15" s="140"/>
      <c r="E15" s="120">
        <v>159938</v>
      </c>
      <c r="F15" s="141"/>
      <c r="G15" s="76" t="str">
        <f>IF($E15="","",VLOOKUP($E15,基金!$C$5:$I$36,3,0))</f>
        <v>广发医药</v>
      </c>
      <c r="H15" s="142" t="str">
        <f>IF($E15="","",VLOOKUP($E15,基金!$C$5:$I$36,5,0))</f>
        <v>场内</v>
      </c>
      <c r="I15" s="144" t="s">
        <v>32</v>
      </c>
      <c r="J15" s="141"/>
      <c r="K15" s="145">
        <v>1</v>
      </c>
      <c r="L15" s="141"/>
      <c r="M15" s="146">
        <v>1.285</v>
      </c>
      <c r="N15" s="143">
        <f>IF(E15="","",K15*MFJE)</f>
        <v>1000</v>
      </c>
      <c r="O15" s="147">
        <f>IF(OR(E15="",H15="",M15="",K15="",I15=""),"",IF($H15=CN,P15*M15,K15*MFJE))</f>
        <v>1028</v>
      </c>
      <c r="P15" s="148">
        <f>IF(OR(E15="",H15="",M15="",K15="",I15=""),"",IF(H15=CN,ROUND(N15/M15,-2),(N15-Q15)/M15))</f>
        <v>800</v>
      </c>
      <c r="Q15" s="152">
        <f>IF(OR(E15="",H15="",M15="",K15="",I15=""),"",IF(I15=MC,O15*VLOOKUP(E15,基金!$C$5:$M$55,11,0),O15*VLOOKUP(E15,基金!$C$5:$M$55,9,0)))</f>
        <v>0.3084</v>
      </c>
      <c r="R15" s="153" t="str">
        <f>IF($E15="","",VLOOKUP($E15,基金!$C$5:$I$36,7,0))</f>
        <v>华泰证券</v>
      </c>
      <c r="S15" s="62"/>
      <c r="T15" s="31"/>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row>
    <row r="16" s="132" customFormat="1" customHeight="1" spans="1:254">
      <c r="A16" s="31"/>
      <c r="B16" s="6"/>
      <c r="C16" s="139">
        <v>42850</v>
      </c>
      <c r="D16" s="140"/>
      <c r="E16" s="120">
        <v>968</v>
      </c>
      <c r="F16" s="141"/>
      <c r="G16" s="76" t="str">
        <f>IF($E16="","",VLOOKUP($E16,基金!$C$5:$I$36,3,0))</f>
        <v>广发养老指数A</v>
      </c>
      <c r="H16" s="142" t="str">
        <f>IF($E16="","",VLOOKUP($E16,基金!$C$5:$I$36,5,0))</f>
        <v>场外</v>
      </c>
      <c r="I16" s="144" t="s">
        <v>32</v>
      </c>
      <c r="J16" s="141"/>
      <c r="K16" s="145">
        <v>1</v>
      </c>
      <c r="L16" s="141"/>
      <c r="M16" s="146">
        <v>0.9933</v>
      </c>
      <c r="N16" s="143">
        <f>IF(E16="","",K16*MFJE)</f>
        <v>1000</v>
      </c>
      <c r="O16" s="147">
        <f>IF(OR(E16="",H16="",M16="",K16="",I16=""),"",IF($H16=CN,P16*M16,K16*MFJE))</f>
        <v>1000</v>
      </c>
      <c r="P16" s="148">
        <f>IF(OR(E16="",H16="",M16="",K16="",I16=""),"",IF(H16=CN,ROUND(N16/M16,-2),(N16-Q16)/M16))</f>
        <v>1005.53709856035</v>
      </c>
      <c r="Q16" s="152">
        <f>IF(OR(E16="",H16="",M16="",K16="",I16=""),"",IF(I16=MC,O16*VLOOKUP(E16,基金!$C$5:$M$55,11,0),O16*VLOOKUP(E16,基金!$C$5:$M$55,9,0)))</f>
        <v>1.2</v>
      </c>
      <c r="R16" s="153" t="str">
        <f>IF($E16="","",VLOOKUP($E16,基金!$C$5:$I$36,7,0))</f>
        <v>天天基金</v>
      </c>
      <c r="S16" s="62"/>
      <c r="T16" s="31"/>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row>
    <row r="17" s="132" customFormat="1" customHeight="1" spans="1:254">
      <c r="A17" s="31"/>
      <c r="B17" s="6"/>
      <c r="C17" s="139">
        <v>42850</v>
      </c>
      <c r="D17" s="140"/>
      <c r="E17" s="120">
        <v>3376</v>
      </c>
      <c r="F17" s="141"/>
      <c r="G17" s="76" t="str">
        <f>IF($E17="","",VLOOKUP($E17,基金!$C$5:$I$36,3,0))</f>
        <v>广发中债7-10年国开债指数A</v>
      </c>
      <c r="H17" s="142" t="str">
        <f>IF($E17="","",VLOOKUP($E17,基金!$C$5:$I$36,5,0))</f>
        <v>场外</v>
      </c>
      <c r="I17" s="144" t="s">
        <v>32</v>
      </c>
      <c r="J17" s="141"/>
      <c r="K17" s="145">
        <v>1</v>
      </c>
      <c r="L17" s="141"/>
      <c r="M17" s="146">
        <v>0.9456</v>
      </c>
      <c r="N17" s="143">
        <f>IF(E17="","",K17*MFJE)</f>
        <v>1000</v>
      </c>
      <c r="O17" s="147">
        <f>IF(OR(E17="",H17="",M17="",K17="",I17=""),"",IF($H17=CN,P17*M17,K17*MFJE))</f>
        <v>1000</v>
      </c>
      <c r="P17" s="148">
        <f>IF(OR(E17="",H17="",M17="",K17="",I17=""),"",IF(H17=CN,ROUND(N17/M17,-2),(N17-Q17)/M17))</f>
        <v>1057.00084602369</v>
      </c>
      <c r="Q17" s="152">
        <f>IF(OR(E17="",H17="",M17="",K17="",I17=""),"",IF(I17=MC,O17*VLOOKUP(E17,基金!$C$5:$M$55,11,0),O17*VLOOKUP(E17,基金!$C$5:$M$55,9,0)))</f>
        <v>0.5</v>
      </c>
      <c r="R17" s="153" t="str">
        <f>IF($E17="","",VLOOKUP($E17,基金!$C$5:$I$36,7,0))</f>
        <v>天天基金</v>
      </c>
      <c r="S17" s="62"/>
      <c r="T17" s="31"/>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row>
    <row r="18" s="132" customFormat="1" customHeight="1" spans="1:254">
      <c r="A18" s="31"/>
      <c r="B18" s="6"/>
      <c r="C18" s="139">
        <v>42853</v>
      </c>
      <c r="D18" s="140"/>
      <c r="E18" s="120">
        <v>510500</v>
      </c>
      <c r="F18" s="141"/>
      <c r="G18" s="76" t="str">
        <f>IF($E18="","",VLOOKUP($E18,基金!$C$5:$I$36,3,0))</f>
        <v>500ETF</v>
      </c>
      <c r="H18" s="142" t="str">
        <f>IF($E18="","",VLOOKUP($E18,基金!$C$5:$I$36,5,0))</f>
        <v>场内</v>
      </c>
      <c r="I18" s="144" t="s">
        <v>32</v>
      </c>
      <c r="J18" s="141"/>
      <c r="K18" s="145">
        <v>1</v>
      </c>
      <c r="L18" s="141"/>
      <c r="M18" s="146">
        <v>6.48</v>
      </c>
      <c r="N18" s="143">
        <f>IF(E18="","",K18*MFJE)</f>
        <v>1000</v>
      </c>
      <c r="O18" s="147">
        <f>IF(OR(E18="",H18="",M18="",K18="",I18=""),"",IF($H18=CN,P18*M18,K18*MFJE))</f>
        <v>1296</v>
      </c>
      <c r="P18" s="148">
        <f>IF(OR(E18="",H18="",M18="",K18="",I18=""),"",IF(H18=CN,ROUND(N18/M18,-2),(N18-Q18)/M18))</f>
        <v>200</v>
      </c>
      <c r="Q18" s="152">
        <f>IF(OR(E18="",H18="",M18="",K18="",I18=""),"",IF(I18=MC,O18*VLOOKUP(E18,基金!$C$5:$M$55,11,0),O18*VLOOKUP(E18,基金!$C$5:$M$55,9,0)))</f>
        <v>0.3888</v>
      </c>
      <c r="R18" s="153" t="str">
        <f>IF($E18="","",VLOOKUP($E18,基金!$C$5:$I$36,7,0))</f>
        <v>华泰证券</v>
      </c>
      <c r="S18" s="62"/>
      <c r="T18" s="31"/>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row>
    <row r="19" s="132" customFormat="1" customHeight="1" spans="1:254">
      <c r="A19" s="31"/>
      <c r="B19" s="6"/>
      <c r="C19" s="139">
        <v>42865</v>
      </c>
      <c r="D19" s="140"/>
      <c r="E19" s="120">
        <v>159938</v>
      </c>
      <c r="F19" s="141"/>
      <c r="G19" s="76" t="str">
        <f>IF($E19="","",VLOOKUP($E19,基金!$C$5:$I$36,3,0))</f>
        <v>广发医药</v>
      </c>
      <c r="H19" s="142" t="str">
        <f>IF($E19="","",VLOOKUP($E19,基金!$C$5:$I$36,5,0))</f>
        <v>场内</v>
      </c>
      <c r="I19" s="144" t="s">
        <v>32</v>
      </c>
      <c r="J19" s="141"/>
      <c r="K19" s="145">
        <v>1</v>
      </c>
      <c r="L19" s="141"/>
      <c r="M19" s="146">
        <v>1.256</v>
      </c>
      <c r="N19" s="143">
        <f>IF(E19="","",K19*MFJE)</f>
        <v>1000</v>
      </c>
      <c r="O19" s="147">
        <f>IF(OR(E19="",H19="",M19="",K19="",I19=""),"",IF($H19=CN,P19*M19,K19*MFJE))</f>
        <v>1004.8</v>
      </c>
      <c r="P19" s="148">
        <f>IF(OR(E19="",H19="",M19="",K19="",I19=""),"",IF(H19=CN,ROUND(N19/M19,-2),(N19-Q19)/M19))</f>
        <v>800</v>
      </c>
      <c r="Q19" s="152">
        <f>IF(OR(E19="",H19="",M19="",K19="",I19=""),"",IF(I19=MC,O19*VLOOKUP(E19,基金!$C$5:$M$55,11,0),O19*VLOOKUP(E19,基金!$C$5:$M$55,9,0)))</f>
        <v>0.30144</v>
      </c>
      <c r="R19" s="153" t="str">
        <f>IF($E19="","",VLOOKUP($E19,基金!$C$5:$I$36,7,0))</f>
        <v>华泰证券</v>
      </c>
      <c r="S19" s="62"/>
      <c r="T19" s="31"/>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row>
    <row r="20" s="132" customFormat="1" customHeight="1" spans="1:254">
      <c r="A20" s="31"/>
      <c r="B20" s="6"/>
      <c r="C20" s="139">
        <v>42866</v>
      </c>
      <c r="D20" s="140"/>
      <c r="E20" s="120">
        <v>159938</v>
      </c>
      <c r="F20" s="141"/>
      <c r="G20" s="76" t="str">
        <f>IF($E20="","",VLOOKUP($E20,基金!$C$5:$I$36,3,0))</f>
        <v>广发医药</v>
      </c>
      <c r="H20" s="142" t="str">
        <f>IF($E20="","",VLOOKUP($E20,基金!$C$5:$I$36,5,0))</f>
        <v>场内</v>
      </c>
      <c r="I20" s="144" t="s">
        <v>32</v>
      </c>
      <c r="J20" s="141"/>
      <c r="K20" s="145">
        <v>1</v>
      </c>
      <c r="L20" s="141"/>
      <c r="M20" s="146">
        <v>1.235</v>
      </c>
      <c r="N20" s="143">
        <f>IF(E20="","",K20*MFJE)</f>
        <v>1000</v>
      </c>
      <c r="O20" s="147">
        <f>IF(OR(E20="",H20="",M20="",K20="",I20=""),"",IF($H20=CN,P20*M20,K20*MFJE))</f>
        <v>988</v>
      </c>
      <c r="P20" s="148">
        <f>IF(OR(E20="",H20="",M20="",K20="",I20=""),"",IF(H20=CN,ROUND(N20/M20,-2),(N20-Q20)/M20))</f>
        <v>800</v>
      </c>
      <c r="Q20" s="152">
        <f>IF(OR(E20="",H20="",M20="",K20="",I20=""),"",IF(I20=MC,O20*VLOOKUP(E20,基金!$C$5:$M$55,11,0),O20*VLOOKUP(E20,基金!$C$5:$M$55,9,0)))</f>
        <v>0.2964</v>
      </c>
      <c r="R20" s="153" t="str">
        <f>IF($E20="","",VLOOKUP($E20,基金!$C$5:$I$36,7,0))</f>
        <v>华泰证券</v>
      </c>
      <c r="S20" s="62"/>
      <c r="T20" s="31"/>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row>
    <row r="21" s="132" customFormat="1" customHeight="1" spans="1:254">
      <c r="A21" s="31"/>
      <c r="B21" s="6"/>
      <c r="C21" s="139">
        <v>42878</v>
      </c>
      <c r="D21" s="140"/>
      <c r="E21" s="120">
        <v>3376</v>
      </c>
      <c r="F21" s="141"/>
      <c r="G21" s="76" t="str">
        <f>IF($E21="","",VLOOKUP($E21,基金!$C$5:$I$36,3,0))</f>
        <v>广发中债7-10年国开债指数A</v>
      </c>
      <c r="H21" s="142" t="str">
        <f>IF($E21="","",VLOOKUP($E21,基金!$C$5:$I$36,5,0))</f>
        <v>场外</v>
      </c>
      <c r="I21" s="144" t="s">
        <v>32</v>
      </c>
      <c r="J21" s="141"/>
      <c r="K21" s="145">
        <v>1</v>
      </c>
      <c r="L21" s="141"/>
      <c r="M21" s="146">
        <v>0.9354</v>
      </c>
      <c r="N21" s="143">
        <f>IF(E21="","",K21*MFJE)</f>
        <v>1000</v>
      </c>
      <c r="O21" s="147">
        <f>IF(OR(E21="",H21="",M21="",K21="",I21=""),"",IF($H21=CN,P21*M21,K21*MFJE))</f>
        <v>1000</v>
      </c>
      <c r="P21" s="148">
        <f>IF(OR(E21="",H21="",M21="",K21="",I21=""),"",IF(H21=CN,ROUND(N21/M21,-2),(N21-Q21)/M21))</f>
        <v>1068.52683344024</v>
      </c>
      <c r="Q21" s="152">
        <f>IF(OR(E21="",H21="",M21="",K21="",I21=""),"",IF(I21=MC,O21*VLOOKUP(E21,基金!$C$5:$M$55,11,0),O21*VLOOKUP(E21,基金!$C$5:$M$55,9,0)))</f>
        <v>0.5</v>
      </c>
      <c r="R21" s="153" t="str">
        <f>IF($E21="","",VLOOKUP($E21,基金!$C$5:$I$36,7,0))</f>
        <v>天天基金</v>
      </c>
      <c r="S21" s="62"/>
      <c r="T21" s="31"/>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row>
    <row r="22" s="132" customFormat="1" customHeight="1" spans="1:254">
      <c r="A22" s="31"/>
      <c r="B22" s="6"/>
      <c r="C22" s="139">
        <v>42878</v>
      </c>
      <c r="D22" s="140"/>
      <c r="E22" s="120">
        <v>968</v>
      </c>
      <c r="F22" s="141"/>
      <c r="G22" s="76" t="str">
        <f>IF($E22="","",VLOOKUP($E22,基金!$C$5:$I$36,3,0))</f>
        <v>广发养老指数A</v>
      </c>
      <c r="H22" s="142" t="str">
        <f>IF($E22="","",VLOOKUP($E22,基金!$C$5:$I$36,5,0))</f>
        <v>场外</v>
      </c>
      <c r="I22" s="144" t="s">
        <v>32</v>
      </c>
      <c r="J22" s="141"/>
      <c r="K22" s="145">
        <v>1</v>
      </c>
      <c r="L22" s="141"/>
      <c r="M22" s="146">
        <v>0.9959</v>
      </c>
      <c r="N22" s="143">
        <f>IF(E22="","",K22*MFJE)</f>
        <v>1000</v>
      </c>
      <c r="O22" s="147">
        <f>IF(OR(E22="",H22="",M22="",K22="",I22=""),"",IF($H22=CN,P22*M22,K22*MFJE))</f>
        <v>1000</v>
      </c>
      <c r="P22" s="148">
        <f>IF(OR(E22="",H22="",M22="",K22="",I22=""),"",IF(H22=CN,ROUND(N22/M22,-2),(N22-Q22)/M22))</f>
        <v>1002.91193894969</v>
      </c>
      <c r="Q22" s="152">
        <f>IF(OR(E22="",H22="",M22="",K22="",I22=""),"",IF(I22=MC,O22*VLOOKUP(E22,基金!$C$5:$M$55,11,0),O22*VLOOKUP(E22,基金!$C$5:$M$55,9,0)))</f>
        <v>1.2</v>
      </c>
      <c r="R22" s="153" t="str">
        <f>IF($E22="","",VLOOKUP($E22,基金!$C$5:$I$36,7,0))</f>
        <v>天天基金</v>
      </c>
      <c r="S22" s="62"/>
      <c r="T22" s="31"/>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row>
    <row r="23" s="132" customFormat="1" customHeight="1" spans="1:254">
      <c r="A23" s="31"/>
      <c r="B23" s="6"/>
      <c r="C23" s="139">
        <v>42878</v>
      </c>
      <c r="D23" s="140"/>
      <c r="E23" s="120">
        <v>100032</v>
      </c>
      <c r="F23" s="141"/>
      <c r="G23" s="76" t="str">
        <f>IF($E23="","",VLOOKUP($E23,基金!$C$5:$I$36,3,0))</f>
        <v>富国中证红利指数增强</v>
      </c>
      <c r="H23" s="142" t="str">
        <f>IF($E23="","",VLOOKUP($E23,基金!$C$5:$I$36,5,0))</f>
        <v>场外</v>
      </c>
      <c r="I23" s="144" t="s">
        <v>32</v>
      </c>
      <c r="J23" s="141"/>
      <c r="K23" s="145">
        <v>1</v>
      </c>
      <c r="L23" s="141"/>
      <c r="M23" s="146">
        <v>1.149</v>
      </c>
      <c r="N23" s="143">
        <f>IF(E23="","",K23*MFJE)</f>
        <v>1000</v>
      </c>
      <c r="O23" s="147">
        <f>IF(OR(E23="",H23="",M23="",K23="",I23=""),"",IF($H23=CN,P23*M23,K23*MFJE))</f>
        <v>1000</v>
      </c>
      <c r="P23" s="148">
        <f>IF(OR(E23="",H23="",M23="",K23="",I23=""),"",IF(H23=CN,ROUND(N23/M23,-2),(N23-Q23)/M23))</f>
        <v>869.016536118364</v>
      </c>
      <c r="Q23" s="152">
        <f>IF(OR(E23="",H23="",M23="",K23="",I23=""),"",IF(I23=MC,O23*VLOOKUP(E23,基金!$C$5:$M$55,11,0),O23*VLOOKUP(E23,基金!$C$5:$M$55,9,0)))</f>
        <v>1.5</v>
      </c>
      <c r="R23" s="153" t="str">
        <f>IF($E23="","",VLOOKUP($E23,基金!$C$5:$I$36,7,0))</f>
        <v>天天基金</v>
      </c>
      <c r="S23" s="62"/>
      <c r="T23" s="31"/>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row>
    <row r="24" s="132" customFormat="1" customHeight="1" spans="1:254">
      <c r="A24" s="31"/>
      <c r="B24" s="6"/>
      <c r="C24" s="139">
        <v>42879</v>
      </c>
      <c r="D24" s="140"/>
      <c r="E24" s="120">
        <v>159938</v>
      </c>
      <c r="F24" s="141"/>
      <c r="G24" s="76" t="str">
        <f>IF($E24="","",VLOOKUP($E24,基金!$C$5:$I$36,3,0))</f>
        <v>广发医药</v>
      </c>
      <c r="H24" s="142" t="str">
        <f>IF($E24="","",VLOOKUP($E24,基金!$C$5:$I$36,5,0))</f>
        <v>场内</v>
      </c>
      <c r="I24" s="144" t="s">
        <v>32</v>
      </c>
      <c r="J24" s="141"/>
      <c r="K24" s="145">
        <v>1</v>
      </c>
      <c r="L24" s="141"/>
      <c r="M24" s="146">
        <v>1.258</v>
      </c>
      <c r="N24" s="143">
        <f>IF(E24="","",K24*MFJE)</f>
        <v>1000</v>
      </c>
      <c r="O24" s="147">
        <f>IF(OR(E24="",H24="",M24="",K24="",I24=""),"",IF($H24=CN,P24*M24,K24*MFJE))</f>
        <v>1006.4</v>
      </c>
      <c r="P24" s="148">
        <f>IF(OR(E24="",H24="",M24="",K24="",I24=""),"",IF(H24=CN,ROUND(N24/M24,-2),(N24-Q24)/M24))</f>
        <v>800</v>
      </c>
      <c r="Q24" s="152">
        <f>IF(OR(E24="",H24="",M24="",K24="",I24=""),"",IF(I24=MC,O24*VLOOKUP(E24,基金!$C$5:$M$55,11,0),O24*VLOOKUP(E24,基金!$C$5:$M$55,9,0)))</f>
        <v>0.30192</v>
      </c>
      <c r="R24" s="153" t="str">
        <f>IF($E24="","",VLOOKUP($E24,基金!$C$5:$I$36,7,0))</f>
        <v>华泰证券</v>
      </c>
      <c r="S24" s="62"/>
      <c r="T24" s="31"/>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row>
    <row r="25" s="132" customFormat="1" customHeight="1" spans="1:254">
      <c r="A25" s="31"/>
      <c r="B25" s="6"/>
      <c r="C25" s="139">
        <v>42879</v>
      </c>
      <c r="D25" s="140"/>
      <c r="E25" s="120">
        <v>510500</v>
      </c>
      <c r="F25" s="141"/>
      <c r="G25" s="76" t="str">
        <f>IF($E25="","",VLOOKUP($E25,基金!$C$5:$I$36,3,0))</f>
        <v>500ETF</v>
      </c>
      <c r="H25" s="142" t="str">
        <f>IF($E25="","",VLOOKUP($E25,基金!$C$5:$I$36,5,0))</f>
        <v>场内</v>
      </c>
      <c r="I25" s="144" t="s">
        <v>32</v>
      </c>
      <c r="J25" s="141"/>
      <c r="K25" s="145">
        <v>1</v>
      </c>
      <c r="L25" s="141"/>
      <c r="M25" s="146">
        <v>6.106</v>
      </c>
      <c r="N25" s="143">
        <f>IF(E25="","",K25*MFJE)</f>
        <v>1000</v>
      </c>
      <c r="O25" s="147">
        <f>IF(OR(E25="",H25="",M25="",K25="",I25=""),"",IF($H25=CN,P25*M25,K25*MFJE))</f>
        <v>1221.2</v>
      </c>
      <c r="P25" s="148">
        <f>IF(OR(E25="",H25="",M25="",K25="",I25=""),"",IF(H25=CN,ROUND(N25/M25,-2),(N25-Q25)/M25))</f>
        <v>200</v>
      </c>
      <c r="Q25" s="152">
        <f>IF(OR(E25="",H25="",M25="",K25="",I25=""),"",IF(I25=MC,O25*VLOOKUP(E25,基金!$C$5:$M$55,11,0),O25*VLOOKUP(E25,基金!$C$5:$M$55,9,0)))</f>
        <v>0.36636</v>
      </c>
      <c r="R25" s="153" t="str">
        <f>IF($E25="","",VLOOKUP($E25,基金!$C$5:$I$36,7,0))</f>
        <v>华泰证券</v>
      </c>
      <c r="S25" s="62"/>
      <c r="T25" s="31"/>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row>
    <row r="26" s="132" customFormat="1" customHeight="1" spans="1:254">
      <c r="A26" s="31"/>
      <c r="B26" s="6"/>
      <c r="C26" s="139">
        <v>42916</v>
      </c>
      <c r="D26" s="140"/>
      <c r="E26" s="120">
        <v>159915</v>
      </c>
      <c r="F26" s="141"/>
      <c r="G26" s="76" t="str">
        <f>IF($E26="","",VLOOKUP($E26,基金!$C$5:$I$36,3,0))</f>
        <v>创业板</v>
      </c>
      <c r="H26" s="142" t="str">
        <f>IF($E26="","",VLOOKUP($E26,基金!$C$5:$I$36,5,0))</f>
        <v>场内</v>
      </c>
      <c r="I26" s="144" t="s">
        <v>32</v>
      </c>
      <c r="J26" s="141"/>
      <c r="K26" s="145">
        <v>1</v>
      </c>
      <c r="L26" s="141"/>
      <c r="M26" s="146">
        <v>1.742</v>
      </c>
      <c r="N26" s="143">
        <f>IF(E26="","",K26*MFJE)</f>
        <v>1000</v>
      </c>
      <c r="O26" s="147">
        <f>IF(OR(E26="",H26="",M26="",K26="",I26=""),"",IF($H26=CN,P26*M26,K26*MFJE))</f>
        <v>1045.2</v>
      </c>
      <c r="P26" s="148">
        <f>IF(OR(E26="",H26="",M26="",K26="",I26=""),"",IF(H26=CN,ROUND(N26/M26,-2),(N26-Q26)/M26))</f>
        <v>600</v>
      </c>
      <c r="Q26" s="152">
        <f>IF(OR(E26="",H26="",M26="",K26="",I26=""),"",IF(I26=MC,O26*VLOOKUP(E26,基金!$C$5:$M$55,11,0),O26*VLOOKUP(E26,基金!$C$5:$M$55,9,0)))</f>
        <v>0.31356</v>
      </c>
      <c r="R26" s="153" t="str">
        <f>IF($E26="","",VLOOKUP($E26,基金!$C$5:$I$36,7,0))</f>
        <v>华泰证券</v>
      </c>
      <c r="S26" s="62"/>
      <c r="T26" s="31"/>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row>
    <row r="27" s="132" customFormat="1" customHeight="1" spans="1:254">
      <c r="A27" s="31"/>
      <c r="B27" s="6"/>
      <c r="C27" s="139">
        <v>42933</v>
      </c>
      <c r="D27" s="140"/>
      <c r="E27" s="120">
        <v>968</v>
      </c>
      <c r="F27" s="141"/>
      <c r="G27" s="76" t="str">
        <f>IF($E27="","",VLOOKUP($E27,基金!$C$5:$I$36,3,0))</f>
        <v>广发养老指数A</v>
      </c>
      <c r="H27" s="142" t="str">
        <f>IF($E27="","",VLOOKUP($E27,基金!$C$5:$I$36,5,0))</f>
        <v>场外</v>
      </c>
      <c r="I27" s="144" t="s">
        <v>32</v>
      </c>
      <c r="J27" s="141"/>
      <c r="K27" s="145">
        <v>1</v>
      </c>
      <c r="L27" s="141"/>
      <c r="M27" s="146">
        <v>0.9987</v>
      </c>
      <c r="N27" s="143">
        <f>IF(E27="","",K27*MFJE)</f>
        <v>1000</v>
      </c>
      <c r="O27" s="147">
        <f>IF(OR(E27="",H27="",M27="",K27="",I27=""),"",IF($H27=CN,P27*M27,K27*MFJE))</f>
        <v>1000</v>
      </c>
      <c r="P27" s="148">
        <f>IF(OR(E27="",H27="",M27="",K27="",I27=""),"",IF(H27=CN,ROUND(N27/M27,-2),(N27-Q27)/M27))</f>
        <v>1000.10013016922</v>
      </c>
      <c r="Q27" s="152">
        <f>IF(OR(E27="",H27="",M27="",K27="",I27=""),"",IF(I27=MC,O27*VLOOKUP(E27,基金!$C$5:$M$55,11,0),O27*VLOOKUP(E27,基金!$C$5:$M$55,9,0)))</f>
        <v>1.2</v>
      </c>
      <c r="R27" s="153" t="str">
        <f>IF($E27="","",VLOOKUP($E27,基金!$C$5:$I$36,7,0))</f>
        <v>天天基金</v>
      </c>
      <c r="S27" s="133"/>
      <c r="T27" s="31"/>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row>
    <row r="28" customHeight="1" spans="3:18">
      <c r="C28" s="139">
        <v>42947</v>
      </c>
      <c r="D28" s="140"/>
      <c r="E28" s="120">
        <v>159938</v>
      </c>
      <c r="F28" s="141"/>
      <c r="G28" s="76" t="str">
        <f>IF($E28="","",VLOOKUP($E28,基金!$C$5:$I$36,3,0))</f>
        <v>广发医药</v>
      </c>
      <c r="H28" s="142" t="str">
        <f>IF($E28="","",VLOOKUP($E28,基金!$C$5:$I$36,5,0))</f>
        <v>场内</v>
      </c>
      <c r="I28" s="144" t="s">
        <v>32</v>
      </c>
      <c r="J28" s="141"/>
      <c r="K28" s="145">
        <v>1</v>
      </c>
      <c r="L28" s="141"/>
      <c r="M28" s="146">
        <v>1.26</v>
      </c>
      <c r="N28" s="143">
        <f>IF(E28="","",K28*MFJE)</f>
        <v>1000</v>
      </c>
      <c r="O28" s="147">
        <f>IF(OR(E28="",H28="",M28="",K28="",I28=""),"",IF($H28=CN,P28*M28,K28*MFJE))</f>
        <v>1008</v>
      </c>
      <c r="P28" s="148">
        <f>IF(OR(E28="",H28="",M28="",K28="",I28=""),"",IF(H28=CN,ROUND(N28/M28,-2),(N28-Q28)/M28))</f>
        <v>800</v>
      </c>
      <c r="Q28" s="152">
        <f>IF(OR(E28="",H28="",M28="",K28="",I28=""),"",IF(I28=MC,O28*VLOOKUP(E28,基金!$C$5:$M$55,11,0),O28*VLOOKUP(E28,基金!$C$5:$M$55,9,0)))</f>
        <v>0.3024</v>
      </c>
      <c r="R28" s="153" t="str">
        <f>IF($E28="","",VLOOKUP($E28,基金!$C$5:$I$36,7,0))</f>
        <v>华泰证券</v>
      </c>
    </row>
    <row r="29" customHeight="1" spans="3:18">
      <c r="C29" s="139">
        <v>42947</v>
      </c>
      <c r="D29" s="140"/>
      <c r="E29" s="120">
        <v>159915</v>
      </c>
      <c r="F29" s="141"/>
      <c r="G29" s="76" t="str">
        <f>IF($E29="","",VLOOKUP($E29,基金!$C$5:$I$36,3,0))</f>
        <v>创业板</v>
      </c>
      <c r="H29" s="142" t="str">
        <f>IF($E29="","",VLOOKUP($E29,基金!$C$5:$I$36,5,0))</f>
        <v>场内</v>
      </c>
      <c r="I29" s="144" t="s">
        <v>32</v>
      </c>
      <c r="J29" s="141"/>
      <c r="K29" s="145">
        <v>1</v>
      </c>
      <c r="L29" s="141"/>
      <c r="M29" s="146">
        <v>1.65</v>
      </c>
      <c r="N29" s="143">
        <f>IF(E29="","",K29*MFJE)</f>
        <v>1000</v>
      </c>
      <c r="O29" s="147">
        <f>IF(OR(E29="",H29="",M29="",K29="",I29=""),"",IF($H29=CN,P29*M29,K29*MFJE))</f>
        <v>990</v>
      </c>
      <c r="P29" s="148">
        <f>IF(OR(E29="",H29="",M29="",K29="",I29=""),"",IF(H29=CN,ROUND(N29/M29,-2),(N29-Q29)/M29))</f>
        <v>600</v>
      </c>
      <c r="Q29" s="152">
        <f>IF(OR(E29="",H29="",M29="",K29="",I29=""),"",IF(I29=MC,O29*VLOOKUP(E29,基金!$C$5:$M$55,11,0),O29*VLOOKUP(E29,基金!$C$5:$M$55,9,0)))</f>
        <v>0.297</v>
      </c>
      <c r="R29" s="153" t="str">
        <f>IF($E29="","",VLOOKUP($E29,基金!$C$5:$I$36,7,0))</f>
        <v>华泰证券</v>
      </c>
    </row>
    <row r="30" customHeight="1" spans="3:18">
      <c r="C30" s="139">
        <v>42947</v>
      </c>
      <c r="D30" s="140"/>
      <c r="E30" s="120">
        <v>3376</v>
      </c>
      <c r="F30" s="141"/>
      <c r="G30" s="76" t="str">
        <f>IF($E30="","",VLOOKUP($E30,基金!$C$5:$I$36,3,0))</f>
        <v>广发中债7-10年国开债指数A</v>
      </c>
      <c r="H30" s="142" t="str">
        <f>IF($E30="","",VLOOKUP($E30,基金!$C$5:$I$36,5,0))</f>
        <v>场外</v>
      </c>
      <c r="I30" s="144" t="s">
        <v>32</v>
      </c>
      <c r="J30" s="141"/>
      <c r="K30" s="145">
        <v>1</v>
      </c>
      <c r="L30" s="141"/>
      <c r="M30" s="146">
        <v>0.9565</v>
      </c>
      <c r="N30" s="143">
        <f>IF(E30="","",K30*MFJE)</f>
        <v>1000</v>
      </c>
      <c r="O30" s="147">
        <f>IF(OR(E30="",H30="",M30="",K30="",I30=""),"",IF($H30=CN,P30*M30,K30*MFJE))</f>
        <v>1000</v>
      </c>
      <c r="P30" s="148">
        <f>IF(OR(E30="",H30="",M30="",K30="",I30=""),"",IF(H30=CN,ROUND(N30/M30,-2),(N30-Q30)/M30))</f>
        <v>1044.95556717198</v>
      </c>
      <c r="Q30" s="152">
        <f>IF(OR(E30="",H30="",M30="",K30="",I30=""),"",IF(I30=MC,O30*VLOOKUP(E30,基金!$C$5:$M$55,11,0),O30*VLOOKUP(E30,基金!$C$5:$M$55,9,0)))</f>
        <v>0.5</v>
      </c>
      <c r="R30" s="153" t="str">
        <f>IF($E30="","",VLOOKUP($E30,基金!$C$5:$I$36,7,0))</f>
        <v>天天基金</v>
      </c>
    </row>
    <row r="31" customHeight="1" spans="3:18">
      <c r="C31" s="139">
        <v>42962</v>
      </c>
      <c r="D31" s="140"/>
      <c r="E31" s="120">
        <v>162411</v>
      </c>
      <c r="F31" s="141"/>
      <c r="G31" s="76" t="str">
        <f>IF($E31="","",VLOOKUP($E31,基金!$C$5:$I$36,3,0))</f>
        <v>华宝油气</v>
      </c>
      <c r="H31" s="142" t="str">
        <f>IF($E31="","",VLOOKUP($E31,基金!$C$5:$I$36,5,0))</f>
        <v>场内</v>
      </c>
      <c r="I31" s="144" t="s">
        <v>32</v>
      </c>
      <c r="J31" s="141"/>
      <c r="K31" s="145">
        <v>1</v>
      </c>
      <c r="L31" s="141"/>
      <c r="M31" s="146">
        <v>0.509</v>
      </c>
      <c r="N31" s="143">
        <f>IF(E31="","",K31*MFJE)</f>
        <v>1000</v>
      </c>
      <c r="O31" s="147">
        <f>IF(OR(E31="",H31="",M31="",K31="",I31=""),"",IF($H31=CN,P31*M31,K31*MFJE))</f>
        <v>1018</v>
      </c>
      <c r="P31" s="148">
        <f>IF(OR(E31="",H31="",M31="",K31="",I31=""),"",IF(H31=CN,ROUND(N31/M31,-2),(N31-Q31)/M31))</f>
        <v>2000</v>
      </c>
      <c r="Q31" s="152">
        <f>IF(OR(E31="",H31="",M31="",K31="",I31=""),"",IF(I31=MC,O31*VLOOKUP(E31,基金!$C$5:$M$55,11,0),O31*VLOOKUP(E31,基金!$C$5:$M$55,9,0)))</f>
        <v>0.3054</v>
      </c>
      <c r="R31" s="153" t="str">
        <f>IF($E31="","",VLOOKUP($E31,基金!$C$5:$I$36,7,0))</f>
        <v>华泰证券</v>
      </c>
    </row>
    <row r="32" customHeight="1" spans="3:18">
      <c r="C32" s="139">
        <v>42962</v>
      </c>
      <c r="D32" s="140"/>
      <c r="E32" s="120">
        <v>1061</v>
      </c>
      <c r="F32" s="141"/>
      <c r="G32" s="76" t="str">
        <f>IF($E32="","",VLOOKUP($E32,基金!$C$5:$I$36,3,0))</f>
        <v>华夏海外收益债券A</v>
      </c>
      <c r="H32" s="142" t="str">
        <f>IF($E32="","",VLOOKUP($E32,基金!$C$5:$I$36,5,0))</f>
        <v>场外</v>
      </c>
      <c r="I32" s="144" t="s">
        <v>32</v>
      </c>
      <c r="J32" s="141"/>
      <c r="K32" s="145">
        <v>1</v>
      </c>
      <c r="L32" s="141"/>
      <c r="M32" s="146">
        <v>1.226</v>
      </c>
      <c r="N32" s="143">
        <f>IF(E32="","",K32*MFJE)</f>
        <v>1000</v>
      </c>
      <c r="O32" s="147">
        <f>IF(OR(E32="",H32="",M32="",K32="",I32=""),"",IF($H32=CN,P32*M32,K32*MFJE))</f>
        <v>1000</v>
      </c>
      <c r="P32" s="148">
        <f>IF(OR(E32="",H32="",M32="",K32="",I32=""),"",IF(H32=CN,ROUND(N32/M32,-2),(N32-Q32)/M32))</f>
        <v>815.008156606852</v>
      </c>
      <c r="Q32" s="152">
        <f>IF(OR(E32="",H32="",M32="",K32="",I32=""),"",IF(I32=MC,O32*VLOOKUP(E32,基金!$C$5:$M$55,11,0),O32*VLOOKUP(E32,基金!$C$5:$M$55,9,0)))</f>
        <v>0.8</v>
      </c>
      <c r="R32" s="153" t="s">
        <v>18</v>
      </c>
    </row>
    <row r="33" customHeight="1" spans="3:18">
      <c r="C33" s="139">
        <v>42978</v>
      </c>
      <c r="D33" s="140"/>
      <c r="E33" s="120">
        <v>1064</v>
      </c>
      <c r="F33" s="141"/>
      <c r="G33" s="76" t="str">
        <f>IF($E33="","",VLOOKUP($E33,基金!$C$5:$I$36,3,0))</f>
        <v>广发环保指数A</v>
      </c>
      <c r="H33" s="142" t="str">
        <f>IF($E33="","",VLOOKUP($E33,基金!$C$5:$I$36,5,0))</f>
        <v>场外</v>
      </c>
      <c r="I33" s="144" t="s">
        <v>32</v>
      </c>
      <c r="J33" s="141"/>
      <c r="K33" s="145">
        <v>1</v>
      </c>
      <c r="L33" s="141"/>
      <c r="M33" s="146">
        <v>0.7747</v>
      </c>
      <c r="N33" s="143">
        <f>IF(E33="","",K33*MFJE)</f>
        <v>1000</v>
      </c>
      <c r="O33" s="147">
        <f>IF(OR(E33="",H33="",M33="",K33="",I33=""),"",IF($H33=CN,P33*M33,K33*MFJE))</f>
        <v>1000</v>
      </c>
      <c r="P33" s="148">
        <f>IF(OR(E33="",H33="",M33="",K33="",I33=""),"",IF(H33=CN,ROUND(N33/M33,-2),(N33-Q33)/M33))</f>
        <v>1289.27326707112</v>
      </c>
      <c r="Q33" s="152">
        <f>IF(OR(E33="",H33="",M33="",K33="",I33=""),"",IF(I33=MC,O33*VLOOKUP(E33,基金!$C$5:$M$55,11,0),O33*VLOOKUP(E33,基金!$C$5:$M$55,9,0)))</f>
        <v>1.2</v>
      </c>
      <c r="R33" s="153" t="str">
        <f>IF($E33="","",VLOOKUP($E33,基金!$C$5:$I$36,7,0))</f>
        <v>天天基金</v>
      </c>
    </row>
    <row r="34" customHeight="1" spans="3:18">
      <c r="C34" s="139">
        <v>42978</v>
      </c>
      <c r="D34" s="140"/>
      <c r="E34" s="120">
        <v>478</v>
      </c>
      <c r="F34" s="141"/>
      <c r="G34" s="76" t="str">
        <f>IF($E34="","",VLOOKUP($E34,基金!$C$5:$I$36,3,0))</f>
        <v>建信中证500指数增强</v>
      </c>
      <c r="H34" s="142" t="str">
        <f>IF($E34="","",VLOOKUP($E34,基金!$C$5:$I$36,5,0))</f>
        <v>场外</v>
      </c>
      <c r="I34" s="144" t="s">
        <v>32</v>
      </c>
      <c r="J34" s="141"/>
      <c r="K34" s="145">
        <v>1</v>
      </c>
      <c r="L34" s="141"/>
      <c r="M34" s="146">
        <v>2.4583</v>
      </c>
      <c r="N34" s="143">
        <f>IF(E34="","",K34*MFJE)</f>
        <v>1000</v>
      </c>
      <c r="O34" s="147">
        <f>IF(OR(E34="",H34="",M34="",K34="",I34=""),"",IF($H34=CN,P34*M34,K34*MFJE))</f>
        <v>1000</v>
      </c>
      <c r="P34" s="148">
        <f>IF(OR(E34="",H34="",M34="",K34="",I34=""),"",IF(H34=CN,ROUND(N34/M34,-2),(N34-Q34)/M34))</f>
        <v>406.174998983037</v>
      </c>
      <c r="Q34" s="152">
        <f>IF(OR(E34="",H34="",M34="",K34="",I34=""),"",IF(I34=MC,O34*VLOOKUP(E34,基金!$C$5:$M$55,11,0),O34*VLOOKUP(E34,基金!$C$5:$M$55,9,0)))</f>
        <v>1.5</v>
      </c>
      <c r="R34" s="153" t="str">
        <f>IF($E34="","",VLOOKUP($E34,基金!$C$5:$I$36,7,0))</f>
        <v>天天基金</v>
      </c>
    </row>
    <row r="35" customHeight="1" spans="3:18">
      <c r="C35" s="139">
        <v>42992</v>
      </c>
      <c r="D35" s="140"/>
      <c r="E35" s="120">
        <v>1061</v>
      </c>
      <c r="F35" s="141"/>
      <c r="G35" s="76" t="str">
        <f>IF($E35="","",VLOOKUP($E35,基金!$C$5:$I$36,3,0))</f>
        <v>华夏海外收益债券A</v>
      </c>
      <c r="H35" s="142" t="str">
        <f>IF($E35="","",VLOOKUP($E35,基金!$C$5:$I$36,5,0))</f>
        <v>场外</v>
      </c>
      <c r="I35" s="144" t="s">
        <v>32</v>
      </c>
      <c r="J35" s="141"/>
      <c r="K35" s="145">
        <v>1</v>
      </c>
      <c r="L35" s="141"/>
      <c r="M35" s="146">
        <v>1.217</v>
      </c>
      <c r="N35" s="143">
        <f>IF(E35="","",K35*MFJE)</f>
        <v>1000</v>
      </c>
      <c r="O35" s="147">
        <f>IF(OR(E35="",H35="",M35="",K35="",I35=""),"",IF($H35=CN,P35*M35,K35*MFJE))</f>
        <v>1000</v>
      </c>
      <c r="P35" s="148">
        <f>IF(OR(E35="",H35="",M35="",K35="",I35=""),"",IF(H35=CN,ROUND(N35/M35,-2),(N35-Q35)/M35))</f>
        <v>821.035332785538</v>
      </c>
      <c r="Q35" s="152">
        <f>IF(OR(E35="",H35="",M35="",K35="",I35=""),"",IF(I35=MC,O35*VLOOKUP(E35,基金!$C$5:$M$55,11,0),O35*VLOOKUP(E35,基金!$C$5:$M$55,9,0)))</f>
        <v>0.8</v>
      </c>
      <c r="R35" s="153" t="s">
        <v>18</v>
      </c>
    </row>
    <row r="36" customHeight="1" spans="3:18">
      <c r="C36" s="139">
        <v>43006</v>
      </c>
      <c r="D36" s="140"/>
      <c r="E36" s="120">
        <v>478</v>
      </c>
      <c r="F36" s="141"/>
      <c r="G36" s="76" t="str">
        <f>IF($E36="","",VLOOKUP($E36,基金!$C$5:$I$36,3,0))</f>
        <v>建信中证500指数增强</v>
      </c>
      <c r="H36" s="142" t="str">
        <f>IF($E36="","",VLOOKUP($E36,基金!$C$5:$I$36,5,0))</f>
        <v>场外</v>
      </c>
      <c r="I36" s="144" t="s">
        <v>32</v>
      </c>
      <c r="J36" s="141"/>
      <c r="K36" s="145">
        <v>1</v>
      </c>
      <c r="L36" s="141"/>
      <c r="M36" s="146">
        <v>2.4887</v>
      </c>
      <c r="N36" s="143">
        <f>IF(E36="","",K36*MFJE)</f>
        <v>1000</v>
      </c>
      <c r="O36" s="147">
        <f>IF(OR(E36="",H36="",M36="",K36="",I36=""),"",IF($H36=CN,P36*M36,K36*MFJE))</f>
        <v>1000</v>
      </c>
      <c r="P36" s="148">
        <f>IF(OR(E36="",H36="",M36="",K36="",I36=""),"",IF(H36=CN,ROUND(N36/M36,-2),(N36-Q36)/M36))</f>
        <v>401.213484951983</v>
      </c>
      <c r="Q36" s="152">
        <f>IF(OR(E36="",H36="",M36="",K36="",I36=""),"",IF(I36=MC,O36*VLOOKUP(E36,基金!$C$5:$M$55,11,0),O36*VLOOKUP(E36,基金!$C$5:$M$55,9,0)))</f>
        <v>1.5</v>
      </c>
      <c r="R36" s="153" t="str">
        <f>IF($E36="","",VLOOKUP($E36,基金!$C$5:$I$36,7,0))</f>
        <v>天天基金</v>
      </c>
    </row>
    <row r="37" customHeight="1" spans="3:18">
      <c r="C37" s="139">
        <v>43007</v>
      </c>
      <c r="D37" s="140"/>
      <c r="E37" s="120">
        <v>216</v>
      </c>
      <c r="F37" s="141"/>
      <c r="G37" s="76" t="str">
        <f>IF($E37="","",VLOOKUP($E37,基金!$C$5:$I$36,3,0))</f>
        <v>华安黄金易ETF联接A</v>
      </c>
      <c r="H37" s="142" t="str">
        <f>IF($E37="","",VLOOKUP($E37,基金!$C$5:$I$36,5,0))</f>
        <v>场外</v>
      </c>
      <c r="I37" s="144" t="s">
        <v>32</v>
      </c>
      <c r="J37" s="141"/>
      <c r="K37" s="145">
        <v>1</v>
      </c>
      <c r="L37" s="141"/>
      <c r="M37" s="146">
        <v>1.029</v>
      </c>
      <c r="N37" s="143">
        <f>IF(E37="","",K37*MFJE)</f>
        <v>1000</v>
      </c>
      <c r="O37" s="147">
        <f>IF(OR(E37="",H37="",M37="",K37="",I37=""),"",IF($H37=CN,P37*M37,K37*MFJE))</f>
        <v>1000</v>
      </c>
      <c r="P37" s="148">
        <f>IF(OR(E37="",H37="",M37="",K37="",I37=""),"",IF(H37=CN,ROUND(N37/M37,-2),(N37-Q37)/M37))</f>
        <v>971.234207968902</v>
      </c>
      <c r="Q37" s="152">
        <f>IF(OR(E37="",H37="",M37="",K37="",I37=""),"",IF(I37=MC,O37*VLOOKUP(E37,基金!$C$5:$M$55,11,0),O37*VLOOKUP(E37,基金!$C$5:$M$55,9,0)))</f>
        <v>0.6</v>
      </c>
      <c r="R37" s="153" t="str">
        <f>IF($E37="","",VLOOKUP($E37,基金!$C$5:$I$36,7,0))</f>
        <v>天天基金</v>
      </c>
    </row>
    <row r="38" customHeight="1" spans="3:18">
      <c r="C38" s="139">
        <v>43023</v>
      </c>
      <c r="D38" s="140"/>
      <c r="E38" s="120">
        <v>270048</v>
      </c>
      <c r="F38" s="141"/>
      <c r="G38" s="76" t="str">
        <f>IF($E38="","",VLOOKUP($E38,基金!$C$5:$I$36,3,0))</f>
        <v>广发纯债债券A</v>
      </c>
      <c r="H38" s="142" t="str">
        <f>IF($E38="","",VLOOKUP($E38,基金!$C$5:$I$36,5,0))</f>
        <v>场外</v>
      </c>
      <c r="I38" s="144" t="s">
        <v>32</v>
      </c>
      <c r="J38" s="141"/>
      <c r="K38" s="145">
        <v>1</v>
      </c>
      <c r="L38" s="141"/>
      <c r="M38" s="146">
        <v>1.189</v>
      </c>
      <c r="N38" s="143">
        <f>IF(E38="","",K38*MFJE)</f>
        <v>1000</v>
      </c>
      <c r="O38" s="147">
        <f>IF(OR(E38="",H38="",M38="",K38="",I38=""),"",IF($H38=CN,P38*M38,K38*MFJE))</f>
        <v>1000</v>
      </c>
      <c r="P38" s="148">
        <f>IF(OR(E38="",H38="",M38="",K38="",I38=""),"",IF(H38=CN,ROUND(N38/M38,-2),(N38-Q38)/M38))</f>
        <v>840.370058873003</v>
      </c>
      <c r="Q38" s="152">
        <f>IF(OR(E38="",H38="",M38="",K38="",I38=""),"",IF(I38=MC,O38*VLOOKUP(E38,基金!$C$5:$M$55,11,0),O38*VLOOKUP(E38,基金!$C$5:$M$55,9,0)))</f>
        <v>0.8</v>
      </c>
      <c r="R38" s="153" t="str">
        <f>IF($E38="","",VLOOKUP($E38,基金!$C$5:$I$36,7,0))</f>
        <v>天天基金</v>
      </c>
    </row>
    <row r="39" customHeight="1" spans="3:18">
      <c r="C39" s="139">
        <v>43025</v>
      </c>
      <c r="D39" s="140"/>
      <c r="E39" s="120">
        <v>50027</v>
      </c>
      <c r="F39" s="141"/>
      <c r="G39" s="76" t="str">
        <f>IF($E39="","",VLOOKUP($E39,基金!$C$5:$I$36,3,0))</f>
        <v>博时信用债纯债债券A</v>
      </c>
      <c r="H39" s="142" t="str">
        <f>IF($E39="","",VLOOKUP($E39,基金!$C$5:$I$36,5,0))</f>
        <v>场外</v>
      </c>
      <c r="I39" s="144" t="s">
        <v>32</v>
      </c>
      <c r="J39" s="141"/>
      <c r="K39" s="145">
        <v>1</v>
      </c>
      <c r="L39" s="141"/>
      <c r="M39" s="146">
        <v>1.072</v>
      </c>
      <c r="N39" s="143">
        <f>IF(E39="","",K39*MFJE)</f>
        <v>1000</v>
      </c>
      <c r="O39" s="147">
        <f>IF(OR(E39="",H39="",M39="",K39="",I39=""),"",IF($H39=CN,P39*M39,K39*MFJE))</f>
        <v>1000</v>
      </c>
      <c r="P39" s="148">
        <f>IF(OR(E39="",H39="",M39="",K39="",I39=""),"",IF(H39=CN,ROUND(N39/M39,-2),(N39-Q39)/M39))</f>
        <v>932.089552238806</v>
      </c>
      <c r="Q39" s="152">
        <f>IF(OR(E39="",H39="",M39="",K39="",I39=""),"",IF(I39=MC,O39*VLOOKUP(E39,基金!$C$5:$M$55,11,0),O39*VLOOKUP(E39,基金!$C$5:$M$55,9,0)))</f>
        <v>0.8</v>
      </c>
      <c r="R39" s="153" t="str">
        <f>IF($E39="","",VLOOKUP($E39,基金!$C$5:$I$36,7,0))</f>
        <v>天天基金</v>
      </c>
    </row>
    <row r="40" customHeight="1" spans="3:18">
      <c r="C40" s="139">
        <v>43035</v>
      </c>
      <c r="D40" s="140"/>
      <c r="E40" s="120">
        <v>478</v>
      </c>
      <c r="F40" s="141"/>
      <c r="G40" s="76" t="str">
        <f>IF($E40="","",VLOOKUP($E40,基金!$C$5:$I$36,3,0))</f>
        <v>建信中证500指数增强</v>
      </c>
      <c r="H40" s="142" t="str">
        <f>IF($E40="","",VLOOKUP($E40,基金!$C$5:$I$36,5,0))</f>
        <v>场外</v>
      </c>
      <c r="I40" s="144" t="s">
        <v>32</v>
      </c>
      <c r="J40" s="141"/>
      <c r="K40" s="145">
        <v>1</v>
      </c>
      <c r="L40" s="141"/>
      <c r="M40" s="146">
        <v>2.5004</v>
      </c>
      <c r="N40" s="143">
        <f>IF(E40="","",K40*MFJE)</f>
        <v>1000</v>
      </c>
      <c r="O40" s="147">
        <f>IF(OR(E40="",H40="",M40="",K40="",I40=""),"",IF($H40=CN,P40*M40,K40*MFJE))</f>
        <v>1000</v>
      </c>
      <c r="P40" s="148">
        <f>IF(OR(E40="",H40="",M40="",K40="",I40=""),"",IF(H40=CN,ROUND(N40/M40,-2),(N40-Q40)/M40))</f>
        <v>399.336106223004</v>
      </c>
      <c r="Q40" s="152">
        <f>IF(OR(E40="",H40="",M40="",K40="",I40=""),"",IF(I40=MC,O40*VLOOKUP(E40,基金!$C$5:$M$55,11,0),O40*VLOOKUP(E40,基金!$C$5:$M$55,9,0)))</f>
        <v>1.5</v>
      </c>
      <c r="R40" s="153" t="str">
        <f>IF($E40="","",VLOOKUP($E40,基金!$C$5:$I$36,7,0))</f>
        <v>天天基金</v>
      </c>
    </row>
    <row r="41" customHeight="1" spans="3:18">
      <c r="C41" s="139">
        <v>43035</v>
      </c>
      <c r="D41" s="140"/>
      <c r="E41" s="120">
        <v>270048</v>
      </c>
      <c r="F41" s="141"/>
      <c r="G41" s="76" t="str">
        <f>IF($E41="","",VLOOKUP($E41,基金!$C$5:$I$36,3,0))</f>
        <v>广发纯债债券A</v>
      </c>
      <c r="H41" s="142" t="str">
        <f>IF($E41="","",VLOOKUP($E41,基金!$C$5:$I$36,5,0))</f>
        <v>场外</v>
      </c>
      <c r="I41" s="144" t="s">
        <v>32</v>
      </c>
      <c r="J41" s="141"/>
      <c r="K41" s="145">
        <v>1</v>
      </c>
      <c r="L41" s="141"/>
      <c r="M41" s="146">
        <v>1.18</v>
      </c>
      <c r="N41" s="143">
        <f>IF(E41="","",K41*MFJE)</f>
        <v>1000</v>
      </c>
      <c r="O41" s="147">
        <f>IF(OR(E41="",H41="",M41="",K41="",I41=""),"",IF($H41=CN,P41*M41,K41*MFJE))</f>
        <v>1000</v>
      </c>
      <c r="P41" s="148">
        <f>IF(OR(E41="",H41="",M41="",K41="",I41=""),"",IF(H41=CN,ROUND(N41/M41,-2),(N41-Q41)/M41))</f>
        <v>846.779661016949</v>
      </c>
      <c r="Q41" s="152">
        <f>IF(OR(E41="",H41="",M41="",K41="",I41=""),"",IF(I41=MC,O41*VLOOKUP(E41,基金!$C$5:$M$55,11,0),O41*VLOOKUP(E41,基金!$C$5:$M$55,9,0)))</f>
        <v>0.8</v>
      </c>
      <c r="R41" s="153" t="str">
        <f>IF($E41="","",VLOOKUP($E41,基金!$C$5:$I$36,7,0))</f>
        <v>天天基金</v>
      </c>
    </row>
    <row r="42" customHeight="1" spans="3:18">
      <c r="C42" s="139">
        <v>43041</v>
      </c>
      <c r="D42" s="140"/>
      <c r="E42" s="120">
        <v>510500</v>
      </c>
      <c r="F42" s="141"/>
      <c r="G42" s="76" t="str">
        <f>IF($E42="","",VLOOKUP($E42,基金!$C$5:$I$36,3,0))</f>
        <v>500ETF</v>
      </c>
      <c r="H42" s="142" t="str">
        <f>IF($E42="","",VLOOKUP($E42,基金!$C$5:$I$36,5,0))</f>
        <v>场内</v>
      </c>
      <c r="I42" s="144" t="s">
        <v>32</v>
      </c>
      <c r="J42" s="141"/>
      <c r="K42" s="145">
        <v>1</v>
      </c>
      <c r="L42" s="141"/>
      <c r="M42" s="146">
        <v>6.83</v>
      </c>
      <c r="N42" s="143">
        <f>IF(E42="","",K42*MFJE)</f>
        <v>1000</v>
      </c>
      <c r="O42" s="147">
        <f>IF(OR(E42="",H42="",M42="",K42="",I42=""),"",IF($H42=CN,P42*M42,K42*MFJE))</f>
        <v>683</v>
      </c>
      <c r="P42" s="148">
        <f>IF(OR(E42="",H42="",M42="",K42="",I42=""),"",IF(H42=CN,ROUND(N42/M42,-2),(N42-Q42)/M42))</f>
        <v>100</v>
      </c>
      <c r="Q42" s="152">
        <f>IF(OR(E42="",H42="",M42="",K42="",I42=""),"",IF(I42=MC,O42*VLOOKUP(E42,基金!$C$5:$M$55,11,0),O42*VLOOKUP(E42,基金!$C$5:$M$55,9,0)))</f>
        <v>0.2049</v>
      </c>
      <c r="R42" s="153" t="str">
        <f>IF($E42="","",VLOOKUP($E42,基金!$C$5:$I$36,7,0))</f>
        <v>华泰证券</v>
      </c>
    </row>
    <row r="43" customHeight="1" spans="3:18">
      <c r="C43" s="139">
        <v>43041</v>
      </c>
      <c r="D43" s="140"/>
      <c r="E43" s="120">
        <v>1064</v>
      </c>
      <c r="F43" s="141"/>
      <c r="G43" s="76" t="str">
        <f>IF($E43="","",VLOOKUP($E43,基金!$C$5:$I$36,3,0))</f>
        <v>广发环保指数A</v>
      </c>
      <c r="H43" s="142" t="str">
        <f>IF($E43="","",VLOOKUP($E43,基金!$C$5:$I$36,5,0))</f>
        <v>场外</v>
      </c>
      <c r="I43" s="144" t="s">
        <v>32</v>
      </c>
      <c r="J43" s="141"/>
      <c r="K43" s="145">
        <v>1</v>
      </c>
      <c r="L43" s="141"/>
      <c r="M43" s="146">
        <v>0.805</v>
      </c>
      <c r="N43" s="143">
        <f>IF(E43="","",K43*MFJE)</f>
        <v>1000</v>
      </c>
      <c r="O43" s="147">
        <f>IF(OR(E43="",H43="",M43="",K43="",I43=""),"",IF($H43=CN,P43*M43,K43*MFJE))</f>
        <v>1000</v>
      </c>
      <c r="P43" s="148">
        <f>IF(OR(E43="",H43="",M43="",K43="",I43=""),"",IF(H43=CN,ROUND(N43/M43,-2),(N43-Q43)/M43))</f>
        <v>1240.74534161491</v>
      </c>
      <c r="Q43" s="152">
        <f>IF(OR(E43="",H43="",M43="",K43="",I43=""),"",IF(I43=MC,O43*VLOOKUP(E43,基金!$C$5:$M$55,11,0),O43*VLOOKUP(E43,基金!$C$5:$M$55,9,0)))</f>
        <v>1.2</v>
      </c>
      <c r="R43" s="153" t="str">
        <f>IF($E43="","",VLOOKUP($E43,基金!$C$5:$I$36,7,0))</f>
        <v>天天基金</v>
      </c>
    </row>
    <row r="44" customHeight="1" spans="3:18">
      <c r="C44" s="139">
        <v>43047</v>
      </c>
      <c r="D44" s="140"/>
      <c r="E44" s="120">
        <v>162411</v>
      </c>
      <c r="F44" s="141"/>
      <c r="G44" s="76" t="str">
        <f>IF($E44="","",VLOOKUP($E44,基金!$C$5:$I$36,3,0))</f>
        <v>华宝油气</v>
      </c>
      <c r="H44" s="142" t="str">
        <f>IF($E44="","",VLOOKUP($E44,基金!$C$5:$I$36,5,0))</f>
        <v>场内</v>
      </c>
      <c r="I44" s="144" t="s">
        <v>33</v>
      </c>
      <c r="J44" s="141"/>
      <c r="K44" s="145">
        <v>1</v>
      </c>
      <c r="L44" s="141"/>
      <c r="M44" s="146">
        <v>0.597</v>
      </c>
      <c r="N44" s="143">
        <f>IF(E44="","",K44*MFJE)</f>
        <v>1000</v>
      </c>
      <c r="O44" s="147">
        <f>IF(OR(E44="",H44="",M44="",K44="",I44=""),"",IF($H44=CN,P44*M44,K44*MFJE))</f>
        <v>1014.9</v>
      </c>
      <c r="P44" s="148">
        <f>IF(OR(E44="",H44="",M44="",K44="",I44=""),"",IF(H44=CN,ROUND(N44/M44,-2),(N44-Q44)/M44))</f>
        <v>1700</v>
      </c>
      <c r="Q44" s="152">
        <f>IF(OR(E44="",H44="",M44="",K44="",I44=""),"",IF(I44=MC,O44*VLOOKUP(E44,基金!$C$5:$M$55,11,0),O44*VLOOKUP(E44,基金!$C$5:$M$55,9,0)))</f>
        <v>0.30447</v>
      </c>
      <c r="R44" s="153" t="str">
        <f>IF($E44="","",VLOOKUP($E44,基金!$C$5:$I$36,7,0))</f>
        <v>华泰证券</v>
      </c>
    </row>
    <row r="45" customHeight="1" spans="3:18">
      <c r="C45" s="139">
        <v>43055</v>
      </c>
      <c r="D45" s="140"/>
      <c r="E45" s="120">
        <v>3376</v>
      </c>
      <c r="F45" s="141"/>
      <c r="G45" s="76" t="str">
        <f>IF($E45="","",VLOOKUP($E45,基金!$C$5:$I$36,3,0))</f>
        <v>广发中债7-10年国开债指数A</v>
      </c>
      <c r="H45" s="142" t="str">
        <f>IF($E45="","",VLOOKUP($E45,基金!$C$5:$I$36,5,0))</f>
        <v>场外</v>
      </c>
      <c r="I45" s="144" t="s">
        <v>32</v>
      </c>
      <c r="J45" s="141"/>
      <c r="K45" s="145">
        <v>1</v>
      </c>
      <c r="L45" s="141"/>
      <c r="M45" s="146">
        <v>0.9334</v>
      </c>
      <c r="N45" s="143">
        <f>IF(E45="","",K45*MFJE)</f>
        <v>1000</v>
      </c>
      <c r="O45" s="147">
        <f>IF(OR(E45="",H45="",M45="",K45="",I45=""),"",IF($H45=CN,P45*M45,K45*MFJE))</f>
        <v>1000</v>
      </c>
      <c r="P45" s="148">
        <f>IF(OR(E45="",H45="",M45="",K45="",I45=""),"",IF(H45=CN,ROUND(N45/M45,-2),(N45-Q45)/M45))</f>
        <v>1070.81637025927</v>
      </c>
      <c r="Q45" s="152">
        <f>IF(OR(E45="",H45="",M45="",K45="",I45=""),"",IF(I45=MC,O45*VLOOKUP(E45,基金!$C$5:$M$55,11,0),O45*VLOOKUP(E45,基金!$C$5:$M$55,9,0)))</f>
        <v>0.5</v>
      </c>
      <c r="R45" s="153" t="s">
        <v>13</v>
      </c>
    </row>
    <row r="46" customHeight="1" spans="3:18">
      <c r="C46" s="139">
        <v>43067</v>
      </c>
      <c r="D46" s="140"/>
      <c r="E46" s="120">
        <v>162411</v>
      </c>
      <c r="F46" s="141"/>
      <c r="G46" s="76" t="str">
        <f>IF($E46="","",VLOOKUP($E46,基金!$C$5:$I$36,3,0))</f>
        <v>华宝油气</v>
      </c>
      <c r="H46" s="142" t="str">
        <f>IF($E46="","",VLOOKUP($E46,基金!$C$5:$I$36,5,0))</f>
        <v>场内</v>
      </c>
      <c r="I46" s="144" t="s">
        <v>32</v>
      </c>
      <c r="J46" s="141"/>
      <c r="K46" s="145">
        <v>1</v>
      </c>
      <c r="L46" s="141"/>
      <c r="M46" s="146">
        <v>0.56</v>
      </c>
      <c r="N46" s="143">
        <f>IF(E46="","",K46*MFJE)</f>
        <v>1000</v>
      </c>
      <c r="O46" s="147">
        <f>IF(OR(E46="",H46="",M46="",K46="",I46=""),"",IF($H46=CN,P46*M46,K46*MFJE))</f>
        <v>1008</v>
      </c>
      <c r="P46" s="148">
        <f>IF(OR(E46="",H46="",M46="",K46="",I46=""),"",IF(H46=CN,ROUND(N46/M46,-2),(N46-Q46)/M46))</f>
        <v>1800</v>
      </c>
      <c r="Q46" s="152">
        <f>IF(OR(E46="",H46="",M46="",K46="",I46=""),"",IF(I46=MC,O46*VLOOKUP(E46,基金!$C$5:$M$55,11,0),O46*VLOOKUP(E46,基金!$C$5:$M$55,9,0)))</f>
        <v>0.3024</v>
      </c>
      <c r="R46" s="153" t="str">
        <f>IF($E46="","",VLOOKUP($E46,基金!$C$5:$I$36,7,0))</f>
        <v>华泰证券</v>
      </c>
    </row>
    <row r="47" customHeight="1" spans="3:18">
      <c r="C47" s="139">
        <v>43069</v>
      </c>
      <c r="D47" s="140"/>
      <c r="E47" s="120">
        <v>3376</v>
      </c>
      <c r="F47" s="141"/>
      <c r="G47" s="76" t="str">
        <f>IF($E47="","",VLOOKUP($E47,基金!$C$5:$I$36,3,0))</f>
        <v>广发中债7-10年国开债指数A</v>
      </c>
      <c r="H47" s="142" t="str">
        <f>IF($E47="","",VLOOKUP($E47,基金!$C$5:$I$36,5,0))</f>
        <v>场外</v>
      </c>
      <c r="I47" s="144" t="s">
        <v>32</v>
      </c>
      <c r="J47" s="141"/>
      <c r="K47" s="145">
        <v>1</v>
      </c>
      <c r="L47" s="141"/>
      <c r="M47" s="146">
        <v>0.928</v>
      </c>
      <c r="N47" s="143">
        <f>IF(E47="","",K47*MFJE)</f>
        <v>1000</v>
      </c>
      <c r="O47" s="147">
        <f>IF(OR(E47="",H47="",M47="",K47="",I47=""),"",IF($H47=CN,P47*M47,K47*MFJE))</f>
        <v>1000</v>
      </c>
      <c r="P47" s="148">
        <f>IF(OR(E47="",H47="",M47="",K47="",I47=""),"",IF(H47=CN,ROUND(N47/M47,-2),(N47-Q47)/M47))</f>
        <v>1077.0474137931</v>
      </c>
      <c r="Q47" s="152">
        <f>IF(OR(E47="",H47="",M47="",K47="",I47=""),"",IF(I47=MC,O47*VLOOKUP(E47,基金!$C$5:$M$55,11,0),O47*VLOOKUP(E47,基金!$C$5:$M$55,9,0)))</f>
        <v>0.5</v>
      </c>
      <c r="R47" s="153" t="s">
        <v>13</v>
      </c>
    </row>
    <row r="48" customHeight="1" spans="3:18">
      <c r="C48" s="139">
        <v>43069</v>
      </c>
      <c r="D48" s="140"/>
      <c r="E48" s="120">
        <v>1064</v>
      </c>
      <c r="F48" s="141"/>
      <c r="G48" s="76" t="str">
        <f>IF($E48="","",VLOOKUP($E48,基金!$C$5:$I$36,3,0))</f>
        <v>广发环保指数A</v>
      </c>
      <c r="H48" s="142" t="str">
        <f>IF($E48="","",VLOOKUP($E48,基金!$C$5:$I$36,5,0))</f>
        <v>场外</v>
      </c>
      <c r="I48" s="144" t="s">
        <v>32</v>
      </c>
      <c r="J48" s="141"/>
      <c r="K48" s="145">
        <v>1</v>
      </c>
      <c r="L48" s="141"/>
      <c r="M48" s="146">
        <v>0.7683</v>
      </c>
      <c r="N48" s="143">
        <f>IF(E48="","",K48*MFJE)</f>
        <v>1000</v>
      </c>
      <c r="O48" s="147">
        <f>IF(OR(E48="",H48="",M48="",K48="",I48=""),"",IF($H48=CN,P48*M48,K48*MFJE))</f>
        <v>1000</v>
      </c>
      <c r="P48" s="148">
        <f>IF(OR(E48="",H48="",M48="",K48="",I48=""),"",IF(H48=CN,ROUND(N48/M48,-2),(N48-Q48)/M48))</f>
        <v>1300.01301574906</v>
      </c>
      <c r="Q48" s="152">
        <f>IF(OR(E48="",H48="",M48="",K48="",I48=""),"",IF(I48=MC,O48*VLOOKUP(E48,基金!$C$5:$M$55,11,0),O48*VLOOKUP(E48,基金!$C$5:$M$55,9,0)))</f>
        <v>1.2</v>
      </c>
      <c r="R48" s="153" t="s">
        <v>13</v>
      </c>
    </row>
    <row r="49" customHeight="1" spans="3:18">
      <c r="C49" s="139">
        <v>43069</v>
      </c>
      <c r="D49" s="140"/>
      <c r="E49" s="120">
        <v>478</v>
      </c>
      <c r="F49" s="141"/>
      <c r="G49" s="76" t="str">
        <f>IF($E49="","",VLOOKUP($E49,基金!$C$5:$I$36,3,0))</f>
        <v>建信中证500指数增强</v>
      </c>
      <c r="H49" s="142" t="str">
        <f>IF($E49="","",VLOOKUP($E49,基金!$C$5:$I$36,5,0))</f>
        <v>场外</v>
      </c>
      <c r="I49" s="144" t="s">
        <v>32</v>
      </c>
      <c r="J49" s="141"/>
      <c r="K49" s="145">
        <v>2</v>
      </c>
      <c r="L49" s="141"/>
      <c r="M49" s="146">
        <v>2.3535</v>
      </c>
      <c r="N49" s="143">
        <f>IF(E49="","",K49*MFJE)</f>
        <v>2000</v>
      </c>
      <c r="O49" s="147">
        <f>IF(OR(E49="",H49="",M49="",K49="",I49=""),"",IF($H49=CN,P49*M49,K49*MFJE))</f>
        <v>2000</v>
      </c>
      <c r="P49" s="148">
        <f>IF(OR(E49="",H49="",M49="",K49="",I49=""),"",IF(H49=CN,ROUND(N49/M49,-2),(N49-Q49)/M49))</f>
        <v>848.523475674527</v>
      </c>
      <c r="Q49" s="152">
        <f>IF(OR(E49="",H49="",M49="",K49="",I49=""),"",IF(I49=MC,O49*VLOOKUP(E49,基金!$C$5:$M$55,11,0),O49*VLOOKUP(E49,基金!$C$5:$M$55,9,0)))</f>
        <v>3</v>
      </c>
      <c r="R49" s="153" t="s">
        <v>13</v>
      </c>
    </row>
    <row r="50" customHeight="1" spans="3:18">
      <c r="C50" s="139">
        <v>43073</v>
      </c>
      <c r="D50" s="140"/>
      <c r="E50" s="120">
        <v>162411</v>
      </c>
      <c r="F50" s="141"/>
      <c r="G50" s="76" t="str">
        <f>IF($E50="","",VLOOKUP($E50,基金!$C$5:$I$36,3,0))</f>
        <v>华宝油气</v>
      </c>
      <c r="H50" s="142" t="str">
        <f>IF($E50="","",VLOOKUP($E50,基金!$C$5:$I$36,5,0))</f>
        <v>场内</v>
      </c>
      <c r="I50" s="144" t="s">
        <v>33</v>
      </c>
      <c r="J50" s="141"/>
      <c r="K50" s="145">
        <v>1</v>
      </c>
      <c r="L50" s="141"/>
      <c r="M50" s="146">
        <v>0.589</v>
      </c>
      <c r="N50" s="143">
        <f>IF(E50="","",K50*MFJE)</f>
        <v>1000</v>
      </c>
      <c r="O50" s="147">
        <f>IF(OR(E50="",H50="",M50="",K50="",I50=""),"",IF($H50=CN,P50*M50,K50*MFJE))</f>
        <v>1001.3</v>
      </c>
      <c r="P50" s="148">
        <f>IF(OR(E50="",H50="",M50="",K50="",I50=""),"",IF(H50=CN,ROUND(N50/M50,-2),(N50-Q50)/M50))</f>
        <v>1700</v>
      </c>
      <c r="Q50" s="152">
        <f>IF(OR(E50="",H50="",M50="",K50="",I50=""),"",IF(I50=MC,O50*VLOOKUP(E50,基金!$C$5:$M$55,11,0),O50*VLOOKUP(E50,基金!$C$5:$M$55,9,0)))</f>
        <v>0.30039</v>
      </c>
      <c r="R50" s="153" t="str">
        <f>IF($E50="","",VLOOKUP($E50,基金!$C$5:$I$36,7,0))</f>
        <v>华泰证券</v>
      </c>
    </row>
    <row r="51" customHeight="1" spans="3:18">
      <c r="C51" s="139">
        <v>43083</v>
      </c>
      <c r="D51" s="140"/>
      <c r="E51" s="120">
        <v>512880</v>
      </c>
      <c r="F51" s="141"/>
      <c r="G51" s="76" t="str">
        <f>IF($E51="","",VLOOKUP($E51,基金!$C$5:$I$36,3,0))</f>
        <v>证券ETF</v>
      </c>
      <c r="H51" s="142" t="str">
        <f>IF($E51="","",VLOOKUP($E51,基金!$C$5:$I$36,5,0))</f>
        <v>场内</v>
      </c>
      <c r="I51" s="144" t="s">
        <v>32</v>
      </c>
      <c r="J51" s="141"/>
      <c r="K51" s="145">
        <v>1</v>
      </c>
      <c r="L51" s="141"/>
      <c r="M51" s="146">
        <v>0.991</v>
      </c>
      <c r="N51" s="143">
        <f>IF(E51="","",K51*MFJE)</f>
        <v>1000</v>
      </c>
      <c r="O51" s="147">
        <f>IF(OR(E51="",H51="",M51="",K51="",I51=""),"",IF($H51=CN,P51*M51,K51*MFJE))</f>
        <v>991</v>
      </c>
      <c r="P51" s="148">
        <f>IF(OR(E51="",H51="",M51="",K51="",I51=""),"",IF(H51=CN,ROUND(N51/M51,-2),(N51-Q51)/M51))</f>
        <v>1000</v>
      </c>
      <c r="Q51" s="152">
        <f>IF(OR(E51="",H51="",M51="",K51="",I51=""),"",IF(I51=MC,O51*VLOOKUP(E51,基金!$C$5:$M$55,11,0),O51*VLOOKUP(E51,基金!$C$5:$M$55,9,0)))</f>
        <v>0.2973</v>
      </c>
      <c r="R51" s="153" t="str">
        <f>IF($E51="","",VLOOKUP($E51,基金!$C$5:$I$36,7,0))</f>
        <v>华泰证券</v>
      </c>
    </row>
    <row r="52" customHeight="1" spans="3:18">
      <c r="C52" s="139">
        <v>43083</v>
      </c>
      <c r="D52" s="140"/>
      <c r="E52" s="120">
        <v>100032</v>
      </c>
      <c r="F52" s="141"/>
      <c r="G52" s="76" t="str">
        <f>IF($E52="","",VLOOKUP($E52,基金!$C$5:$I$36,3,0))</f>
        <v>富国中证红利指数增强</v>
      </c>
      <c r="H52" s="142" t="str">
        <f>IF($E52="","",VLOOKUP($E52,基金!$C$5:$I$36,5,0))</f>
        <v>场外</v>
      </c>
      <c r="I52" s="144" t="s">
        <v>32</v>
      </c>
      <c r="J52" s="141"/>
      <c r="K52" s="145">
        <v>1</v>
      </c>
      <c r="L52" s="141"/>
      <c r="M52" s="146">
        <v>1.313</v>
      </c>
      <c r="N52" s="143">
        <f>IF(E52="","",K52*MFJE)</f>
        <v>1000</v>
      </c>
      <c r="O52" s="147">
        <f>IF(OR(E52="",H52="",M52="",K52="",I52=""),"",IF($H52=CN,P52*M52,K52*MFJE))</f>
        <v>1000</v>
      </c>
      <c r="P52" s="148">
        <f>IF(OR(E52="",H52="",M52="",K52="",I52=""),"",IF(H52=CN,ROUND(N52/M52,-2),(N52-Q52)/M52))</f>
        <v>760.47220106626</v>
      </c>
      <c r="Q52" s="152">
        <f>IF(OR(E52="",H52="",M52="",K52="",I52=""),"",IF(I52=MC,O52*VLOOKUP(E52,基金!$C$5:$M$55,11,0),O52*VLOOKUP(E52,基金!$C$5:$M$55,9,0)))</f>
        <v>1.5</v>
      </c>
      <c r="R52" s="153" t="s">
        <v>13</v>
      </c>
    </row>
    <row r="53" customHeight="1" spans="3:18">
      <c r="C53" s="139">
        <v>43092</v>
      </c>
      <c r="D53" s="140"/>
      <c r="E53" s="120">
        <v>162411</v>
      </c>
      <c r="F53" s="141"/>
      <c r="G53" s="76" t="str">
        <f>IF($E53="","",VLOOKUP($E53,基金!$C$5:$I$36,3,0))</f>
        <v>华宝油气</v>
      </c>
      <c r="H53" s="142" t="str">
        <f>IF($E53="","",VLOOKUP($E53,基金!$C$5:$I$36,5,0))</f>
        <v>场内</v>
      </c>
      <c r="I53" s="144" t="s">
        <v>33</v>
      </c>
      <c r="J53" s="141"/>
      <c r="K53" s="145">
        <v>1</v>
      </c>
      <c r="L53" s="141"/>
      <c r="M53" s="146">
        <v>0.592</v>
      </c>
      <c r="N53" s="149">
        <f>IF(E53="","",K53*MFJE)</f>
        <v>1000</v>
      </c>
      <c r="O53" s="147">
        <f>IF(OR(E53="",H53="",M53="",K53="",I53=""),"",IF($H53=CN,P53*M53,K53*MFJE))</f>
        <v>1006.4</v>
      </c>
      <c r="P53" s="148">
        <f>IF(OR(E53="",H53="",M53="",K53="",I53=""),"",IF(H53=CN,ROUND(N53/M53,-2),(N53-Q53)/M53))</f>
        <v>1700</v>
      </c>
      <c r="Q53" s="152">
        <f>IF(OR(E53="",H53="",M53="",K53="",I53=""),"",IF(I53=MC,O53*VLOOKUP(E53,基金!$C$5:$M$55,11,0),O53*VLOOKUP(E53,基金!$C$5:$M$55,9,0)))</f>
        <v>0.30192</v>
      </c>
      <c r="R53" s="153" t="str">
        <f>IF($E53="","",VLOOKUP($E53,基金!$C$5:$I$36,7,0))</f>
        <v>华泰证券</v>
      </c>
    </row>
    <row r="54" customHeight="1" spans="3:18">
      <c r="C54" s="139">
        <v>43098</v>
      </c>
      <c r="D54" s="140"/>
      <c r="E54" s="120">
        <v>478</v>
      </c>
      <c r="F54" s="141"/>
      <c r="G54" s="76" t="str">
        <f>IF($E54="","",VLOOKUP($E54,基金!$C$5:$I$36,3,0))</f>
        <v>建信中证500指数增强</v>
      </c>
      <c r="H54" s="142" t="str">
        <f>IF($E54="","",VLOOKUP($E54,基金!$C$5:$I$36,5,0))</f>
        <v>场外</v>
      </c>
      <c r="I54" s="144" t="s">
        <v>32</v>
      </c>
      <c r="J54" s="141"/>
      <c r="K54" s="145">
        <v>1</v>
      </c>
      <c r="L54" s="141"/>
      <c r="M54" s="146">
        <v>2.3536</v>
      </c>
      <c r="N54" s="149">
        <f>IF(E54="","",K54*MFJE)</f>
        <v>1000</v>
      </c>
      <c r="O54" s="147">
        <f>IF(OR(E54="",H54="",M54="",K54="",I54=""),"",IF($H54=CN,P54*M54,K54*MFJE))</f>
        <v>1000</v>
      </c>
      <c r="P54" s="148">
        <f>IF(OR(E54="",H54="",M54="",K54="",I54=""),"",IF(H54=CN,ROUND(N54/M54,-2),(N54-Q54)/M54))</f>
        <v>424.243711760707</v>
      </c>
      <c r="Q54" s="152">
        <f>IF(OR(E54="",H54="",M54="",K54="",I54=""),"",IF(I54=MC,O54*VLOOKUP(E54,基金!$C$5:$M$55,11,0),O54*VLOOKUP(E54,基金!$C$5:$M$55,9,0)))</f>
        <v>1.5</v>
      </c>
      <c r="R54" s="153" t="s">
        <v>13</v>
      </c>
    </row>
    <row r="55" customHeight="1" spans="3:18">
      <c r="C55" s="139">
        <v>43102</v>
      </c>
      <c r="D55" s="140"/>
      <c r="E55" s="120">
        <v>100032</v>
      </c>
      <c r="F55" s="141"/>
      <c r="G55" s="76" t="str">
        <f>IF($E55="","",VLOOKUP($E55,基金!$C$5:$I$36,3,0))</f>
        <v>富国中证红利指数增强</v>
      </c>
      <c r="H55" s="142" t="str">
        <f>IF($E55="","",VLOOKUP($E55,基金!$C$5:$I$36,5,0))</f>
        <v>场外</v>
      </c>
      <c r="I55" s="144" t="s">
        <v>32</v>
      </c>
      <c r="J55" s="141"/>
      <c r="K55" s="145">
        <v>1</v>
      </c>
      <c r="L55" s="141"/>
      <c r="M55" s="146">
        <v>1.328</v>
      </c>
      <c r="N55" s="149">
        <f>IF(E55="","",K55*MFJE)</f>
        <v>1000</v>
      </c>
      <c r="O55" s="147">
        <f>IF(OR(E55="",H55="",M55="",K55="",I55=""),"",IF($H55=CN,P55*M55,K55*MFJE))</f>
        <v>1000</v>
      </c>
      <c r="P55" s="148">
        <f>IF(OR(E55="",H55="",M55="",K55="",I55=""),"",IF(H55=CN,ROUND(N55/M55,-2),(N55-Q55)/M55))</f>
        <v>751.882530120482</v>
      </c>
      <c r="Q55" s="152">
        <f>IF(OR(E55="",H55="",M55="",K55="",I55=""),"",IF(I55=MC,O55*VLOOKUP(E55,基金!$C$5:$M$55,11,0),O55*VLOOKUP(E55,基金!$C$5:$M$55,9,0)))</f>
        <v>1.5</v>
      </c>
      <c r="R55" s="153" t="s">
        <v>13</v>
      </c>
    </row>
    <row r="56" customHeight="1" spans="3:18">
      <c r="C56" s="139">
        <v>43119</v>
      </c>
      <c r="D56" s="140"/>
      <c r="E56" s="120">
        <v>1061</v>
      </c>
      <c r="F56" s="141"/>
      <c r="G56" s="76" t="str">
        <f>IF($E56="","",VLOOKUP($E56,基金!$C$5:$I$36,3,0))</f>
        <v>华夏海外收益债券A</v>
      </c>
      <c r="H56" s="142" t="str">
        <f>IF($E56="","",VLOOKUP($E56,基金!$C$5:$I$36,5,0))</f>
        <v>场外</v>
      </c>
      <c r="I56" s="144" t="s">
        <v>32</v>
      </c>
      <c r="J56" s="141"/>
      <c r="K56" s="145">
        <v>1</v>
      </c>
      <c r="L56" s="141"/>
      <c r="M56" s="146">
        <v>1.225</v>
      </c>
      <c r="N56" s="143">
        <f>IF(E56="","",K56*MFJE)</f>
        <v>1000</v>
      </c>
      <c r="O56" s="147">
        <f>IF(OR(E56="",H56="",M56="",K56="",I56=""),"",IF($H56=CN,P56*M56,K56*MFJE))</f>
        <v>1000</v>
      </c>
      <c r="P56" s="148">
        <f>IF(OR(E56="",H56="",M56="",K56="",I56=""),"",IF(H56=CN,ROUND(N56/M56,-2),(N56-Q56)/M56))</f>
        <v>815.673469387755</v>
      </c>
      <c r="Q56" s="152">
        <f>IF(OR(E56="",H56="",M56="",K56="",I56=""),"",IF(I56=MC,O56*VLOOKUP(E56,基金!$C$5:$M$55,11,0),O56*VLOOKUP(E56,基金!$C$5:$M$55,9,0)))</f>
        <v>0.8</v>
      </c>
      <c r="R56" s="153" t="s">
        <v>13</v>
      </c>
    </row>
    <row r="57" customHeight="1" spans="3:18">
      <c r="C57" s="139">
        <v>43119</v>
      </c>
      <c r="D57" s="140"/>
      <c r="E57" s="120">
        <v>512980</v>
      </c>
      <c r="F57" s="141"/>
      <c r="G57" s="76" t="str">
        <f>IF($E57="","",VLOOKUP($E57,基金!$C$5:$I$36,3,0))</f>
        <v>中证传媒</v>
      </c>
      <c r="H57" s="142" t="str">
        <f>IF($E57="","",VLOOKUP($E57,基金!$C$5:$I$36,5,0))</f>
        <v>场内</v>
      </c>
      <c r="I57" s="144" t="s">
        <v>32</v>
      </c>
      <c r="J57" s="141"/>
      <c r="K57" s="145">
        <v>2</v>
      </c>
      <c r="L57" s="141"/>
      <c r="M57" s="146">
        <v>0.998</v>
      </c>
      <c r="N57" s="149">
        <f>IF(E57="","",K57*MFJE)</f>
        <v>2000</v>
      </c>
      <c r="O57" s="147">
        <f>IF(OR(E57="",H57="",M57="",K57="",I57=""),"",IF($H57=CN,P57*M57,K57*MFJE))</f>
        <v>1996</v>
      </c>
      <c r="P57" s="148">
        <f>IF(OR(E57="",H57="",M57="",K57="",I57=""),"",IF(H57=CN,ROUND(N57/M57,-2),(N57-Q57)/M57))</f>
        <v>2000</v>
      </c>
      <c r="Q57" s="152">
        <f>IF(OR(E57="",H57="",M57="",K57="",I57=""),"",IF(I57=MC,O57*VLOOKUP(E57,基金!$C$5:$M$55,11,0),O57*VLOOKUP(E57,基金!$C$5:$M$55,9,0)))</f>
        <v>0.5988</v>
      </c>
      <c r="R57" s="153" t="str">
        <f>IF($E57="","",VLOOKUP($E57,基金!$C$5:$I$36,7,0))</f>
        <v>华泰证券</v>
      </c>
    </row>
    <row r="58" customHeight="1" spans="3:18">
      <c r="C58" s="139">
        <v>43132</v>
      </c>
      <c r="D58" s="140"/>
      <c r="E58" s="120">
        <v>478</v>
      </c>
      <c r="F58" s="141"/>
      <c r="G58" s="76" t="str">
        <f>IF($E58="","",VLOOKUP($E58,基金!$C$5:$I$36,3,0))</f>
        <v>建信中证500指数增强</v>
      </c>
      <c r="H58" s="142" t="str">
        <f>IF($E58="","",VLOOKUP($E58,基金!$C$5:$I$36,5,0))</f>
        <v>场外</v>
      </c>
      <c r="I58" s="144" t="s">
        <v>32</v>
      </c>
      <c r="J58" s="141"/>
      <c r="K58" s="145">
        <v>1</v>
      </c>
      <c r="L58" s="141"/>
      <c r="M58" s="146">
        <v>2.3075</v>
      </c>
      <c r="N58" s="149">
        <f>IF(E58="","",K58*MFJE)</f>
        <v>1000</v>
      </c>
      <c r="O58" s="147">
        <f>IF(OR(E58="",H58="",M58="",K58="",I58=""),"",IF($H58=CN,P58*M58,K58*MFJE))</f>
        <v>1000</v>
      </c>
      <c r="P58" s="148">
        <f>IF(OR(E58="",H58="",M58="",K58="",I58=""),"",IF(H58=CN,ROUND(N58/M58,-2),(N58-Q58)/M58))</f>
        <v>432.719393282774</v>
      </c>
      <c r="Q58" s="152">
        <f>IF(OR(E58="",H58="",M58="",K58="",I58=""),"",IF(I58=MC,O58*VLOOKUP(E58,基金!$C$5:$M$55,11,0),O58*VLOOKUP(E58,基金!$C$5:$M$55,9,0)))</f>
        <v>1.5</v>
      </c>
      <c r="R58" s="153" t="s">
        <v>13</v>
      </c>
    </row>
    <row r="59" customHeight="1" spans="3:18">
      <c r="C59" s="139">
        <v>43132</v>
      </c>
      <c r="D59" s="140"/>
      <c r="E59" s="120">
        <v>162411</v>
      </c>
      <c r="F59" s="141"/>
      <c r="G59" s="76" t="str">
        <f>IF($E59="","",VLOOKUP($E59,基金!$C$5:$I$50,3,0))</f>
        <v>华宝油气</v>
      </c>
      <c r="H59" s="142" t="str">
        <f>IF($E59="","",VLOOKUP($E59,基金!$C$5:$I$50,5,0))</f>
        <v>场内</v>
      </c>
      <c r="I59" s="144" t="s">
        <v>32</v>
      </c>
      <c r="J59" s="141"/>
      <c r="K59" s="145">
        <v>1</v>
      </c>
      <c r="L59" s="141"/>
      <c r="M59" s="146">
        <v>0.577</v>
      </c>
      <c r="N59" s="149">
        <f>IF(E59="","",K59*MFJE)</f>
        <v>1000</v>
      </c>
      <c r="O59" s="147">
        <v>1673.8</v>
      </c>
      <c r="P59" s="148">
        <v>2900</v>
      </c>
      <c r="Q59" s="152">
        <f>IF(OR(E59="",H59="",M59="",K59="",I59=""),"",IF(I59=MC,O59*VLOOKUP(E59,基金!$C$5:$M$55,11,0),O59*VLOOKUP(E59,基金!$C$5:$M$55,9,0)))</f>
        <v>0.50214</v>
      </c>
      <c r="R59" s="153" t="str">
        <f>IF($E59="","",VLOOKUP($E59,基金!$C$5:$I$50,7,0))</f>
        <v>华泰证券</v>
      </c>
    </row>
    <row r="60" customHeight="1" spans="3:18">
      <c r="C60" s="139">
        <v>43133</v>
      </c>
      <c r="D60" s="140"/>
      <c r="E60" s="120">
        <v>1064</v>
      </c>
      <c r="F60" s="141"/>
      <c r="G60" s="76" t="str">
        <f>IF($E60="","",VLOOKUP($E60,基金!$C$5:$I$36,3,0))</f>
        <v>广发环保指数A</v>
      </c>
      <c r="H60" s="142" t="str">
        <f>IF($E60="","",VLOOKUP($E60,基金!$C$5:$I$36,5,0))</f>
        <v>场外</v>
      </c>
      <c r="I60" s="144" t="s">
        <v>32</v>
      </c>
      <c r="J60" s="141"/>
      <c r="K60" s="145">
        <v>1</v>
      </c>
      <c r="L60" s="141"/>
      <c r="M60" s="146">
        <v>0.6987</v>
      </c>
      <c r="N60" s="149">
        <f>IF(E60="","",K60*MFJE)</f>
        <v>1000</v>
      </c>
      <c r="O60" s="147">
        <f>IF(OR(E60="",H60="",M60="",K60="",I60=""),"",IF($H60=CN,P60*M60,K60*MFJE))</f>
        <v>1000</v>
      </c>
      <c r="P60" s="148">
        <f>IF(OR(E60="",H60="",M60="",K60="",I60=""),"",IF(H60=CN,ROUND(N60/M60,-2),(N60-Q60)/M60))</f>
        <v>1429.51195076571</v>
      </c>
      <c r="Q60" s="152">
        <f>IF(OR(E60="",H60="",M60="",K60="",I60=""),"",IF(I60=MC,O60*VLOOKUP(E60,基金!$C$5:$M$55,11,0),O60*VLOOKUP(E60,基金!$C$5:$M$55,9,0)))</f>
        <v>1.2</v>
      </c>
      <c r="R60" s="153" t="s">
        <v>13</v>
      </c>
    </row>
    <row r="61" customHeight="1" spans="3:18">
      <c r="C61" s="139">
        <v>43137</v>
      </c>
      <c r="D61" s="140"/>
      <c r="E61" s="120">
        <v>159938</v>
      </c>
      <c r="F61" s="141"/>
      <c r="G61" s="76" t="str">
        <f>IF($E61="","",VLOOKUP($E61,基金!$C$5:$I$36,3,0))</f>
        <v>广发医药</v>
      </c>
      <c r="H61" s="142" t="str">
        <f>IF($E61="","",VLOOKUP($E61,基金!$C$5:$I$36,5,0))</f>
        <v>场内</v>
      </c>
      <c r="I61" s="144" t="s">
        <v>32</v>
      </c>
      <c r="J61" s="141"/>
      <c r="K61" s="145">
        <v>1</v>
      </c>
      <c r="L61" s="141"/>
      <c r="M61" s="146">
        <v>1.275</v>
      </c>
      <c r="N61" s="149">
        <f>IF(E61="","",K61*MFJE)</f>
        <v>1000</v>
      </c>
      <c r="O61" s="147">
        <f>IF(OR(E61="",H61="",M61="",K61="",I61=""),"",IF($H61=CN,P61*M61,K61*MFJE))</f>
        <v>1020</v>
      </c>
      <c r="P61" s="148">
        <f>IF(OR(E61="",H61="",M61="",K61="",I61=""),"",IF(H61=CN,ROUND(N61/M61,-2),(N61-Q61)/M61))</f>
        <v>800</v>
      </c>
      <c r="Q61" s="152">
        <f>IF(OR(E61="",H61="",M61="",K61="",I61=""),"",IF(I61=MC,O61*VLOOKUP(E61,基金!$C$5:$M$55,11,0),O61*VLOOKUP(E61,基金!$C$5:$M$55,9,0)))</f>
        <v>0.306</v>
      </c>
      <c r="R61" s="153" t="str">
        <f>IF($E61="","",VLOOKUP($E61,基金!$C$5:$I$36,7,0))</f>
        <v>华泰证券</v>
      </c>
    </row>
    <row r="62" customHeight="1" spans="3:18">
      <c r="C62" s="139">
        <v>43137</v>
      </c>
      <c r="D62" s="140"/>
      <c r="E62" s="120">
        <v>478</v>
      </c>
      <c r="F62" s="141"/>
      <c r="G62" s="76" t="str">
        <f>IF($E62="","",VLOOKUP($E62,基金!$C$5:$I$50,3,0))</f>
        <v>建信中证500指数增强</v>
      </c>
      <c r="H62" s="142" t="str">
        <f>IF($E62="","",VLOOKUP($E62,基金!$C$5:$I$50,5,0))</f>
        <v>场外</v>
      </c>
      <c r="I62" s="144" t="s">
        <v>32</v>
      </c>
      <c r="J62" s="141"/>
      <c r="K62" s="145">
        <v>1</v>
      </c>
      <c r="L62" s="141"/>
      <c r="M62" s="146">
        <v>2.2067</v>
      </c>
      <c r="N62" s="149">
        <f>IF(E62="","",K62*MFJE)</f>
        <v>1000</v>
      </c>
      <c r="O62" s="147">
        <f>IF(OR(E62="",H62="",M62="",K62="",I62=""),"",IF($H62=CN,P62*M62,K62*MFJE))</f>
        <v>1000</v>
      </c>
      <c r="P62" s="148">
        <f>IF(OR(E62="",H62="",M62="",K62="",I62=""),"",IF(H62=CN,ROUND(N62/M62,-2),(N62-Q62)/M62))</f>
        <v>452.485611999819</v>
      </c>
      <c r="Q62" s="152">
        <f>IF(OR(E62="",H62="",M62="",K62="",I62=""),"",IF(I62=MC,O62*VLOOKUP(E62,基金!$C$5:$M$55,11,0),O62*VLOOKUP(E62,基金!$C$5:$M$55,9,0)))</f>
        <v>1.5</v>
      </c>
      <c r="R62" s="153" t="s">
        <v>13</v>
      </c>
    </row>
    <row r="63" customHeight="1" spans="3:18">
      <c r="C63" s="139">
        <v>43138</v>
      </c>
      <c r="D63" s="140"/>
      <c r="E63" s="120">
        <v>1064</v>
      </c>
      <c r="F63" s="141"/>
      <c r="G63" s="76" t="str">
        <f>IF($E63="","",VLOOKUP($E63,基金!$C$5:$I$36,3,0))</f>
        <v>广发环保指数A</v>
      </c>
      <c r="H63" s="142" t="str">
        <f>IF($E63="","",VLOOKUP($E63,基金!$C$5:$I$36,5,0))</f>
        <v>场外</v>
      </c>
      <c r="I63" s="144" t="s">
        <v>32</v>
      </c>
      <c r="J63" s="141"/>
      <c r="K63" s="145">
        <v>1</v>
      </c>
      <c r="L63" s="141"/>
      <c r="M63" s="146">
        <v>0.6664</v>
      </c>
      <c r="N63" s="149">
        <f>IF(E63="","",K63*MFJE)</f>
        <v>1000</v>
      </c>
      <c r="O63" s="147">
        <f>IF(OR(E63="",H63="",M63="",K63="",I63=""),"",IF($H63=CN,P63*M63,K63*MFJE))</f>
        <v>1000</v>
      </c>
      <c r="P63" s="148">
        <f>IF(OR(E63="",H63="",M63="",K63="",I63=""),"",IF(H63=CN,ROUND(N63/M63,-2),(N63-Q63)/M63))</f>
        <v>1498.79951980792</v>
      </c>
      <c r="Q63" s="152">
        <f>IF(OR(E63="",H63="",M63="",K63="",I63=""),"",IF(I63=MC,O63*VLOOKUP(E63,基金!$C$5:$M$55,11,0),O63*VLOOKUP(E63,基金!$C$5:$M$55,9,0)))</f>
        <v>1.2</v>
      </c>
      <c r="R63" s="153" t="s">
        <v>13</v>
      </c>
    </row>
    <row r="64" customHeight="1" spans="3:18">
      <c r="C64" s="139">
        <v>43139</v>
      </c>
      <c r="D64" s="140"/>
      <c r="E64" s="120">
        <v>162411</v>
      </c>
      <c r="F64" s="141"/>
      <c r="G64" s="76" t="str">
        <f>IF($E64="","",VLOOKUP($E64,基金!$C$5:$I$50,3,0))</f>
        <v>华宝油气</v>
      </c>
      <c r="H64" s="142" t="str">
        <f>IF($E64="","",VLOOKUP($E64,基金!$C$5:$I$50,5,0))</f>
        <v>场内</v>
      </c>
      <c r="I64" s="144" t="s">
        <v>32</v>
      </c>
      <c r="J64" s="141"/>
      <c r="K64" s="145">
        <v>1</v>
      </c>
      <c r="L64" s="141"/>
      <c r="M64" s="146">
        <v>0.617</v>
      </c>
      <c r="N64" s="149">
        <f>IF(E64="","",K64*MFJE)</f>
        <v>1000</v>
      </c>
      <c r="O64" s="147">
        <f>IF(OR(E64="",H64="",M64="",K64="",I64=""),"",IF($H64=CN,P64*M64,K64*MFJE))</f>
        <v>987.2</v>
      </c>
      <c r="P64" s="148">
        <f>IF(OR(E64="",H64="",M64="",K64="",I64=""),"",IF(H64=CN,ROUND(N64/M64,-2),(N64-Q64)/M64))</f>
        <v>1600</v>
      </c>
      <c r="Q64" s="152">
        <f>IF(OR(E64="",H64="",M64="",K64="",I64=""),"",IF(I64=MC,O64*VLOOKUP(E64,基金!$C$5:$M$55,11,0),O64*VLOOKUP(E64,基金!$C$5:$M$55,9,0)))</f>
        <v>0.29616</v>
      </c>
      <c r="R64" s="153" t="str">
        <f>IF($E64="","",VLOOKUP($E64,基金!$C$5:$I$50,7,0))</f>
        <v>华泰证券</v>
      </c>
    </row>
    <row r="65" customHeight="1" spans="3:18">
      <c r="C65" s="139">
        <v>43139</v>
      </c>
      <c r="D65" s="140"/>
      <c r="E65" s="120">
        <v>162411</v>
      </c>
      <c r="F65" s="141"/>
      <c r="G65" s="76" t="str">
        <f>IF($E65="","",VLOOKUP($E65,基金!$C$5:$I$50,3,0))</f>
        <v>华宝油气</v>
      </c>
      <c r="H65" s="142" t="str">
        <f>IF($E65="","",VLOOKUP($E65,基金!$C$5:$I$50,5,0))</f>
        <v>场内</v>
      </c>
      <c r="I65" s="144" t="s">
        <v>32</v>
      </c>
      <c r="J65" s="141"/>
      <c r="K65" s="145">
        <v>1</v>
      </c>
      <c r="L65" s="141"/>
      <c r="M65" s="146">
        <v>0.557</v>
      </c>
      <c r="N65" s="149">
        <f>IF(E65="","",K65*MFJE)</f>
        <v>1000</v>
      </c>
      <c r="O65" s="147">
        <f>IF(OR(E65="",H65="",M65="",K65="",I65=""),"",IF($H65=CN,P65*M65,K65*MFJE))</f>
        <v>2172.3</v>
      </c>
      <c r="P65" s="148">
        <v>3900</v>
      </c>
      <c r="Q65" s="152">
        <f>IF(OR(E65="",H65="",M65="",K65="",I65=""),"",IF(I65=MC,O65*VLOOKUP(E65,基金!$C$5:$M$55,11,0),O65*VLOOKUP(E65,基金!$C$5:$M$55,9,0)))</f>
        <v>0.65169</v>
      </c>
      <c r="R65" s="153" t="str">
        <f>IF($E65="","",VLOOKUP($E65,基金!$C$5:$I$50,7,0))</f>
        <v>华泰证券</v>
      </c>
    </row>
    <row r="66" customHeight="1" spans="3:18">
      <c r="C66" s="139">
        <v>43143</v>
      </c>
      <c r="D66" s="140"/>
      <c r="E66" s="120">
        <v>162411</v>
      </c>
      <c r="F66" s="141"/>
      <c r="G66" s="76" t="str">
        <f>IF($E66="","",VLOOKUP($E66,基金!$C$5:$I$50,3,0))</f>
        <v>华宝油气</v>
      </c>
      <c r="H66" s="142" t="str">
        <f>IF($E66="","",VLOOKUP($E66,基金!$C$5:$I$50,5,0))</f>
        <v>场内</v>
      </c>
      <c r="I66" s="144" t="s">
        <v>32</v>
      </c>
      <c r="J66" s="141"/>
      <c r="K66" s="145">
        <v>1</v>
      </c>
      <c r="L66" s="141"/>
      <c r="M66" s="146">
        <v>0.515</v>
      </c>
      <c r="N66" s="149">
        <f>IF(E66="","",K66*MFJE)</f>
        <v>1000</v>
      </c>
      <c r="O66" s="147">
        <f>IF(OR(E66="",H66="",M66="",K66="",I66=""),"",IF($H66=CN,P66*M66,K66*MFJE))</f>
        <v>2008.5</v>
      </c>
      <c r="P66" s="148">
        <v>3900</v>
      </c>
      <c r="Q66" s="152">
        <f>IF(OR(E66="",H66="",M66="",K66="",I66=""),"",IF(I66=MC,O66*VLOOKUP(E66,基金!$C$5:$M$55,11,0),O66*VLOOKUP(E66,基金!$C$5:$M$55,9,0)))</f>
        <v>0.60255</v>
      </c>
      <c r="R66" s="153" t="str">
        <f>IF($E66="","",VLOOKUP($E66,基金!$C$5:$I$50,7,0))</f>
        <v>华泰证券</v>
      </c>
    </row>
    <row r="67" customHeight="1" spans="3:18">
      <c r="C67" s="139">
        <v>43144</v>
      </c>
      <c r="D67" s="140"/>
      <c r="E67" s="120">
        <v>1064</v>
      </c>
      <c r="F67" s="141"/>
      <c r="G67" s="76" t="str">
        <f>IF($E67="","",VLOOKUP($E67,基金!$C$5:$I$36,3,0))</f>
        <v>广发环保指数A</v>
      </c>
      <c r="H67" s="142" t="str">
        <f>IF($E67="","",VLOOKUP($E67,基金!$C$5:$I$36,5,0))</f>
        <v>场外</v>
      </c>
      <c r="I67" s="144" t="s">
        <v>32</v>
      </c>
      <c r="J67" s="141"/>
      <c r="K67" s="145">
        <v>1</v>
      </c>
      <c r="L67" s="141"/>
      <c r="M67" s="146">
        <v>0.6708</v>
      </c>
      <c r="N67" s="149">
        <f>IF(E67="","",K67*MFJE)</f>
        <v>1000</v>
      </c>
      <c r="O67" s="147">
        <f>IF(OR(E67="",H67="",M67="",K67="",I67=""),"",IF($H67=CN,P67*M67,K67*MFJE))</f>
        <v>1000</v>
      </c>
      <c r="P67" s="148">
        <f>IF(OR(E67="",H67="",M67="",K67="",I67=""),"",IF(H67=CN,ROUND(N67/M67,-2),(N67-Q67)/M67))</f>
        <v>1488.96839594514</v>
      </c>
      <c r="Q67" s="152">
        <f>IF(OR(E67="",H67="",M67="",K67="",I67=""),"",IF(I67=MC,O67*VLOOKUP(E67,基金!$C$5:$M$55,11,0),O67*VLOOKUP(E67,基金!$C$5:$M$55,9,0)))</f>
        <v>1.2</v>
      </c>
      <c r="R67" s="153" t="s">
        <v>13</v>
      </c>
    </row>
    <row r="68" customHeight="1" spans="3:18">
      <c r="C68" s="139">
        <v>43144</v>
      </c>
      <c r="D68" s="140"/>
      <c r="E68" s="120">
        <v>100032</v>
      </c>
      <c r="F68" s="141"/>
      <c r="G68" s="76" t="str">
        <f>IF($E68="","",VLOOKUP($E68,基金!$C$5:$I$36,3,0))</f>
        <v>富国中证红利指数增强</v>
      </c>
      <c r="H68" s="142" t="str">
        <f>IF($E68="","",VLOOKUP($E68,基金!$C$5:$I$36,5,0))</f>
        <v>场外</v>
      </c>
      <c r="I68" s="144" t="s">
        <v>32</v>
      </c>
      <c r="J68" s="141"/>
      <c r="K68" s="145">
        <v>1</v>
      </c>
      <c r="L68" s="141"/>
      <c r="M68" s="146">
        <v>1.142</v>
      </c>
      <c r="N68" s="149">
        <f>IF(E68="","",K68*MFJE)</f>
        <v>1000</v>
      </c>
      <c r="O68" s="147">
        <f>IF(OR(E68="",H68="",M68="",K68="",I68=""),"",IF($H68=CN,P68*M68,K68*MFJE))</f>
        <v>1000</v>
      </c>
      <c r="P68" s="148">
        <f>IF(OR(E68="",H68="",M68="",K68="",I68=""),"",IF(H68=CN,ROUND(N68/M68,-2),(N68-Q68)/M68))</f>
        <v>874.343257443082</v>
      </c>
      <c r="Q68" s="152">
        <f>IF(OR(E68="",H68="",M68="",K68="",I68=""),"",IF(I68=MC,O68*VLOOKUP(E68,基金!$C$5:$M$55,11,0),O68*VLOOKUP(E68,基金!$C$5:$M$55,9,0)))</f>
        <v>1.5</v>
      </c>
      <c r="R68" s="153" t="s">
        <v>13</v>
      </c>
    </row>
    <row r="69" customHeight="1" spans="3:18">
      <c r="C69" s="139">
        <v>43154</v>
      </c>
      <c r="D69" s="140"/>
      <c r="E69" s="120">
        <v>162411</v>
      </c>
      <c r="F69" s="141"/>
      <c r="G69" s="76" t="str">
        <f>IF($E69="","",VLOOKUP($E69,基金!$C$5:$I$50,3,0))</f>
        <v>华宝油气</v>
      </c>
      <c r="H69" s="142" t="str">
        <f>IF($E69="","",VLOOKUP($E69,基金!$C$5:$I$50,5,0))</f>
        <v>场内</v>
      </c>
      <c r="I69" s="144" t="s">
        <v>33</v>
      </c>
      <c r="J69" s="141"/>
      <c r="K69" s="145">
        <v>1</v>
      </c>
      <c r="L69" s="141"/>
      <c r="M69" s="146">
        <v>0.537</v>
      </c>
      <c r="N69" s="149">
        <f>IF(E69="","",K69*MFJE)</f>
        <v>1000</v>
      </c>
      <c r="O69" s="147">
        <f>IF(OR(E69="",H69="",M69="",K69="",I69=""),"",IF($H69=CN,P69*M69,K69*MFJE))</f>
        <v>2094.3</v>
      </c>
      <c r="P69" s="148">
        <v>3900</v>
      </c>
      <c r="Q69" s="152">
        <f>IF(OR(E69="",H69="",M69="",K69="",I69=""),"",IF(I69=MC,O69*VLOOKUP(E69,基金!$C$5:$M$55,11,0),O69*VLOOKUP(E69,基金!$C$5:$M$55,9,0)))</f>
        <v>0.62829</v>
      </c>
      <c r="R69" s="153" t="str">
        <f>IF($E69="","",VLOOKUP($E69,基金!$C$5:$I$50,7,0))</f>
        <v>华泰证券</v>
      </c>
    </row>
    <row r="70" customHeight="1" spans="3:18">
      <c r="C70" s="139">
        <v>43161</v>
      </c>
      <c r="D70" s="140"/>
      <c r="E70" s="120">
        <v>100032</v>
      </c>
      <c r="F70" s="141"/>
      <c r="G70" s="76" t="str">
        <f>IF($E70="","",VLOOKUP($E70,基金!$C$5:$I$36,3,0))</f>
        <v>富国中证红利指数增强</v>
      </c>
      <c r="H70" s="142" t="str">
        <f>IF($E70="","",VLOOKUP($E70,基金!$C$5:$I$36,5,0))</f>
        <v>场外</v>
      </c>
      <c r="I70" s="144" t="s">
        <v>32</v>
      </c>
      <c r="J70" s="141"/>
      <c r="K70" s="145">
        <v>1</v>
      </c>
      <c r="L70" s="141"/>
      <c r="M70" s="146">
        <v>1.161</v>
      </c>
      <c r="N70" s="149">
        <f>IF(E70="","",K70*MFJE)</f>
        <v>1000</v>
      </c>
      <c r="O70" s="147">
        <f>IF(OR(E70="",H70="",M70="",K70="",I70=""),"",IF($H70=CN,P70*M70,K70*MFJE))</f>
        <v>1000</v>
      </c>
      <c r="P70" s="148">
        <f>IF(OR(E70="",H70="",M70="",K70="",I70=""),"",IF(H70=CN,ROUND(N70/M70,-2),(N70-Q70)/M70))</f>
        <v>860.034453057709</v>
      </c>
      <c r="Q70" s="152">
        <f>IF(OR(E70="",H70="",M70="",K70="",I70=""),"",IF(I70=MC,O70*VLOOKUP(E70,基金!$C$5:$M$55,11,0),O70*VLOOKUP(E70,基金!$C$5:$M$55,9,0)))</f>
        <v>1.5</v>
      </c>
      <c r="R70" s="153" t="s">
        <v>13</v>
      </c>
    </row>
    <row r="71" customHeight="1" spans="3:18">
      <c r="C71" s="139">
        <v>43192</v>
      </c>
      <c r="D71" s="140"/>
      <c r="E71" s="120">
        <v>512880</v>
      </c>
      <c r="F71" s="141"/>
      <c r="G71" s="76" t="str">
        <f>IF($E71="","",VLOOKUP($E71,基金!$C$5:$I$36,3,0))</f>
        <v>证券ETF</v>
      </c>
      <c r="H71" s="142" t="str">
        <f>IF($E71="","",VLOOKUP($E71,基金!$C$5:$I$36,5,0))</f>
        <v>场内</v>
      </c>
      <c r="I71" s="144" t="s">
        <v>32</v>
      </c>
      <c r="J71" s="141"/>
      <c r="K71" s="145">
        <v>1</v>
      </c>
      <c r="L71" s="141"/>
      <c r="M71" s="146">
        <v>0.89</v>
      </c>
      <c r="N71" s="149">
        <f>IF(E71="","",K71*MFJE)</f>
        <v>1000</v>
      </c>
      <c r="O71" s="147">
        <f>IF(OR(E71="",H71="",M71="",K71="",I71=""),"",IF($H71=CN,P71*M71,K71*MFJE))</f>
        <v>979</v>
      </c>
      <c r="P71" s="148">
        <f>IF(OR(E71="",H71="",M71="",K71="",I71=""),"",IF(H71=CN,ROUND(N71/M71,-2),(N71-Q71)/M71))</f>
        <v>1100</v>
      </c>
      <c r="Q71" s="152">
        <f>IF(OR(E71="",H71="",M71="",K71="",I71=""),"",IF(I71=MC,O71*VLOOKUP(E71,基金!$C$5:$M$55,11,0),O71*VLOOKUP(E71,基金!$C$5:$M$55,9,0)))</f>
        <v>0.2937</v>
      </c>
      <c r="R71" s="153" t="str">
        <f>IF($E71="","",VLOOKUP($E71,基金!$C$5:$I$36,7,0))</f>
        <v>华泰证券</v>
      </c>
    </row>
    <row r="72" customHeight="1" spans="3:18">
      <c r="C72" s="139">
        <v>43192</v>
      </c>
      <c r="D72" s="140"/>
      <c r="E72" s="120">
        <v>100032</v>
      </c>
      <c r="F72" s="141"/>
      <c r="G72" s="76" t="str">
        <f>IF($E72="","",VLOOKUP($E72,基金!$C$5:$I$36,3,0))</f>
        <v>富国中证红利指数增强</v>
      </c>
      <c r="H72" s="142" t="str">
        <f>IF($E72="","",VLOOKUP($E72,基金!$C$5:$I$36,5,0))</f>
        <v>场外</v>
      </c>
      <c r="I72" s="144" t="s">
        <v>32</v>
      </c>
      <c r="J72" s="141"/>
      <c r="K72" s="145">
        <v>1</v>
      </c>
      <c r="L72" s="141"/>
      <c r="M72" s="146">
        <v>1.116</v>
      </c>
      <c r="N72" s="149">
        <f>IF(E72="","",K72*MFJE)</f>
        <v>1000</v>
      </c>
      <c r="O72" s="147">
        <f>IF(OR(E72="",H72="",M72="",K72="",I72=""),"",IF($H72=CN,P72*M72,K72*MFJE))</f>
        <v>1000</v>
      </c>
      <c r="P72" s="148">
        <f>IF(OR(E72="",H72="",M72="",K72="",I72=""),"",IF(H72=CN,ROUND(N72/M72,-2),(N72-Q72)/M72))</f>
        <v>894.713261648745</v>
      </c>
      <c r="Q72" s="152">
        <f>IF(OR(E72="",H72="",M72="",K72="",I72=""),"",IF(I72=MC,O72*VLOOKUP(E72,基金!$C$5:$M$55,11,0),O72*VLOOKUP(E72,基金!$C$5:$M$55,9,0)))</f>
        <v>1.5</v>
      </c>
      <c r="R72" s="153" t="s">
        <v>13</v>
      </c>
    </row>
    <row r="73" customHeight="1" spans="3:18">
      <c r="C73" s="139">
        <v>43193</v>
      </c>
      <c r="D73" s="140"/>
      <c r="E73" s="120">
        <v>162411</v>
      </c>
      <c r="F73" s="141"/>
      <c r="G73" s="76" t="str">
        <f>IF($E73="","",VLOOKUP($E73,基金!$C$5:$I$50,3,0))</f>
        <v>华宝油气</v>
      </c>
      <c r="H73" s="142" t="str">
        <f>IF($E73="","",VLOOKUP($E73,基金!$C$5:$I$50,5,0))</f>
        <v>场内</v>
      </c>
      <c r="I73" s="144" t="s">
        <v>32</v>
      </c>
      <c r="J73" s="141"/>
      <c r="K73" s="145">
        <v>1</v>
      </c>
      <c r="L73" s="141"/>
      <c r="M73" s="146">
        <v>0.534</v>
      </c>
      <c r="N73" s="149">
        <f>IF(E73="","",K73*MFJE)</f>
        <v>1000</v>
      </c>
      <c r="O73" s="147">
        <f>IF(OR(E73="",H73="",M73="",K73="",I73=""),"",IF($H73=CN,P73*M73,K73*MFJE))</f>
        <v>2029.2</v>
      </c>
      <c r="P73" s="148">
        <v>3800</v>
      </c>
      <c r="Q73" s="152">
        <f>IF(OR(E73="",H73="",M73="",K73="",I73=""),"",IF(I73=MC,O73*VLOOKUP(E73,基金!$C$5:$M$55,11,0),O73*VLOOKUP(E73,基金!$C$5:$M$55,9,0)))</f>
        <v>0.60876</v>
      </c>
      <c r="R73" s="153" t="str">
        <f>IF($E73="","",VLOOKUP($E73,基金!$C$5:$I$50,7,0))</f>
        <v>华泰证券</v>
      </c>
    </row>
    <row r="74" customHeight="1" spans="3:18">
      <c r="C74" s="139">
        <v>43199</v>
      </c>
      <c r="D74" s="140"/>
      <c r="E74" s="120">
        <v>162411</v>
      </c>
      <c r="F74" s="141"/>
      <c r="G74" s="76" t="str">
        <f>IF($E74="","",VLOOKUP($E74,基金!$C$5:$I$50,3,0))</f>
        <v>华宝油气</v>
      </c>
      <c r="H74" s="142" t="str">
        <f>IF($E74="","",VLOOKUP($E74,基金!$C$5:$I$50,5,0))</f>
        <v>场内</v>
      </c>
      <c r="I74" s="144" t="s">
        <v>33</v>
      </c>
      <c r="J74" s="141"/>
      <c r="K74" s="145">
        <v>1</v>
      </c>
      <c r="L74" s="141"/>
      <c r="M74" s="146">
        <v>0.54</v>
      </c>
      <c r="N74" s="149">
        <f>IF(E74="","",K74*MFJE)</f>
        <v>1000</v>
      </c>
      <c r="O74" s="147">
        <f>IF(OR(E74="",H74="",M74="",K74="",I74=""),"",IF($H74=CN,P74*M74,K74*MFJE))</f>
        <v>2052</v>
      </c>
      <c r="P74" s="148">
        <v>3800</v>
      </c>
      <c r="Q74" s="152">
        <f>IF(OR(E74="",H74="",M74="",K74="",I74=""),"",IF(I74=MC,O74*VLOOKUP(E74,基金!$C$5:$M$55,11,0),O74*VLOOKUP(E74,基金!$C$5:$M$55,9,0)))</f>
        <v>0.6156</v>
      </c>
      <c r="R74" s="153" t="str">
        <f>IF($E74="","",VLOOKUP($E74,基金!$C$5:$I$50,7,0))</f>
        <v>华泰证券</v>
      </c>
    </row>
    <row r="75" customHeight="1" spans="3:18">
      <c r="C75" s="139">
        <v>43202</v>
      </c>
      <c r="D75" s="140"/>
      <c r="E75" s="120">
        <v>162411</v>
      </c>
      <c r="F75" s="141"/>
      <c r="G75" s="76" t="str">
        <f>IF($E75="","",VLOOKUP($E75,基金!$C$5:$I$50,3,0))</f>
        <v>华宝油气</v>
      </c>
      <c r="H75" s="142" t="str">
        <f>IF($E75="","",VLOOKUP($E75,基金!$C$5:$I$50,5,0))</f>
        <v>场内</v>
      </c>
      <c r="I75" s="144" t="s">
        <v>33</v>
      </c>
      <c r="J75" s="141"/>
      <c r="K75" s="145">
        <v>1</v>
      </c>
      <c r="L75" s="141"/>
      <c r="M75" s="146">
        <v>0.566</v>
      </c>
      <c r="N75" s="149">
        <f>IF(E75="","",K75*MFJE)</f>
        <v>1000</v>
      </c>
      <c r="O75" s="147">
        <f>IF(OR(E75="",H75="",M75="",K75="",I75=""),"",IF($H75=CN,P75*M75,K75*MFJE))</f>
        <v>2207.4</v>
      </c>
      <c r="P75" s="148">
        <v>3900</v>
      </c>
      <c r="Q75" s="152">
        <f>IF(OR(E75="",H75="",M75="",K75="",I75=""),"",IF(I75=MC,O75*VLOOKUP(E75,基金!$C$5:$M$55,11,0),O75*VLOOKUP(E75,基金!$C$5:$M$55,9,0)))</f>
        <v>0.66222</v>
      </c>
      <c r="R75" s="153" t="str">
        <f>IF($E75="","",VLOOKUP($E75,基金!$C$5:$I$50,7,0))</f>
        <v>华泰证券</v>
      </c>
    </row>
    <row r="76" customHeight="1" spans="3:18">
      <c r="C76" s="139">
        <v>43206</v>
      </c>
      <c r="D76" s="140"/>
      <c r="E76" s="120">
        <v>162411</v>
      </c>
      <c r="F76" s="141"/>
      <c r="G76" s="76" t="str">
        <f>IF($E76="","",VLOOKUP($E76,基金!$C$5:$I$50,3,0))</f>
        <v>华宝油气</v>
      </c>
      <c r="H76" s="142" t="str">
        <f>IF($E76="","",VLOOKUP($E76,基金!$C$5:$I$50,5,0))</f>
        <v>场内</v>
      </c>
      <c r="I76" s="144" t="s">
        <v>33</v>
      </c>
      <c r="J76" s="141"/>
      <c r="K76" s="145">
        <v>1</v>
      </c>
      <c r="L76" s="141"/>
      <c r="M76" s="146">
        <v>0.573</v>
      </c>
      <c r="N76" s="149">
        <f>IF(E76="","",K76*MFJE)</f>
        <v>1000</v>
      </c>
      <c r="O76" s="147">
        <f>IF(OR(E76="",H76="",M76="",K76="",I76=""),"",IF($H76=CN,P76*M76,K76*MFJE))</f>
        <v>2578.5</v>
      </c>
      <c r="P76" s="148">
        <v>4500</v>
      </c>
      <c r="Q76" s="152">
        <f>IF(OR(E76="",H76="",M76="",K76="",I76=""),"",IF(I76=MC,O76*VLOOKUP(E76,基金!$C$5:$M$55,11,0),O76*VLOOKUP(E76,基金!$C$5:$M$55,9,0)))</f>
        <v>0.77355</v>
      </c>
      <c r="R76" s="153" t="str">
        <f>IF($E76="","",VLOOKUP($E76,基金!$C$5:$I$50,7,0))</f>
        <v>华泰证券</v>
      </c>
    </row>
    <row r="77" customHeight="1" spans="3:18">
      <c r="C77" s="139">
        <v>43208</v>
      </c>
      <c r="D77" s="140"/>
      <c r="E77" s="120">
        <v>100032</v>
      </c>
      <c r="F77" s="141"/>
      <c r="G77" s="76" t="str">
        <f>IF($E77="","",VLOOKUP($E77,基金!$C$5:$I$36,3,0))</f>
        <v>富国中证红利指数增强</v>
      </c>
      <c r="H77" s="142" t="str">
        <f>IF($E77="","",VLOOKUP($E77,基金!$C$5:$I$36,5,0))</f>
        <v>场外</v>
      </c>
      <c r="I77" s="144" t="s">
        <v>32</v>
      </c>
      <c r="J77" s="141"/>
      <c r="K77" s="145">
        <v>1</v>
      </c>
      <c r="L77" s="141"/>
      <c r="M77" s="146">
        <v>1.092</v>
      </c>
      <c r="N77" s="149">
        <f>IF(E77="","",K77*MFJE)</f>
        <v>1000</v>
      </c>
      <c r="O77" s="147">
        <f>IF(OR(E77="",H77="",M77="",K77="",I77=""),"",IF($H77=CN,P77*M77,K77*MFJE))</f>
        <v>1000</v>
      </c>
      <c r="P77" s="148">
        <f>IF(OR(E77="",H77="",M77="",K77="",I77=""),"",IF(H77=CN,ROUND(N77/M77,-2),(N77-Q77)/M77))</f>
        <v>914.377289377289</v>
      </c>
      <c r="Q77" s="152">
        <f>IF(OR(E77="",H77="",M77="",K77="",I77=""),"",IF(I77=MC,O77*VLOOKUP(E77,基金!$C$5:$M$55,11,0),O77*VLOOKUP(E77,基金!$C$5:$M$55,9,0)))</f>
        <v>1.5</v>
      </c>
      <c r="R77" s="153" t="s">
        <v>13</v>
      </c>
    </row>
    <row r="78" customHeight="1" spans="3:18">
      <c r="C78" s="139">
        <v>43216</v>
      </c>
      <c r="D78" s="140"/>
      <c r="E78" s="120">
        <v>1064</v>
      </c>
      <c r="F78" s="141"/>
      <c r="G78" s="76" t="str">
        <f>IF($E78="","",VLOOKUP($E78,基金!$C$5:$I$36,3,0))</f>
        <v>广发环保指数A</v>
      </c>
      <c r="H78" s="142" t="str">
        <f>IF($E78="","",VLOOKUP($E78,基金!$C$5:$I$36,5,0))</f>
        <v>场外</v>
      </c>
      <c r="I78" s="144" t="s">
        <v>32</v>
      </c>
      <c r="J78" s="141"/>
      <c r="K78" s="145">
        <v>1</v>
      </c>
      <c r="L78" s="141"/>
      <c r="M78" s="146">
        <v>0.6872</v>
      </c>
      <c r="N78" s="149">
        <f>IF(E78="","",K78*MFJE)</f>
        <v>1000</v>
      </c>
      <c r="O78" s="147">
        <f>IF(OR(E78="",H78="",M78="",K78="",I78=""),"",IF($H78=CN,P78*M78,K78*MFJE))</f>
        <v>1000</v>
      </c>
      <c r="P78" s="148">
        <f>IF(OR(E78="",H78="",M78="",K78="",I78=""),"",IF(H78=CN,ROUND(N78/M78,-2),(N78-Q78)/M78))</f>
        <v>1453.434225844</v>
      </c>
      <c r="Q78" s="152">
        <f>IF(OR(E78="",H78="",M78="",K78="",I78=""),"",IF(I78=MC,O78*VLOOKUP(E78,基金!$C$5:$M$55,11,0),O78*VLOOKUP(E78,基金!$C$5:$M$55,9,0)))</f>
        <v>1.2</v>
      </c>
      <c r="R78" s="153" t="s">
        <v>13</v>
      </c>
    </row>
    <row r="79" customHeight="1" spans="3:18">
      <c r="C79" s="139">
        <v>43216</v>
      </c>
      <c r="D79" s="140"/>
      <c r="E79" s="120">
        <v>3376</v>
      </c>
      <c r="F79" s="141"/>
      <c r="G79" s="76" t="str">
        <f>IF($E79="","",VLOOKUP($E79,基金!$C$5:$I$36,3,0))</f>
        <v>广发中债7-10年国开债指数A</v>
      </c>
      <c r="H79" s="142" t="str">
        <f>IF($E79="","",VLOOKUP($E79,基金!$C$5:$I$36,5,0))</f>
        <v>场外</v>
      </c>
      <c r="I79" s="144" t="s">
        <v>33</v>
      </c>
      <c r="J79" s="141"/>
      <c r="K79" s="145">
        <v>1</v>
      </c>
      <c r="L79" s="141"/>
      <c r="M79" s="146">
        <v>0.9688</v>
      </c>
      <c r="N79" s="149">
        <f>IF(E79="","",K79*MFJE)</f>
        <v>1000</v>
      </c>
      <c r="O79" s="147">
        <v>998.06</v>
      </c>
      <c r="P79" s="148">
        <v>1030.72</v>
      </c>
      <c r="Q79" s="152">
        <f>IF(OR(E79="",H79="",M79="",K79="",I79=""),"",IF(I79=MC,O79*VLOOKUP(E79,基金!$C$5:$M$55,11,0),O79*VLOOKUP(E79,基金!$C$5:$M$55,9,0)))</f>
        <v>0.99806</v>
      </c>
      <c r="R79" s="153" t="str">
        <f>IF($E79="","",VLOOKUP($E79,基金!$C$5:$I$36,7,0))</f>
        <v>天天基金</v>
      </c>
    </row>
    <row r="80" customHeight="1" spans="3:18">
      <c r="C80" s="139">
        <v>43216</v>
      </c>
      <c r="D80" s="140"/>
      <c r="E80" s="120">
        <v>1061</v>
      </c>
      <c r="F80" s="141"/>
      <c r="G80" s="76" t="str">
        <f>IF($E80="","",VLOOKUP($E80,基金!$C$5:$I$36,3,0))</f>
        <v>华夏海外收益债券A</v>
      </c>
      <c r="H80" s="142" t="str">
        <f>IF($E80="","",VLOOKUP($E80,基金!$C$5:$I$36,5,0))</f>
        <v>场外</v>
      </c>
      <c r="I80" s="144" t="s">
        <v>32</v>
      </c>
      <c r="J80" s="141"/>
      <c r="K80" s="145">
        <v>1</v>
      </c>
      <c r="L80" s="141"/>
      <c r="M80" s="146">
        <v>1.184</v>
      </c>
      <c r="N80" s="149">
        <f>IF(E80="","",K80*MFJE)</f>
        <v>1000</v>
      </c>
      <c r="O80" s="147">
        <f>IF(OR(E80="",H80="",M80="",K80="",I80=""),"",IF($H80=CN,P80*M80,K80*MFJE))</f>
        <v>1000</v>
      </c>
      <c r="P80" s="148">
        <f>IF(OR(E80="",H80="",M80="",K80="",I80=""),"",IF(H80=CN,ROUND(N80/M80,-2),(N80-Q80)/M80))</f>
        <v>843.918918918919</v>
      </c>
      <c r="Q80" s="152">
        <f>IF(OR(E80="",H80="",M80="",K80="",I80=""),"",IF(I80=MC,O80*VLOOKUP(E80,基金!$C$5:$M$55,11,0),O80*VLOOKUP(E80,基金!$C$5:$M$55,9,0)))</f>
        <v>0.8</v>
      </c>
      <c r="R80" s="153" t="s">
        <v>13</v>
      </c>
    </row>
    <row r="81" customHeight="1" spans="3:18">
      <c r="C81" s="139">
        <v>43216</v>
      </c>
      <c r="D81" s="140"/>
      <c r="E81" s="120">
        <v>478</v>
      </c>
      <c r="F81" s="141"/>
      <c r="G81" s="76" t="str">
        <f>IF($E81="","",VLOOKUP($E81,基金!$C$5:$I$36,3,0))</f>
        <v>建信中证500指数增强</v>
      </c>
      <c r="H81" s="142" t="str">
        <f>IF($E81="","",VLOOKUP($E81,基金!$C$5:$I$36,5,0))</f>
        <v>场外</v>
      </c>
      <c r="I81" s="144" t="s">
        <v>32</v>
      </c>
      <c r="J81" s="141"/>
      <c r="K81" s="145">
        <v>1</v>
      </c>
      <c r="L81" s="141"/>
      <c r="M81" s="146">
        <v>2.2256</v>
      </c>
      <c r="N81" s="149">
        <f>IF(E81="","",K81*MFJE)</f>
        <v>1000</v>
      </c>
      <c r="O81" s="147">
        <f>IF(OR(E81="",H81="",M81="",K81="",I81=""),"",IF($H81=CN,P81*M81,K81*MFJE))</f>
        <v>1000</v>
      </c>
      <c r="P81" s="148">
        <f>IF(OR(E81="",H81="",M81="",K81="",I81=""),"",IF(H81=CN,ROUND(N81/M81,-2),(N81-Q81)/M81))</f>
        <v>448.643062544932</v>
      </c>
      <c r="Q81" s="152">
        <f>IF(OR(E81="",H81="",M81="",K81="",I81=""),"",IF(I81=MC,O81*VLOOKUP(E81,基金!$C$5:$M$55,11,0),O81*VLOOKUP(E81,基金!$C$5:$M$55,9,0)))</f>
        <v>1.5</v>
      </c>
      <c r="R81" s="153" t="s">
        <v>13</v>
      </c>
    </row>
    <row r="82" customHeight="1" spans="3:18">
      <c r="C82" s="139">
        <v>43237</v>
      </c>
      <c r="D82" s="140"/>
      <c r="E82" s="120">
        <v>512980</v>
      </c>
      <c r="F82" s="141"/>
      <c r="G82" s="76" t="str">
        <f>IF($E82="","",VLOOKUP($E82,基金!$C$5:$I$36,3,0))</f>
        <v>中证传媒</v>
      </c>
      <c r="H82" s="142" t="str">
        <f>IF($E82="","",VLOOKUP($E82,基金!$C$5:$I$36,5,0))</f>
        <v>场内</v>
      </c>
      <c r="I82" s="144" t="s">
        <v>32</v>
      </c>
      <c r="J82" s="141"/>
      <c r="K82" s="145">
        <v>1</v>
      </c>
      <c r="L82" s="141"/>
      <c r="M82" s="146">
        <v>0.95</v>
      </c>
      <c r="N82" s="149">
        <f>IF(E82="","",K82*MFJE)</f>
        <v>1000</v>
      </c>
      <c r="O82" s="147">
        <f>IF(OR(E82="",H82="",M82="",K82="",I82=""),"",IF($H82=CN,P82*M82,K82*MFJE))</f>
        <v>1045</v>
      </c>
      <c r="P82" s="148">
        <f>IF(OR(E82="",H82="",M82="",K82="",I82=""),"",IF(H82=CN,ROUND(N82/M82,-2),(N82-Q82)/M82))</f>
        <v>1100</v>
      </c>
      <c r="Q82" s="152">
        <f>IF(OR(E82="",H82="",M82="",K82="",I82=""),"",IF(I82=MC,O82*VLOOKUP(E82,基金!$C$5:$M$55,11,0),O82*VLOOKUP(E82,基金!$C$5:$M$55,9,0)))</f>
        <v>0.3135</v>
      </c>
      <c r="R82" s="153" t="str">
        <f>IF($E82="","",VLOOKUP($E82,基金!$C$5:$I$36,7,0))</f>
        <v>华泰证券</v>
      </c>
    </row>
    <row r="83" customHeight="1" spans="3:18">
      <c r="C83" s="139">
        <v>43237</v>
      </c>
      <c r="D83" s="140"/>
      <c r="E83" s="120">
        <v>510500</v>
      </c>
      <c r="F83" s="141"/>
      <c r="G83" s="76" t="str">
        <f>IF($E83="","",VLOOKUP($E83,基金!$C$5:$I$36,3,0))</f>
        <v>500ETF</v>
      </c>
      <c r="H83" s="142" t="str">
        <f>IF($E83="","",VLOOKUP($E83,基金!$C$5:$I$36,5,0))</f>
        <v>场内</v>
      </c>
      <c r="I83" s="144" t="s">
        <v>32</v>
      </c>
      <c r="J83" s="141"/>
      <c r="K83" s="145">
        <v>1</v>
      </c>
      <c r="L83" s="141"/>
      <c r="M83" s="146">
        <v>6.285</v>
      </c>
      <c r="N83" s="149">
        <f>IF(E83="","",K83*MFJE)</f>
        <v>1000</v>
      </c>
      <c r="O83" s="147">
        <f>IF(OR(E83="",H83="",M83="",K83="",I83=""),"",IF($H83=CN,P83*M83,K83*MFJE))</f>
        <v>1257</v>
      </c>
      <c r="P83" s="148">
        <f>IF(OR(E83="",H83="",M83="",K83="",I83=""),"",IF(H83=CN,ROUND(N83/M83,-2),(N83-Q83)/M83))</f>
        <v>200</v>
      </c>
      <c r="Q83" s="152">
        <f>IF(OR(E83="",H83="",M83="",K83="",I83=""),"",IF(I83=MC,O83*VLOOKUP(E83,基金!$C$5:$M$55,11,0),O83*VLOOKUP(E83,基金!$C$5:$M$55,9,0)))</f>
        <v>0.3771</v>
      </c>
      <c r="R83" s="153" t="str">
        <f>IF($E83="","",VLOOKUP($E83,基金!$C$5:$I$36,7,0))</f>
        <v>华泰证券</v>
      </c>
    </row>
    <row r="84" customHeight="1" spans="3:18">
      <c r="C84" s="139">
        <v>43249</v>
      </c>
      <c r="D84" s="140"/>
      <c r="E84" s="120">
        <v>512880</v>
      </c>
      <c r="F84" s="141"/>
      <c r="G84" s="76" t="str">
        <f>IF($E84="","",VLOOKUP($E84,基金!$C$5:$I$50,3,0))</f>
        <v>证券ETF</v>
      </c>
      <c r="H84" s="142" t="str">
        <f>IF($E84="","",VLOOKUP($E84,基金!$C$5:$I$50,5,0))</f>
        <v>场内</v>
      </c>
      <c r="I84" s="144" t="s">
        <v>32</v>
      </c>
      <c r="J84" s="141"/>
      <c r="K84" s="145">
        <v>1</v>
      </c>
      <c r="L84" s="141"/>
      <c r="M84" s="146">
        <v>0.851</v>
      </c>
      <c r="N84" s="149">
        <f>IF(E84="","",K84*MFJE)</f>
        <v>1000</v>
      </c>
      <c r="O84" s="147">
        <f>IF(OR(E84="",H84="",M84="",K84="",I84=""),"",IF($H84=CN,P84*M84,K84*MFJE))</f>
        <v>936.1</v>
      </c>
      <c r="P84" s="148">
        <v>1100</v>
      </c>
      <c r="Q84" s="152">
        <f>IF(OR(E84="",H84="",M84="",K84="",I84=""),"",IF(I84=MC,O84*VLOOKUP(E84,基金!$C$5:$M$55,11,0),O84*VLOOKUP(E84,基金!$C$5:$M$55,9,0)))</f>
        <v>0.28083</v>
      </c>
      <c r="R84" s="153" t="str">
        <f>IF($E84="","",VLOOKUP($E84,基金!$C$5:$I$50,7,0))</f>
        <v>华泰证券</v>
      </c>
    </row>
    <row r="85" customHeight="1" spans="3:18">
      <c r="C85" s="139">
        <v>43251</v>
      </c>
      <c r="D85" s="140"/>
      <c r="E85" s="120">
        <v>510500</v>
      </c>
      <c r="F85" s="141"/>
      <c r="G85" s="76" t="str">
        <f>IF($E85="","",VLOOKUP($E85,基金!$C$5:$I$36,3,0))</f>
        <v>500ETF</v>
      </c>
      <c r="H85" s="142" t="str">
        <f>IF($E85="","",VLOOKUP($E85,基金!$C$5:$I$36,5,0))</f>
        <v>场内</v>
      </c>
      <c r="I85" s="144" t="s">
        <v>32</v>
      </c>
      <c r="J85" s="141"/>
      <c r="K85" s="145">
        <v>1</v>
      </c>
      <c r="L85" s="141"/>
      <c r="M85" s="146">
        <v>6.068</v>
      </c>
      <c r="N85" s="149">
        <f>IF(E85="","",K85*MFJE)</f>
        <v>1000</v>
      </c>
      <c r="O85" s="147">
        <f>IF(OR(E85="",H85="",M85="",K85="",I85=""),"",IF($H85=CN,P85*M85,K85*MFJE))</f>
        <v>1213.6</v>
      </c>
      <c r="P85" s="148">
        <f>IF(OR(E85="",H85="",M85="",K85="",I85=""),"",IF(H85=CN,ROUND(N85/M85,-2),(N85-Q85)/M85))</f>
        <v>200</v>
      </c>
      <c r="Q85" s="152">
        <f>IF(OR(E85="",H85="",M85="",K85="",I85=""),"",IF(I85=MC,O85*VLOOKUP(E85,基金!$C$5:$M$55,11,0),O85*VLOOKUP(E85,基金!$C$5:$M$55,9,0)))</f>
        <v>0.36408</v>
      </c>
      <c r="R85" s="153" t="str">
        <f>IF($E85="","",VLOOKUP($E85,基金!$C$5:$I$36,7,0))</f>
        <v>华泰证券</v>
      </c>
    </row>
    <row r="86" customHeight="1" spans="3:18">
      <c r="C86" s="139">
        <v>43251</v>
      </c>
      <c r="D86" s="140"/>
      <c r="E86" s="120">
        <v>162411</v>
      </c>
      <c r="F86" s="141"/>
      <c r="G86" s="76" t="str">
        <f>IF($E86="","",VLOOKUP($E86,基金!$C$5:$I$36,3,0))</f>
        <v>华宝油气</v>
      </c>
      <c r="H86" s="142" t="str">
        <f>IF($E86="","",VLOOKUP($E86,基金!$C$5:$I$36,5,0))</f>
        <v>场内</v>
      </c>
      <c r="I86" s="144" t="s">
        <v>33</v>
      </c>
      <c r="J86" s="141"/>
      <c r="K86" s="145">
        <v>1</v>
      </c>
      <c r="L86" s="141"/>
      <c r="M86" s="146">
        <v>0.662</v>
      </c>
      <c r="N86" s="149">
        <f>IF(E86="","",K86*MFJE)</f>
        <v>1000</v>
      </c>
      <c r="O86" s="147">
        <f>IF(OR(E86="",H86="",M86="",K86="",I86=""),"",IF($H86=CN,P86*M86,K86*MFJE))</f>
        <v>993</v>
      </c>
      <c r="P86" s="148">
        <f>IF(OR(E86="",H86="",M86="",K86="",I86=""),"",IF(H86=CN,ROUND(N86/M86,-2),(N86-Q86)/M86))</f>
        <v>1500</v>
      </c>
      <c r="Q86" s="152">
        <f>IF(OR(E86="",H86="",M86="",K86="",I86=""),"",IF(I86=MC,O86*VLOOKUP(E86,基金!$C$5:$M$55,11,0),O86*VLOOKUP(E86,基金!$C$5:$M$55,9,0)))</f>
        <v>0.2979</v>
      </c>
      <c r="R86" s="153" t="str">
        <f>IF($E86="","",VLOOKUP($E86,基金!$C$5:$I$36,7,0))</f>
        <v>华泰证券</v>
      </c>
    </row>
    <row r="87" customHeight="1" spans="3:18">
      <c r="C87" s="139">
        <v>43251</v>
      </c>
      <c r="D87" s="140"/>
      <c r="E87" s="120">
        <v>100038</v>
      </c>
      <c r="F87" s="141"/>
      <c r="G87" s="76" t="str">
        <f>IF($E87="","",VLOOKUP($E87,基金!$C$5:$I$36,3,0))</f>
        <v>富国沪深300指数增强</v>
      </c>
      <c r="H87" s="142" t="str">
        <f>IF($E87="","",VLOOKUP($E87,基金!$C$5:$I$36,5,0))</f>
        <v>场外</v>
      </c>
      <c r="I87" s="144" t="s">
        <v>32</v>
      </c>
      <c r="J87" s="141"/>
      <c r="K87" s="145">
        <v>1</v>
      </c>
      <c r="L87" s="141"/>
      <c r="M87" s="146">
        <v>1.802</v>
      </c>
      <c r="N87" s="149">
        <f>IF(E87="","",K87*MFJE)</f>
        <v>1000</v>
      </c>
      <c r="O87" s="147">
        <f>IF(OR(E87="",H87="",M87="",K87="",I87=""),"",IF($H87=CN,P87*M87,K87*MFJE))</f>
        <v>1000</v>
      </c>
      <c r="P87" s="148">
        <f>IF(OR(E87="",H87="",M87="",K87="",I87=""),"",IF(H87=CN,ROUND(N87/M87,-2),(N87-Q87)/M87))</f>
        <v>554.273029966704</v>
      </c>
      <c r="Q87" s="152">
        <f>IF(OR(E87="",H87="",M87="",K87="",I87=""),"",IF(I87=MC,O87*VLOOKUP(E87,基金!$C$5:$M$55,11,0),O87*VLOOKUP(E87,基金!$C$5:$M$55,9,0)))</f>
        <v>1.2</v>
      </c>
      <c r="R87" s="153" t="str">
        <f>IF($E87="","",VLOOKUP($E87,基金!$C$5:$I$36,7,0))</f>
        <v>华泰证券</v>
      </c>
    </row>
    <row r="88" customHeight="1" spans="3:18">
      <c r="C88" s="139">
        <v>43251</v>
      </c>
      <c r="D88" s="140"/>
      <c r="E88" s="120">
        <v>340001</v>
      </c>
      <c r="F88" s="141"/>
      <c r="G88" s="76" t="str">
        <f>IF($E88="","",VLOOKUP($E88,基金!$C$5:$I$36,3,0))</f>
        <v>兴全可转债混合</v>
      </c>
      <c r="H88" s="142" t="str">
        <f>IF($E88="","",VLOOKUP($E88,基金!$C$5:$I$36,5,0))</f>
        <v>场外</v>
      </c>
      <c r="I88" s="144" t="s">
        <v>32</v>
      </c>
      <c r="J88" s="141"/>
      <c r="K88" s="145">
        <v>1</v>
      </c>
      <c r="L88" s="141"/>
      <c r="M88" s="146">
        <v>1.0365</v>
      </c>
      <c r="N88" s="149">
        <f>IF(E88="","",K88*MFJE)</f>
        <v>1000</v>
      </c>
      <c r="O88" s="147">
        <f>IF(OR(E88="",H88="",M88="",K88="",I88=""),"",IF($H88=CN,P88*M88,K88*MFJE))</f>
        <v>1000</v>
      </c>
      <c r="P88" s="148">
        <f>IF(OR(E88="",H88="",M88="",K88="",I88=""),"",IF(H88=CN,ROUND(N88/M88,-2),(N88-Q88)/M88))</f>
        <v>963.820549927641</v>
      </c>
      <c r="Q88" s="152">
        <f>IF(OR(E88="",H88="",M88="",K88="",I88=""),"",IF(I88=MC,O88*VLOOKUP(E88,基金!$C$5:$M$55,11,0),O88*VLOOKUP(E88,基金!$C$5:$M$55,9,0)))</f>
        <v>1</v>
      </c>
      <c r="R88" s="153" t="s">
        <v>13</v>
      </c>
    </row>
    <row r="89" customHeight="1" spans="3:18">
      <c r="C89" s="139">
        <v>43255</v>
      </c>
      <c r="D89" s="140"/>
      <c r="E89" s="120">
        <v>478</v>
      </c>
      <c r="F89" s="141"/>
      <c r="G89" s="76" t="str">
        <f>IF($E89="","",VLOOKUP($E89,基金!$C$5:$I$36,3,0))</f>
        <v>建信中证500指数增强</v>
      </c>
      <c r="H89" s="142" t="str">
        <f>IF($E89="","",VLOOKUP($E89,基金!$C$5:$I$36,5,0))</f>
        <v>场外</v>
      </c>
      <c r="I89" s="144" t="s">
        <v>32</v>
      </c>
      <c r="J89" s="141"/>
      <c r="K89" s="145">
        <v>2</v>
      </c>
      <c r="L89" s="141"/>
      <c r="M89" s="146">
        <v>2.1831</v>
      </c>
      <c r="N89" s="149">
        <f>IF(E89="","",K89*MFJE)</f>
        <v>2000</v>
      </c>
      <c r="O89" s="147">
        <f>IF(OR(E89="",H89="",M89="",K89="",I89=""),"",IF($H89=CN,P89*M89,K89*MFJE))</f>
        <v>2000</v>
      </c>
      <c r="P89" s="148">
        <f>IF(OR(E89="",H89="",M89="",K89="",I89=""),"",IF(H89=CN,ROUND(N89/M89,-2),(N89-Q89)/M89))</f>
        <v>914.754248545646</v>
      </c>
      <c r="Q89" s="152">
        <f>IF(OR(E89="",H89="",M89="",K89="",I89=""),"",IF(I89=MC,O89*VLOOKUP(E89,基金!$C$5:$M$55,11,0),O89*VLOOKUP(E89,基金!$C$5:$M$55,9,0)))</f>
        <v>3</v>
      </c>
      <c r="R89" s="153" t="s">
        <v>13</v>
      </c>
    </row>
    <row r="90" customHeight="1" spans="3:18">
      <c r="C90" s="139">
        <v>43259</v>
      </c>
      <c r="D90" s="140"/>
      <c r="E90" s="120">
        <v>512880</v>
      </c>
      <c r="F90" s="141"/>
      <c r="G90" s="76" t="str">
        <f>IF($E90="","",VLOOKUP($E90,基金!$C$5:$I$50,3,0))</f>
        <v>证券ETF</v>
      </c>
      <c r="H90" s="142" t="str">
        <f>IF($E90="","",VLOOKUP($E90,基金!$C$5:$I$50,5,0))</f>
        <v>场内</v>
      </c>
      <c r="I90" s="144" t="s">
        <v>32</v>
      </c>
      <c r="J90" s="141"/>
      <c r="K90" s="145">
        <v>1</v>
      </c>
      <c r="L90" s="141"/>
      <c r="M90" s="146">
        <v>0.82</v>
      </c>
      <c r="N90" s="149">
        <f>IF(E90="","",K90*MFJE)</f>
        <v>1000</v>
      </c>
      <c r="O90" s="147">
        <f>IF(OR(E90="",H90="",M90="",K90="",I90=""),"",IF($H90=CN,P90*M90,K90*MFJE))</f>
        <v>984</v>
      </c>
      <c r="P90" s="148">
        <f>IF(OR(E90="",H90="",M90="",K90="",I90=""),"",IF(H90=CN,ROUND(N90/M90,-2),(N90-Q90)/M90))</f>
        <v>1200</v>
      </c>
      <c r="Q90" s="152">
        <f>IF(OR(E90="",H90="",M90="",K90="",I90=""),"",IF(I90=MC,O90*VLOOKUP(E90,基金!$C$5:$M$55,11,0),O90*VLOOKUP(E90,基金!$C$5:$M$55,9,0)))</f>
        <v>0.2952</v>
      </c>
      <c r="R90" s="153" t="str">
        <f>IF($E90="","",VLOOKUP($E90,基金!$C$5:$I$50,7,0))</f>
        <v>华泰证券</v>
      </c>
    </row>
    <row r="91" customHeight="1" spans="3:18">
      <c r="C91" s="139">
        <v>43265</v>
      </c>
      <c r="D91" s="140"/>
      <c r="E91" s="120">
        <v>1469</v>
      </c>
      <c r="F91" s="141"/>
      <c r="G91" s="76" t="str">
        <f>IF($E91="","",VLOOKUP($E91,基金!$C$5:$I$36,3,0))</f>
        <v>广发中证全指金融地产联接A</v>
      </c>
      <c r="H91" s="142" t="str">
        <f>IF($E91="","",VLOOKUP($E91,基金!$C$5:$I$36,5,0))</f>
        <v>场外</v>
      </c>
      <c r="I91" s="144" t="s">
        <v>32</v>
      </c>
      <c r="J91" s="141"/>
      <c r="K91" s="145">
        <v>1</v>
      </c>
      <c r="L91" s="141"/>
      <c r="M91" s="146">
        <v>0.944</v>
      </c>
      <c r="N91" s="149">
        <f>IF(E91="","",K91*MFJE)</f>
        <v>1000</v>
      </c>
      <c r="O91" s="147">
        <f>IF(OR(E91="",H91="",M91="",K91="",I91=""),"",IF($H91=CN,P91*M91,K91*MFJE))</f>
        <v>1000</v>
      </c>
      <c r="P91" s="148">
        <f>IF(OR(E91="",H91="",M91="",K91="",I91=""),"",IF(H91=CN,ROUND(N91/M91,-2),(N91-Q91)/M91))</f>
        <v>1058.05084745763</v>
      </c>
      <c r="Q91" s="152">
        <f>IF(OR(E91="",H91="",M91="",K91="",I91=""),"",IF(I91=MC,O91*VLOOKUP(E91,基金!$C$5:$M$55,11,0),O91*VLOOKUP(E91,基金!$C$5:$M$55,9,0)))</f>
        <v>1.2</v>
      </c>
      <c r="R91" s="153" t="str">
        <f>IF($E91="","",VLOOKUP($E91,基金!$C$5:$I$36,7,0))</f>
        <v>华泰证券</v>
      </c>
    </row>
    <row r="92" customHeight="1" spans="3:18">
      <c r="C92" s="139">
        <v>43265</v>
      </c>
      <c r="D92" s="140"/>
      <c r="E92" s="120">
        <v>478</v>
      </c>
      <c r="F92" s="141"/>
      <c r="G92" s="76" t="str">
        <f>IF($E92="","",VLOOKUP($E92,基金!$C$5:$I$50,3,0))</f>
        <v>建信中证500指数增强</v>
      </c>
      <c r="H92" s="142" t="str">
        <f>IF($E92="","",VLOOKUP($E92,基金!$C$5:$I$50,5,0))</f>
        <v>场外</v>
      </c>
      <c r="I92" s="144" t="s">
        <v>32</v>
      </c>
      <c r="J92" s="141"/>
      <c r="K92" s="145">
        <v>1</v>
      </c>
      <c r="L92" s="141"/>
      <c r="M92" s="146">
        <v>2.1643</v>
      </c>
      <c r="N92" s="149">
        <f>IF(E92="","",K92*MFJE)</f>
        <v>1000</v>
      </c>
      <c r="O92" s="147">
        <f>IF(OR(E92="",H92="",M92="",K92="",I92=""),"",IF($H92=CN,P92*M92,K92*MFJE))</f>
        <v>1000</v>
      </c>
      <c r="P92" s="148">
        <f>IF(OR(E92="",H92="",M92="",K92="",I92=""),"",IF(H92=CN,ROUND(N92/M92,-2),(N92-Q92)/M92))</f>
        <v>461.350090098415</v>
      </c>
      <c r="Q92" s="152">
        <f>IF(OR(E92="",H92="",M92="",K92="",I92=""),"",IF(I92=MC,O92*VLOOKUP(E92,基金!$C$5:$M$55,11,0),O92*VLOOKUP(E92,基金!$C$5:$M$55,9,0)))</f>
        <v>1.5</v>
      </c>
      <c r="R92" s="153" t="s">
        <v>13</v>
      </c>
    </row>
    <row r="93" customHeight="1" spans="3:18">
      <c r="C93" s="139">
        <v>43270</v>
      </c>
      <c r="D93" s="140"/>
      <c r="E93" s="120">
        <v>512880</v>
      </c>
      <c r="F93" s="141"/>
      <c r="G93" s="76" t="str">
        <f>IF($E93="","",VLOOKUP($E93,基金!$C$5:$I$36,3,0))</f>
        <v>证券ETF</v>
      </c>
      <c r="H93" s="142" t="str">
        <f>IF($E93="","",VLOOKUP($E93,基金!$C$5:$I$36,5,0))</f>
        <v>场内</v>
      </c>
      <c r="I93" s="144" t="s">
        <v>32</v>
      </c>
      <c r="J93" s="141"/>
      <c r="K93" s="145">
        <v>1</v>
      </c>
      <c r="L93" s="141"/>
      <c r="M93" s="146">
        <v>0.767</v>
      </c>
      <c r="N93" s="149">
        <f>IF(E93="","",K93*MFJE)</f>
        <v>1000</v>
      </c>
      <c r="O93" s="147">
        <f>IF(OR(E93="",H93="",M93="",K93="",I93=""),"",IF($H93=CN,P93*M93,K93*MFJE))</f>
        <v>997.1</v>
      </c>
      <c r="P93" s="148">
        <f>IF(OR(E93="",H93="",M93="",K93="",I93=""),"",IF(H93=CN,ROUND(N93/M93,-2),(N93-Q93)/M93))</f>
        <v>1300</v>
      </c>
      <c r="Q93" s="152">
        <f>IF(OR(E93="",H93="",M93="",K93="",I93=""),"",IF(I93=MC,O93*VLOOKUP(E93,基金!$C$5:$M$55,11,0),O93*VLOOKUP(E93,基金!$C$5:$M$55,9,0)))</f>
        <v>0.29913</v>
      </c>
      <c r="R93" s="153" t="str">
        <f>IF($E93="","",VLOOKUP($E93,基金!$C$5:$I$36,7,0))</f>
        <v>华泰证券</v>
      </c>
    </row>
    <row r="94" customHeight="1" spans="3:18">
      <c r="C94" s="139">
        <v>43270</v>
      </c>
      <c r="D94" s="140"/>
      <c r="E94" s="120">
        <v>510500</v>
      </c>
      <c r="F94" s="141"/>
      <c r="G94" s="76" t="str">
        <f>IF($E94="","",VLOOKUP($E94,基金!$C$5:$I$36,3,0))</f>
        <v>500ETF</v>
      </c>
      <c r="H94" s="142" t="str">
        <f>IF($E94="","",VLOOKUP($E94,基金!$C$5:$I$36,5,0))</f>
        <v>场内</v>
      </c>
      <c r="I94" s="144" t="s">
        <v>32</v>
      </c>
      <c r="J94" s="141"/>
      <c r="K94" s="145">
        <v>1</v>
      </c>
      <c r="L94" s="141"/>
      <c r="M94" s="146">
        <v>5.5</v>
      </c>
      <c r="N94" s="149">
        <f>IF(E94="","",K94*MFJE)</f>
        <v>1000</v>
      </c>
      <c r="O94" s="147">
        <f>IF(OR(E94="",H94="",M94="",K94="",I94=""),"",IF($H94=CN,P94*M94,K94*MFJE))</f>
        <v>1100</v>
      </c>
      <c r="P94" s="148">
        <f>IF(OR(E94="",H94="",M94="",K94="",I94=""),"",IF(H94=CN,ROUND(N94/M94,-2),(N94-Q94)/M94))</f>
        <v>200</v>
      </c>
      <c r="Q94" s="152">
        <f>IF(OR(E94="",H94="",M94="",K94="",I94=""),"",IF(I94=MC,O94*VLOOKUP(E94,基金!$C$5:$M$55,11,0),O94*VLOOKUP(E94,基金!$C$5:$M$55,9,0)))</f>
        <v>0.33</v>
      </c>
      <c r="R94" s="153" t="str">
        <f>IF($E94="","",VLOOKUP($E94,基金!$C$5:$I$36,7,0))</f>
        <v>华泰证券</v>
      </c>
    </row>
    <row r="95" customHeight="1" spans="3:18">
      <c r="C95" s="139">
        <v>43270</v>
      </c>
      <c r="D95" s="140"/>
      <c r="E95" s="120">
        <v>340001</v>
      </c>
      <c r="F95" s="141"/>
      <c r="G95" s="76" t="str">
        <f>IF($E95="","",VLOOKUP($E95,基金!$C$5:$I$36,3,0))</f>
        <v>兴全可转债混合</v>
      </c>
      <c r="H95" s="142" t="str">
        <f>IF($E95="","",VLOOKUP($E95,基金!$C$5:$I$36,5,0))</f>
        <v>场外</v>
      </c>
      <c r="I95" s="144" t="s">
        <v>32</v>
      </c>
      <c r="J95" s="141"/>
      <c r="K95" s="145">
        <v>1</v>
      </c>
      <c r="L95" s="141"/>
      <c r="M95" s="146">
        <v>1.004</v>
      </c>
      <c r="N95" s="149">
        <f>IF(E95="","",K95*MFJE)</f>
        <v>1000</v>
      </c>
      <c r="O95" s="147">
        <f>IF(OR(E95="",H95="",M95="",K95="",I95=""),"",IF($H95=CN,P95*M95,K95*MFJE))</f>
        <v>1000</v>
      </c>
      <c r="P95" s="148">
        <f>IF(OR(E95="",H95="",M95="",K95="",I95=""),"",IF(H95=CN,ROUND(N95/M95,-2),(N95-Q95)/M95))</f>
        <v>995.019920318725</v>
      </c>
      <c r="Q95" s="152">
        <f>IF(OR(E95="",H95="",M95="",K95="",I95=""),"",IF(I95=MC,O95*VLOOKUP(E95,基金!$C$5:$M$55,11,0),O95*VLOOKUP(E95,基金!$C$5:$M$55,9,0)))</f>
        <v>1</v>
      </c>
      <c r="R95" s="153" t="s">
        <v>13</v>
      </c>
    </row>
    <row r="96" customHeight="1" spans="3:18">
      <c r="C96" s="139">
        <v>43273</v>
      </c>
      <c r="D96" s="140"/>
      <c r="E96" s="120">
        <v>512880</v>
      </c>
      <c r="F96" s="141"/>
      <c r="G96" s="76" t="str">
        <f>IF($E96="","",VLOOKUP($E96,基金!$C$5:$I$50,3,0))</f>
        <v>证券ETF</v>
      </c>
      <c r="H96" s="142" t="str">
        <f>IF($E96="","",VLOOKUP($E96,基金!$C$5:$I$50,5,0))</f>
        <v>场内</v>
      </c>
      <c r="I96" s="144" t="s">
        <v>32</v>
      </c>
      <c r="J96" s="141"/>
      <c r="K96" s="145">
        <v>1</v>
      </c>
      <c r="L96" s="141"/>
      <c r="M96" s="146">
        <v>0.733</v>
      </c>
      <c r="N96" s="149">
        <f>IF(E96="","",K96*MFJE)</f>
        <v>1000</v>
      </c>
      <c r="O96" s="147">
        <f>IF(OR(E96="",H96="",M96="",K96="",I96=""),"",IF($H96=CN,P96*M96,K96*MFJE))</f>
        <v>1026.2</v>
      </c>
      <c r="P96" s="148">
        <f>IF(OR(E96="",H96="",M96="",K96="",I96=""),"",IF(H96=CN,ROUND(N96/M96,-2),(N96-Q96)/M96))</f>
        <v>1400</v>
      </c>
      <c r="Q96" s="152">
        <f>IF(OR(E96="",H96="",M96="",K96="",I96=""),"",IF(I96=MC,O96*VLOOKUP(E96,基金!$C$5:$M$55,11,0),O96*VLOOKUP(E96,基金!$C$5:$M$55,9,0)))</f>
        <v>0.30786</v>
      </c>
      <c r="R96" s="153" t="str">
        <f>IF($E96="","",VLOOKUP($E96,基金!$C$5:$I$50,7,0))</f>
        <v>华泰证券</v>
      </c>
    </row>
    <row r="97" customHeight="1" spans="3:18">
      <c r="C97" s="139">
        <v>43279</v>
      </c>
      <c r="D97" s="140"/>
      <c r="E97" s="120">
        <v>100038</v>
      </c>
      <c r="F97" s="141"/>
      <c r="G97" s="76" t="str">
        <f>IF($E97="","",VLOOKUP($E97,基金!$C$5:$I$36,3,0))</f>
        <v>富国沪深300指数增强</v>
      </c>
      <c r="H97" s="142" t="str">
        <f>IF($E97="","",VLOOKUP($E97,基金!$C$5:$I$36,5,0))</f>
        <v>场外</v>
      </c>
      <c r="I97" s="144" t="s">
        <v>32</v>
      </c>
      <c r="J97" s="141"/>
      <c r="K97" s="145">
        <v>1</v>
      </c>
      <c r="L97" s="141"/>
      <c r="M97" s="146">
        <v>1.669</v>
      </c>
      <c r="N97" s="149">
        <f>IF(E97="","",K97*MFJE)</f>
        <v>1000</v>
      </c>
      <c r="O97" s="147">
        <f>IF(OR(E97="",H97="",M97="",K97="",I97=""),"",IF($H97=CN,P97*M97,K97*MFJE))</f>
        <v>1000</v>
      </c>
      <c r="P97" s="148">
        <f>IF(OR(E97="",H97="",M97="",K97="",I97=""),"",IF(H97=CN,ROUND(N97/M97,-2),(N97-Q97)/M97))</f>
        <v>598.442180946675</v>
      </c>
      <c r="Q97" s="152">
        <f>IF(OR(E97="",H97="",M97="",K97="",I97=""),"",IF(I97=MC,O97*VLOOKUP(E97,基金!$C$5:$M$55,11,0),O97*VLOOKUP(E97,基金!$C$5:$M$55,9,0)))</f>
        <v>1.2</v>
      </c>
      <c r="R97" s="153" t="str">
        <f>IF($E97="","",VLOOKUP($E97,基金!$C$5:$I$36,7,0))</f>
        <v>华泰证券</v>
      </c>
    </row>
    <row r="98" customHeight="1" spans="3:18">
      <c r="C98" s="139">
        <v>43279</v>
      </c>
      <c r="D98" s="140"/>
      <c r="E98" s="120">
        <v>968</v>
      </c>
      <c r="F98" s="141"/>
      <c r="G98" s="76" t="str">
        <f>IF($E98="","",VLOOKUP($E98,基金!$C$5:$I$36,3,0))</f>
        <v>广发养老指数A</v>
      </c>
      <c r="H98" s="142" t="str">
        <f>IF($E98="","",VLOOKUP($E98,基金!$C$5:$I$36,5,0))</f>
        <v>场外</v>
      </c>
      <c r="I98" s="144" t="s">
        <v>32</v>
      </c>
      <c r="J98" s="141"/>
      <c r="K98" s="145">
        <v>1</v>
      </c>
      <c r="L98" s="141"/>
      <c r="M98" s="146">
        <v>0.998</v>
      </c>
      <c r="N98" s="149">
        <f>IF(E98="","",K98*MFJE)</f>
        <v>1000</v>
      </c>
      <c r="O98" s="147">
        <f>IF(OR(E98="",H98="",M98="",K98="",I98=""),"",IF($H98=CN,P98*M98,K98*MFJE))</f>
        <v>1000</v>
      </c>
      <c r="P98" s="148">
        <f>IF(OR(E98="",H98="",M98="",K98="",I98=""),"",IF(H98=CN,ROUND(N98/M98,-2),(N98-Q98)/M98))</f>
        <v>1000.80160320641</v>
      </c>
      <c r="Q98" s="152">
        <f>IF(OR(E98="",H98="",M98="",K98="",I98=""),"",IF(I98=MC,O98*VLOOKUP(E98,基金!$C$5:$M$55,11,0),O98*VLOOKUP(E98,基金!$C$5:$M$55,9,0)))</f>
        <v>1.2</v>
      </c>
      <c r="R98" s="153" t="s">
        <v>13</v>
      </c>
    </row>
    <row r="99" customHeight="1" spans="3:18">
      <c r="C99" s="139">
        <v>43279</v>
      </c>
      <c r="D99" s="140"/>
      <c r="E99" s="120">
        <v>1469</v>
      </c>
      <c r="F99" s="141"/>
      <c r="G99" s="76" t="str">
        <f>IF($E99="","",VLOOKUP($E99,基金!$C$5:$I$36,3,0))</f>
        <v>广发中证全指金融地产联接A</v>
      </c>
      <c r="H99" s="142" t="str">
        <f>IF($E99="","",VLOOKUP($E99,基金!$C$5:$I$36,5,0))</f>
        <v>场外</v>
      </c>
      <c r="I99" s="144" t="s">
        <v>32</v>
      </c>
      <c r="J99" s="141"/>
      <c r="K99" s="145">
        <v>1</v>
      </c>
      <c r="L99" s="141"/>
      <c r="M99" s="146">
        <v>0.866</v>
      </c>
      <c r="N99" s="149">
        <f>IF(E99="","",K99*MFJE)</f>
        <v>1000</v>
      </c>
      <c r="O99" s="147">
        <f>IF(OR(E99="",H99="",M99="",K99="",I99=""),"",IF($H99=CN,P99*M99,K99*MFJE))</f>
        <v>1000</v>
      </c>
      <c r="P99" s="148">
        <f>IF(OR(E99="",H99="",M99="",K99="",I99=""),"",IF(H99=CN,ROUND(N99/M99,-2),(N99-Q99)/M99))</f>
        <v>1153.34872979215</v>
      </c>
      <c r="Q99" s="152">
        <f>IF(OR(E99="",H99="",M99="",K99="",I99=""),"",IF(I99=MC,O99*VLOOKUP(E99,基金!$C$5:$M$55,11,0),O99*VLOOKUP(E99,基金!$C$5:$M$55,9,0)))</f>
        <v>1.2</v>
      </c>
      <c r="R99" s="153" t="str">
        <f>IF($E99="","",VLOOKUP($E99,基金!$C$5:$I$36,7,0))</f>
        <v>华泰证券</v>
      </c>
    </row>
    <row r="100" customHeight="1" spans="3:18">
      <c r="C100" s="139">
        <v>43279</v>
      </c>
      <c r="D100" s="140"/>
      <c r="E100" s="120">
        <v>1064</v>
      </c>
      <c r="F100" s="141"/>
      <c r="G100" s="76" t="str">
        <f>IF($E100="","",VLOOKUP($E100,基金!$C$5:$I$50,3,0))</f>
        <v>广发环保指数A</v>
      </c>
      <c r="H100" s="142" t="str">
        <f>IF($E100="","",VLOOKUP($E100,基金!$C$5:$I$50,5,0))</f>
        <v>场外</v>
      </c>
      <c r="I100" s="144" t="s">
        <v>32</v>
      </c>
      <c r="J100" s="141"/>
      <c r="K100" s="145">
        <v>1</v>
      </c>
      <c r="L100" s="141"/>
      <c r="M100" s="146">
        <v>0.5915</v>
      </c>
      <c r="N100" s="149">
        <f>IF(E100="","",K100*MFJE)</f>
        <v>1000</v>
      </c>
      <c r="O100" s="147">
        <f>IF(OR(E100="",H100="",M100="",K100="",I100=""),"",IF($H100=CN,P100*M100,K100*MFJE))</f>
        <v>1000</v>
      </c>
      <c r="P100" s="148">
        <f>IF(OR(E100="",H100="",M100="",K100="",I100=""),"",IF(H100=CN,ROUND(N100/M100,-2),(N100-Q100)/M100))</f>
        <v>1688.58833474218</v>
      </c>
      <c r="Q100" s="152">
        <f>IF(OR(E100="",H100="",M100="",K100="",I100=""),"",IF(I100=MC,O100*VLOOKUP(E100,基金!$C$5:$M$55,11,0),O100*VLOOKUP(E100,基金!$C$5:$M$55,9,0)))</f>
        <v>1.2</v>
      </c>
      <c r="R100" s="153" t="s">
        <v>13</v>
      </c>
    </row>
    <row r="101" customHeight="1" spans="3:18">
      <c r="C101" s="139">
        <v>43280</v>
      </c>
      <c r="D101" s="140"/>
      <c r="E101" s="120">
        <v>512880</v>
      </c>
      <c r="F101" s="141"/>
      <c r="G101" s="76" t="str">
        <f>IF($E101="","",VLOOKUP($E101,基金!$C$5:$I$50,3,0))</f>
        <v>证券ETF</v>
      </c>
      <c r="H101" s="142" t="str">
        <f>IF($E101="","",VLOOKUP($E101,基金!$C$5:$I$50,5,0))</f>
        <v>场内</v>
      </c>
      <c r="I101" s="144" t="s">
        <v>33</v>
      </c>
      <c r="J101" s="141"/>
      <c r="K101" s="145">
        <v>1</v>
      </c>
      <c r="L101" s="141"/>
      <c r="M101" s="146">
        <v>0.752</v>
      </c>
      <c r="N101" s="149">
        <f>IF(E101="","",K101*MFJE)</f>
        <v>1000</v>
      </c>
      <c r="O101" s="147">
        <f>IF(OR(E101="",H101="",M101="",K101="",I101=""),"",IF($H101=CN,P101*M101,K101*MFJE))</f>
        <v>1052.8</v>
      </c>
      <c r="P101" s="148">
        <v>1400</v>
      </c>
      <c r="Q101" s="152">
        <f>IF(OR(E101="",H101="",M101="",K101="",I101=""),"",IF(I101=MC,O101*VLOOKUP(E101,基金!$C$5:$M$55,11,0),O101*VLOOKUP(E101,基金!$C$5:$M$55,9,0)))</f>
        <v>0.31584</v>
      </c>
      <c r="R101" s="153" t="str">
        <f>IF($E101="","",VLOOKUP($E101,基金!$C$5:$I$50,7,0))</f>
        <v>华泰证券</v>
      </c>
    </row>
    <row r="102" customHeight="1" spans="3:18">
      <c r="C102" s="139">
        <v>43286</v>
      </c>
      <c r="D102" s="140"/>
      <c r="E102" s="120">
        <v>510050</v>
      </c>
      <c r="F102" s="141"/>
      <c r="G102" s="76" t="str">
        <f>IF($E102="","",VLOOKUP($E102,基金!$C$5:$I$36,3,0))</f>
        <v>50ETF</v>
      </c>
      <c r="H102" s="142" t="str">
        <f>IF($E102="","",VLOOKUP($E102,基金!$C$5:$I$36,5,0))</f>
        <v>场内</v>
      </c>
      <c r="I102" s="144" t="s">
        <v>32</v>
      </c>
      <c r="J102" s="141"/>
      <c r="K102" s="145">
        <v>1</v>
      </c>
      <c r="L102" s="141"/>
      <c r="M102" s="146">
        <v>2.375</v>
      </c>
      <c r="N102" s="149">
        <f>IF(E102="","",K102*MFJE)</f>
        <v>1000</v>
      </c>
      <c r="O102" s="147">
        <f>IF(OR(E102="",H102="",M102="",K102="",I102=""),"",IF($H102=CN,P102*M102,K102*MFJE))</f>
        <v>950</v>
      </c>
      <c r="P102" s="148">
        <f>IF(OR(E102="",H102="",M102="",K102="",I102=""),"",IF(H102=CN,ROUND(N102/M102,-2),(N102-Q102)/M102))</f>
        <v>400</v>
      </c>
      <c r="Q102" s="152">
        <f>IF(OR(E102="",H102="",M102="",K102="",I102=""),"",IF(I102=MC,O102*VLOOKUP(E102,基金!$C$5:$M$55,11,0),O102*VLOOKUP(E102,基金!$C$5:$M$55,9,0)))</f>
        <v>0</v>
      </c>
      <c r="R102" s="153" t="str">
        <f>IF($E102="","",VLOOKUP($E102,基金!$C$5:$I$36,7,0))</f>
        <v>华泰证券</v>
      </c>
    </row>
    <row r="103" customHeight="1" spans="3:18">
      <c r="C103" s="139">
        <v>43286</v>
      </c>
      <c r="D103" s="140"/>
      <c r="E103" s="120">
        <v>3376</v>
      </c>
      <c r="F103" s="141"/>
      <c r="G103" s="76" t="str">
        <f>IF($E103="","",VLOOKUP($E103,基金!$C$5:$I$36,3,0))</f>
        <v>广发中债7-10年国开债指数A</v>
      </c>
      <c r="H103" s="142" t="str">
        <f>IF($E103="","",VLOOKUP($E103,基金!$C$5:$I$36,5,0))</f>
        <v>场外</v>
      </c>
      <c r="I103" s="144" t="s">
        <v>33</v>
      </c>
      <c r="J103" s="141"/>
      <c r="K103" s="145">
        <v>1</v>
      </c>
      <c r="L103" s="141"/>
      <c r="M103" s="146">
        <v>0.9937</v>
      </c>
      <c r="N103" s="149">
        <f>IF(E103="","",K103*MFJE)</f>
        <v>1000</v>
      </c>
      <c r="O103" s="147">
        <v>1000.11</v>
      </c>
      <c r="P103" s="148">
        <v>1007.46</v>
      </c>
      <c r="Q103" s="152">
        <f>IF(OR(E103="",H103="",M103="",K103="",I103=""),"",IF(I103=MC,O103*VLOOKUP(E103,基金!$C$5:$M$55,11,0),O103*VLOOKUP(E103,基金!$C$5:$M$55,9,0)))</f>
        <v>1.00011</v>
      </c>
      <c r="R103" s="153" t="s">
        <v>13</v>
      </c>
    </row>
    <row r="104" customHeight="1" spans="3:18">
      <c r="C104" s="139">
        <v>43287</v>
      </c>
      <c r="D104" s="140"/>
      <c r="E104" s="120">
        <v>100032</v>
      </c>
      <c r="F104" s="141"/>
      <c r="G104" s="76" t="str">
        <f>IF($E104="","",VLOOKUP($E104,基金!$C$5:$I$36,3,0))</f>
        <v>富国中证红利指数增强</v>
      </c>
      <c r="H104" s="142" t="str">
        <f>IF($E104="","",VLOOKUP($E104,基金!$C$5:$I$36,5,0))</f>
        <v>场外</v>
      </c>
      <c r="I104" s="144" t="s">
        <v>32</v>
      </c>
      <c r="J104" s="141"/>
      <c r="K104" s="145">
        <v>1</v>
      </c>
      <c r="L104" s="141"/>
      <c r="M104" s="146">
        <v>1.01</v>
      </c>
      <c r="N104" s="149">
        <f>IF(E104="","",K104*MFJE)</f>
        <v>1000</v>
      </c>
      <c r="O104" s="147">
        <f>IF(OR(E104="",H104="",M104="",K104="",I104=""),"",IF($H104=CN,P104*M104,K104*MFJE))</f>
        <v>1000</v>
      </c>
      <c r="P104" s="148">
        <f>IF(OR(E104="",H104="",M104="",K104="",I104=""),"",IF(H104=CN,ROUND(N104/M104,-2),(N104-Q104)/M104))</f>
        <v>988.613861386139</v>
      </c>
      <c r="Q104" s="152">
        <f>IF(OR(E104="",H104="",M104="",K104="",I104=""),"",IF(I104=MC,O104*VLOOKUP(E104,基金!$C$5:$M$55,11,0),O104*VLOOKUP(E104,基金!$C$5:$M$55,9,0)))</f>
        <v>1.5</v>
      </c>
      <c r="R104" s="153" t="s">
        <v>13</v>
      </c>
    </row>
    <row r="105" customHeight="1" spans="3:18">
      <c r="C105" s="139">
        <v>43297</v>
      </c>
      <c r="D105" s="140"/>
      <c r="E105" s="120">
        <v>512980</v>
      </c>
      <c r="F105" s="141"/>
      <c r="G105" s="76" t="str">
        <f>IF($E105="","",VLOOKUP($E105,基金!$C$5:$I$36,3,0))</f>
        <v>中证传媒</v>
      </c>
      <c r="H105" s="142" t="str">
        <f>IF($E105="","",VLOOKUP($E105,基金!$C$5:$I$36,5,0))</f>
        <v>场内</v>
      </c>
      <c r="I105" s="144" t="s">
        <v>32</v>
      </c>
      <c r="J105" s="141"/>
      <c r="K105" s="145">
        <v>1</v>
      </c>
      <c r="L105" s="141"/>
      <c r="M105" s="146">
        <v>0.817</v>
      </c>
      <c r="N105" s="149">
        <f>IF(E105="","",K105*MFJE)</f>
        <v>1000</v>
      </c>
      <c r="O105" s="147">
        <f>IF(OR(E105="",H105="",M105="",K105="",I105=""),"",IF($H105=CN,P105*M105,K105*MFJE))</f>
        <v>980.4</v>
      </c>
      <c r="P105" s="148">
        <f>IF(OR(E105="",H105="",M105="",K105="",I105=""),"",IF(H105=CN,ROUND(N105/M105,-2),(N105-Q105)/M105))</f>
        <v>1200</v>
      </c>
      <c r="Q105" s="152">
        <f>IF(OR(E105="",H105="",M105="",K105="",I105=""),"",IF(I105=MC,O105*VLOOKUP(E105,基金!$C$5:$M$55,11,0),O105*VLOOKUP(E105,基金!$C$5:$M$55,9,0)))</f>
        <v>0.29412</v>
      </c>
      <c r="R105" s="153" t="str">
        <f>IF($E105="","",VLOOKUP($E105,基金!$C$5:$I$36,7,0))</f>
        <v>华泰证券</v>
      </c>
    </row>
    <row r="106" customHeight="1" spans="3:18">
      <c r="C106" s="139">
        <v>43297</v>
      </c>
      <c r="D106" s="140"/>
      <c r="E106" s="120">
        <v>614</v>
      </c>
      <c r="F106" s="141"/>
      <c r="G106" s="76" t="str">
        <f>IF($E106="","",VLOOKUP($E106,基金!$C$5:$I$36,3,0))</f>
        <v>华安德国30(DAX)联接</v>
      </c>
      <c r="H106" s="142" t="str">
        <f>IF($E106="","",VLOOKUP($E106,基金!$C$5:$I$36,5,0))</f>
        <v>场外</v>
      </c>
      <c r="I106" s="144" t="s">
        <v>32</v>
      </c>
      <c r="J106" s="141"/>
      <c r="K106" s="145">
        <v>1</v>
      </c>
      <c r="L106" s="141"/>
      <c r="M106" s="146">
        <v>1.206</v>
      </c>
      <c r="N106" s="149">
        <f>IF(E106="","",K106*MFJE)</f>
        <v>1000</v>
      </c>
      <c r="O106" s="147">
        <f>IF(OR(E106="",H106="",M106="",K106="",I106=""),"",IF($H106=CN,P106*M106,K106*MFJE))</f>
        <v>1000</v>
      </c>
      <c r="P106" s="148">
        <f>IF(OR(E106="",H106="",M106="",K106="",I106=""),"",IF(H106=CN,ROUND(N106/M106,-2),(N106-Q106)/M106))</f>
        <v>828.192371475954</v>
      </c>
      <c r="Q106" s="152">
        <f>IF(OR(E106="",H106="",M106="",K106="",I106=""),"",IF(I106=MC,O106*VLOOKUP(E106,基金!$C$5:$M$55,11,0),O106*VLOOKUP(E106,基金!$C$5:$M$55,9,0)))</f>
        <v>1.2</v>
      </c>
      <c r="R106" s="153" t="str">
        <f>IF($E106="","",VLOOKUP($E106,基金!$C$5:$I$36,7,0))</f>
        <v>天天基金</v>
      </c>
    </row>
    <row r="107" customHeight="1" spans="3:18">
      <c r="C107" s="139">
        <v>43301</v>
      </c>
      <c r="D107" s="140"/>
      <c r="E107" s="120">
        <v>478</v>
      </c>
      <c r="F107" s="141"/>
      <c r="G107" s="76" t="str">
        <f>IF($E107="","",VLOOKUP($E107,基金!$C$5:$I$36,3,0))</f>
        <v>建信中证500指数增强</v>
      </c>
      <c r="H107" s="142" t="str">
        <f>IF($E107="","",VLOOKUP($E107,基金!$C$5:$I$36,5,0))</f>
        <v>场外</v>
      </c>
      <c r="I107" s="144" t="s">
        <v>32</v>
      </c>
      <c r="J107" s="141"/>
      <c r="K107" s="145">
        <v>1</v>
      </c>
      <c r="L107" s="141"/>
      <c r="M107" s="146">
        <v>1.9914</v>
      </c>
      <c r="N107" s="149">
        <f>IF(E107="","",K107*MFJE)</f>
        <v>1000</v>
      </c>
      <c r="O107" s="147">
        <f>IF(OR(E107="",H107="",M107="",K107="",I107=""),"",IF($H107=CN,P107*M107,K107*MFJE))</f>
        <v>1000</v>
      </c>
      <c r="P107" s="148">
        <f>IF(OR(E107="",H107="",M107="",K107="",I107=""),"",IF(H107=CN,ROUND(N107/M107,-2),(N107-Q107)/M107))</f>
        <v>501.406045997791</v>
      </c>
      <c r="Q107" s="152">
        <f>IF(OR(E107="",H107="",M107="",K107="",I107=""),"",IF(I107=MC,O107*VLOOKUP(E107,基金!$C$5:$M$55,11,0),O107*VLOOKUP(E107,基金!$C$5:$M$55,9,0)))</f>
        <v>1.5</v>
      </c>
      <c r="R107" s="153" t="s">
        <v>13</v>
      </c>
    </row>
    <row r="108" customHeight="1" spans="3:18">
      <c r="C108" s="139">
        <v>43311</v>
      </c>
      <c r="D108" s="140"/>
      <c r="E108" s="120">
        <v>512880</v>
      </c>
      <c r="F108" s="141"/>
      <c r="G108" s="76" t="str">
        <f>IF($E108="","",VLOOKUP($E108,基金!$C$5:$I$50,3,0))</f>
        <v>证券ETF</v>
      </c>
      <c r="H108" s="142" t="str">
        <f>IF($E108="","",VLOOKUP($E108,基金!$C$5:$I$50,5,0))</f>
        <v>场内</v>
      </c>
      <c r="I108" s="144" t="s">
        <v>32</v>
      </c>
      <c r="J108" s="141"/>
      <c r="K108" s="145">
        <v>1</v>
      </c>
      <c r="L108" s="141"/>
      <c r="M108" s="146">
        <v>0.75</v>
      </c>
      <c r="N108" s="149">
        <f>IF(E108="","",K108*MFJE)</f>
        <v>1000</v>
      </c>
      <c r="O108" s="147">
        <f>IF(OR(E108="",H108="",M108="",K108="",I108=""),"",IF($H108=CN,P108*M108,K108*MFJE))</f>
        <v>975</v>
      </c>
      <c r="P108" s="148">
        <f>IF(OR(E108="",H108="",M108="",K108="",I108=""),"",IF(H108=CN,ROUND(N108/M108,-2),(N108-Q108)/M108))</f>
        <v>1300</v>
      </c>
      <c r="Q108" s="152">
        <f>IF(OR(E108="",H108="",M108="",K108="",I108=""),"",IF(I108=MC,O108*VLOOKUP(E108,基金!$C$5:$M$55,11,0),O108*VLOOKUP(E108,基金!$C$5:$M$55,9,0)))</f>
        <v>0.2925</v>
      </c>
      <c r="R108" s="153" t="str">
        <f>IF($E108="","",VLOOKUP($E108,基金!$C$5:$I$50,7,0))</f>
        <v>华泰证券</v>
      </c>
    </row>
    <row r="109" customHeight="1" spans="3:18">
      <c r="C109" s="139">
        <v>43313</v>
      </c>
      <c r="D109" s="140"/>
      <c r="E109" s="120">
        <v>161017</v>
      </c>
      <c r="F109" s="141"/>
      <c r="G109" s="76" t="str">
        <f>IF($E109="","",VLOOKUP($E109,基金!$C$5:$I$50,3,0))</f>
        <v>富国中证500</v>
      </c>
      <c r="H109" s="142" t="str">
        <f>IF($E109="","",VLOOKUP($E109,基金!$C$5:$I$50,5,0))</f>
        <v>场外</v>
      </c>
      <c r="I109" s="144" t="s">
        <v>32</v>
      </c>
      <c r="J109" s="141"/>
      <c r="K109" s="145">
        <v>1</v>
      </c>
      <c r="L109" s="141"/>
      <c r="M109" s="146">
        <v>1.949</v>
      </c>
      <c r="N109" s="149">
        <f>IF(E109="","",K109*MFJE)</f>
        <v>1000</v>
      </c>
      <c r="O109" s="147">
        <f>IF(OR(E109="",H109="",M109="",K109="",I109=""),"",IF($H109=CN,P109*M109,K109*MFJE))</f>
        <v>1000</v>
      </c>
      <c r="P109" s="148">
        <f>IF(OR(E109="",H109="",M109="",K109="",I109=""),"",IF(H109=CN,ROUND(N109/M109,-2),(N109-Q109)/M109))</f>
        <v>512.314007183171</v>
      </c>
      <c r="Q109" s="152">
        <f>IF(OR(E109="",H109="",M109="",K109="",I109=""),"",IF(I109=MC,O109*VLOOKUP(E109,基金!$C$5:$M$55,11,0),O109*VLOOKUP(E109,基金!$C$5:$M$55,9,0)))</f>
        <v>1.5</v>
      </c>
      <c r="R109" s="153" t="str">
        <f>IF($E109="","",VLOOKUP($E109,基金!$C$5:$I$50,7,0))</f>
        <v>华泰证券</v>
      </c>
    </row>
    <row r="110" customHeight="1" spans="3:18">
      <c r="C110" s="139">
        <v>43314</v>
      </c>
      <c r="D110" s="140"/>
      <c r="E110" s="120">
        <v>512880</v>
      </c>
      <c r="F110" s="141"/>
      <c r="G110" s="76" t="str">
        <f>IF($E110="","",VLOOKUP($E110,基金!$C$5:$I$50,3,0))</f>
        <v>证券ETF</v>
      </c>
      <c r="H110" s="142" t="str">
        <f>IF($E110="","",VLOOKUP($E110,基金!$C$5:$I$50,5,0))</f>
        <v>场内</v>
      </c>
      <c r="I110" s="144" t="s">
        <v>32</v>
      </c>
      <c r="J110" s="141"/>
      <c r="K110" s="145">
        <v>1</v>
      </c>
      <c r="L110" s="141"/>
      <c r="M110" s="146">
        <v>0.716</v>
      </c>
      <c r="N110" s="149">
        <f>IF(E110="","",K110*MFJE)</f>
        <v>1000</v>
      </c>
      <c r="O110" s="147">
        <f>IF(OR(E110="",H110="",M110="",K110="",I110=""),"",IF($H110=CN,P110*M110,K110*MFJE))</f>
        <v>1002.4</v>
      </c>
      <c r="P110" s="148">
        <f>IF(OR(E110="",H110="",M110="",K110="",I110=""),"",IF(H110=CN,ROUND(N110/M110,-2),(N110-Q110)/M110))</f>
        <v>1400</v>
      </c>
      <c r="Q110" s="152">
        <f>IF(OR(E110="",H110="",M110="",K110="",I110=""),"",IF(I110=MC,O110*VLOOKUP(E110,基金!$C$5:$M$55,11,0),O110*VLOOKUP(E110,基金!$C$5:$M$55,9,0)))</f>
        <v>0.30072</v>
      </c>
      <c r="R110" s="153" t="str">
        <f>IF($E110="","",VLOOKUP($E110,基金!$C$5:$I$50,7,0))</f>
        <v>华泰证券</v>
      </c>
    </row>
    <row r="111" customHeight="1" spans="3:18">
      <c r="C111" s="139">
        <v>43315</v>
      </c>
      <c r="D111" s="140"/>
      <c r="E111" s="120">
        <v>968</v>
      </c>
      <c r="F111" s="141"/>
      <c r="G111" s="76" t="str">
        <f>IF($E111="","",VLOOKUP($E111,基金!$C$5:$I$36,3,0))</f>
        <v>广发养老指数A</v>
      </c>
      <c r="H111" s="142" t="str">
        <f>IF($E111="","",VLOOKUP($E111,基金!$C$5:$I$36,5,0))</f>
        <v>场外</v>
      </c>
      <c r="I111" s="144" t="s">
        <v>32</v>
      </c>
      <c r="J111" s="141"/>
      <c r="K111" s="145">
        <v>1</v>
      </c>
      <c r="L111" s="141"/>
      <c r="M111" s="146">
        <v>0.9591</v>
      </c>
      <c r="N111" s="149">
        <f>IF(E111="","",K111*MFJE)</f>
        <v>1000</v>
      </c>
      <c r="O111" s="147">
        <f>IF(OR(E111="",H111="",M111="",K111="",I111=""),"",IF($H111=CN,P111*M111,K111*MFJE))</f>
        <v>1000</v>
      </c>
      <c r="P111" s="148">
        <f>IF(OR(E111="",H111="",M111="",K111="",I111=""),"",IF(H111=CN,ROUND(N111/M111,-2),(N111-Q111)/M111))</f>
        <v>1041.39297257846</v>
      </c>
      <c r="Q111" s="152">
        <f>IF(OR(E111="",H111="",M111="",K111="",I111=""),"",IF(I111=MC,O111*VLOOKUP(E111,基金!$C$5:$M$55,11,0),O111*VLOOKUP(E111,基金!$C$5:$M$55,9,0)))</f>
        <v>1.2</v>
      </c>
      <c r="R111" s="153" t="s">
        <v>13</v>
      </c>
    </row>
    <row r="112" customHeight="1" spans="3:18">
      <c r="C112" s="139">
        <v>43318</v>
      </c>
      <c r="D112" s="140"/>
      <c r="E112" s="120">
        <v>159938</v>
      </c>
      <c r="F112" s="141"/>
      <c r="G112" s="76" t="str">
        <f>IF($E112="","",VLOOKUP($E112,基金!$C$5:$I$36,3,0))</f>
        <v>广发医药</v>
      </c>
      <c r="H112" s="142" t="str">
        <f>IF($E112="","",VLOOKUP($E112,基金!$C$5:$I$36,5,0))</f>
        <v>场内</v>
      </c>
      <c r="I112" s="144" t="s">
        <v>32</v>
      </c>
      <c r="J112" s="141"/>
      <c r="K112" s="145">
        <v>1</v>
      </c>
      <c r="L112" s="141"/>
      <c r="M112" s="146">
        <v>1.26</v>
      </c>
      <c r="N112" s="149">
        <f>IF(E112="","",K112*MFJE)</f>
        <v>1000</v>
      </c>
      <c r="O112" s="147">
        <f>IF(OR(E112="",H112="",M112="",K112="",I112=""),"",IF($H112=CN,P112*M112,K112*MFJE))</f>
        <v>1008</v>
      </c>
      <c r="P112" s="148">
        <f>IF(OR(E112="",H112="",M112="",K112="",I112=""),"",IF(H112=CN,ROUND(N112/M112,-2),(N112-Q112)/M112))</f>
        <v>800</v>
      </c>
      <c r="Q112" s="152">
        <f>IF(OR(E112="",H112="",M112="",K112="",I112=""),"",IF(I112=MC,O112*VLOOKUP(E112,基金!$C$5:$M$55,11,0),O112*VLOOKUP(E112,基金!$C$5:$M$55,9,0)))</f>
        <v>0.3024</v>
      </c>
      <c r="R112" s="153" t="str">
        <f>IF($E112="","",VLOOKUP($E112,基金!$C$5:$I$36,7,0))</f>
        <v>华泰证券</v>
      </c>
    </row>
    <row r="113" customHeight="1" spans="3:18">
      <c r="C113" s="139">
        <v>43318</v>
      </c>
      <c r="D113" s="140"/>
      <c r="E113" s="120">
        <v>3376</v>
      </c>
      <c r="F113" s="141"/>
      <c r="G113" s="76" t="str">
        <f>IF($E113="","",VLOOKUP($E113,基金!$C$5:$I$36,3,0))</f>
        <v>广发中债7-10年国开债指数A</v>
      </c>
      <c r="H113" s="142" t="str">
        <f>IF($E113="","",VLOOKUP($E113,基金!$C$5:$I$36,5,0))</f>
        <v>场外</v>
      </c>
      <c r="I113" s="144" t="s">
        <v>33</v>
      </c>
      <c r="J113" s="141"/>
      <c r="K113" s="145">
        <v>1</v>
      </c>
      <c r="L113" s="141"/>
      <c r="M113" s="146">
        <v>1.0019</v>
      </c>
      <c r="N113" s="149">
        <f>IF(E113="","",K113*MFJE)</f>
        <v>1000</v>
      </c>
      <c r="O113" s="147">
        <v>1141.44</v>
      </c>
      <c r="P113" s="148">
        <v>1140.41</v>
      </c>
      <c r="Q113" s="152">
        <f>IF(OR(E113="",H113="",M113="",K113="",I113=""),"",IF(I113=MC,O113*VLOOKUP(E113,基金!$C$5:$M$55,11,0),O113*VLOOKUP(E113,基金!$C$5:$M$55,9,0)))</f>
        <v>1.14144</v>
      </c>
      <c r="R113" s="153" t="s">
        <v>13</v>
      </c>
    </row>
    <row r="114" customHeight="1" spans="3:18">
      <c r="C114" s="139">
        <v>43318</v>
      </c>
      <c r="D114" s="140"/>
      <c r="E114" s="120">
        <v>510500</v>
      </c>
      <c r="F114" s="141"/>
      <c r="G114" s="76" t="str">
        <f>IF($E114="","",VLOOKUP($E114,基金!$C$5:$I$36,3,0))</f>
        <v>500ETF</v>
      </c>
      <c r="H114" s="142" t="str">
        <f>IF($E114="","",VLOOKUP($E114,基金!$C$5:$I$36,5,0))</f>
        <v>场内</v>
      </c>
      <c r="I114" s="144" t="s">
        <v>32</v>
      </c>
      <c r="J114" s="141"/>
      <c r="K114" s="145">
        <v>1</v>
      </c>
      <c r="L114" s="141"/>
      <c r="M114" s="146">
        <v>5.115</v>
      </c>
      <c r="N114" s="149">
        <f>IF(E114="","",K114*MFJE)</f>
        <v>1000</v>
      </c>
      <c r="O114" s="147">
        <f>IF(OR(E114="",H114="",M114="",K114="",I114=""),"",IF($H114=CN,P114*M114,K114*MFJE))</f>
        <v>1023</v>
      </c>
      <c r="P114" s="148">
        <f>IF(OR(E114="",H114="",M114="",K114="",I114=""),"",IF(H114=CN,ROUND(N114/M114,-2),(N114-Q114)/M114))</f>
        <v>200</v>
      </c>
      <c r="Q114" s="152">
        <f>IF(OR(E114="",H114="",M114="",K114="",I114=""),"",IF(I114=MC,O114*VLOOKUP(E114,基金!$C$5:$M$55,11,0),O114*VLOOKUP(E114,基金!$C$5:$M$55,9,0)))</f>
        <v>0.3069</v>
      </c>
      <c r="R114" s="153" t="str">
        <f>IF($E114="","",VLOOKUP($E114,基金!$C$5:$I$36,7,0))</f>
        <v>华泰证券</v>
      </c>
    </row>
    <row r="115" customHeight="1" spans="3:18">
      <c r="C115" s="139">
        <v>43318</v>
      </c>
      <c r="D115" s="140"/>
      <c r="E115" s="120">
        <v>100038</v>
      </c>
      <c r="F115" s="141"/>
      <c r="G115" s="76" t="str">
        <f>IF($E115="","",VLOOKUP($E115,基金!$C$5:$I$36,3,0))</f>
        <v>富国沪深300指数增强</v>
      </c>
      <c r="H115" s="142" t="str">
        <f>IF($E115="","",VLOOKUP($E115,基金!$C$5:$I$36,5,0))</f>
        <v>场外</v>
      </c>
      <c r="I115" s="144" t="s">
        <v>32</v>
      </c>
      <c r="J115" s="141"/>
      <c r="K115" s="145">
        <v>1</v>
      </c>
      <c r="L115" s="141"/>
      <c r="M115" s="146">
        <v>1.627</v>
      </c>
      <c r="N115" s="149">
        <f>IF(E115="","",K115*MFJE)</f>
        <v>1000</v>
      </c>
      <c r="O115" s="147">
        <f>IF(OR(E115="",H115="",M115="",K115="",I115=""),"",IF($H115=CN,P115*M115,K115*MFJE))</f>
        <v>1000</v>
      </c>
      <c r="P115" s="148">
        <f>IF(OR(E115="",H115="",M115="",K115="",I115=""),"",IF(H115=CN,ROUND(N115/M115,-2),(N115-Q115)/M115))</f>
        <v>613.890596189305</v>
      </c>
      <c r="Q115" s="152">
        <f>IF(OR(E115="",H115="",M115="",K115="",I115=""),"",IF(I115=MC,O115*VLOOKUP(E115,基金!$C$5:$M$55,11,0),O115*VLOOKUP(E115,基金!$C$5:$M$55,9,0)))</f>
        <v>1.2</v>
      </c>
      <c r="R115" s="153" t="str">
        <f>IF($E115="","",VLOOKUP($E115,基金!$C$5:$I$36,7,0))</f>
        <v>华泰证券</v>
      </c>
    </row>
    <row r="116" customHeight="1" spans="3:18">
      <c r="C116" s="139">
        <v>43321</v>
      </c>
      <c r="D116" s="140"/>
      <c r="E116" s="120">
        <v>510500</v>
      </c>
      <c r="F116" s="141"/>
      <c r="G116" s="76" t="str">
        <f>IF($E116="","",VLOOKUP($E116,基金!$C$5:$I$36,3,0))</f>
        <v>500ETF</v>
      </c>
      <c r="H116" s="142" t="str">
        <f>IF($E116="","",VLOOKUP($E116,基金!$C$5:$I$36,5,0))</f>
        <v>场内</v>
      </c>
      <c r="I116" s="144" t="s">
        <v>33</v>
      </c>
      <c r="J116" s="141"/>
      <c r="K116" s="145">
        <v>1</v>
      </c>
      <c r="L116" s="141"/>
      <c r="M116" s="146">
        <v>5.325</v>
      </c>
      <c r="N116" s="149">
        <f>IF(E116="","",K116*MFJE)</f>
        <v>1000</v>
      </c>
      <c r="O116" s="147">
        <f>IF(OR(E116="",H116="",M116="",K116="",I116=""),"",IF($H116=CN,P116*M116,K116*MFJE))</f>
        <v>1065</v>
      </c>
      <c r="P116" s="148">
        <f>IF(OR(E116="",H116="",M116="",K116="",I116=""),"",IF(H116=CN,ROUND(N116/M116,-2),(N116-Q116)/M116))</f>
        <v>200</v>
      </c>
      <c r="Q116" s="152">
        <f>IF(OR(E116="",H116="",M116="",K116="",I116=""),"",IF(I116=MC,O116*VLOOKUP(E116,基金!$C$5:$M$55,11,0),O116*VLOOKUP(E116,基金!$C$5:$M$55,9,0)))</f>
        <v>0.3195</v>
      </c>
      <c r="R116" s="153" t="str">
        <f>IF($E116="","",VLOOKUP($E116,基金!$C$5:$I$36,7,0))</f>
        <v>华泰证券</v>
      </c>
    </row>
    <row r="117" customHeight="1" spans="3:18">
      <c r="C117" s="139">
        <v>43327</v>
      </c>
      <c r="D117" s="140"/>
      <c r="E117" s="120">
        <v>100032</v>
      </c>
      <c r="F117" s="141"/>
      <c r="G117" s="76" t="str">
        <f>IF($E117="","",VLOOKUP($E117,基金!$C$5:$I$50,3,0))</f>
        <v>富国中证红利指数增强</v>
      </c>
      <c r="H117" s="142" t="str">
        <f>IF($E117="","",VLOOKUP($E117,基金!$C$5:$I$50,5,0))</f>
        <v>场外</v>
      </c>
      <c r="I117" s="144" t="s">
        <v>32</v>
      </c>
      <c r="J117" s="141"/>
      <c r="K117" s="145">
        <v>1</v>
      </c>
      <c r="L117" s="141"/>
      <c r="M117" s="146">
        <v>1.008</v>
      </c>
      <c r="N117" s="149">
        <f>IF(E117="","",K117*MFJE)</f>
        <v>1000</v>
      </c>
      <c r="O117" s="147">
        <f>IF(OR(E117="",H117="",M117="",K117="",I117=""),"",IF($H117=CN,P117*M117,K117*MFJE))</f>
        <v>1000</v>
      </c>
      <c r="P117" s="148">
        <f>IF(OR(E117="",H117="",M117="",K117="",I117=""),"",IF(H117=CN,ROUND(N117/M117,-2),(N117-Q117)/M117))</f>
        <v>990.575396825397</v>
      </c>
      <c r="Q117" s="152">
        <f>IF(OR(E117="",H117="",M117="",K117="",I117=""),"",IF(I117=MC,O117*VLOOKUP(E117,基金!$C$5:$M$55,11,0),O117*VLOOKUP(E117,基金!$C$5:$M$55,9,0)))</f>
        <v>1.5</v>
      </c>
      <c r="R117" s="153" t="s">
        <v>13</v>
      </c>
    </row>
    <row r="118" customHeight="1" spans="3:18">
      <c r="C118" s="139">
        <v>43329</v>
      </c>
      <c r="D118" s="140"/>
      <c r="E118" s="120">
        <v>510500</v>
      </c>
      <c r="F118" s="141"/>
      <c r="G118" s="76" t="str">
        <f>IF($E118="","",VLOOKUP($E118,基金!$C$5:$I$50,3,0))</f>
        <v>500ETF</v>
      </c>
      <c r="H118" s="142" t="str">
        <f>IF($E118="","",VLOOKUP($E118,基金!$C$5:$I$50,5,0))</f>
        <v>场内</v>
      </c>
      <c r="I118" s="144" t="s">
        <v>32</v>
      </c>
      <c r="J118" s="141"/>
      <c r="K118" s="145">
        <v>1</v>
      </c>
      <c r="L118" s="141"/>
      <c r="M118" s="146">
        <v>5.1</v>
      </c>
      <c r="N118" s="149">
        <f>IF(E118="","",K118*MFJE)</f>
        <v>1000</v>
      </c>
      <c r="O118" s="147">
        <f>IF(OR(E118="",H118="",M118="",K118="",I118=""),"",IF($H118=CN,P118*M118,K118*MFJE))</f>
        <v>1020</v>
      </c>
      <c r="P118" s="148">
        <f>IF(OR(E118="",H118="",M118="",K118="",I118=""),"",IF(H118=CN,ROUND(N118/M118,-2),(N118-Q118)/M118))</f>
        <v>200</v>
      </c>
      <c r="Q118" s="152">
        <f>IF(OR(E118="",H118="",M118="",K118="",I118=""),"",IF(I118=MC,O118*VLOOKUP(E118,基金!$C$5:$M$55,11,0),O118*VLOOKUP(E118,基金!$C$5:$M$55,9,0)))</f>
        <v>0.306</v>
      </c>
      <c r="R118" s="153" t="str">
        <f>IF($E118="","",VLOOKUP($E118,基金!$C$5:$I$50,7,0))</f>
        <v>华泰证券</v>
      </c>
    </row>
    <row r="119" customHeight="1" spans="3:18">
      <c r="C119" s="139">
        <v>43332</v>
      </c>
      <c r="D119" s="140"/>
      <c r="E119" s="120">
        <v>968</v>
      </c>
      <c r="F119" s="141"/>
      <c r="G119" s="76" t="str">
        <f>IF($E119="","",VLOOKUP($E119,基金!$C$5:$I$50,3,0))</f>
        <v>广发养老指数A</v>
      </c>
      <c r="H119" s="142" t="str">
        <f>IF($E119="","",VLOOKUP($E119,基金!$C$5:$I$50,5,0))</f>
        <v>场外</v>
      </c>
      <c r="I119" s="144" t="s">
        <v>32</v>
      </c>
      <c r="J119" s="141"/>
      <c r="K119" s="145">
        <v>1</v>
      </c>
      <c r="L119" s="141"/>
      <c r="M119" s="146">
        <v>0.8968</v>
      </c>
      <c r="N119" s="149">
        <f>IF(E119="","",K119*MFJE)</f>
        <v>1000</v>
      </c>
      <c r="O119" s="147">
        <f>IF(OR(E119="",H119="",M119="",K119="",I119=""),"",IF($H119=CN,P119*M119,K119*MFJE))</f>
        <v>1000</v>
      </c>
      <c r="P119" s="148">
        <f>IF(OR(E119="",H119="",M119="",K119="",I119=""),"",IF(H119=CN,ROUND(N119/M119,-2),(N119-Q119)/M119))</f>
        <v>1113.73773416592</v>
      </c>
      <c r="Q119" s="152">
        <f>IF(OR(E119="",H119="",M119="",K119="",I119=""),"",IF(I119=MC,O119*VLOOKUP(E119,基金!$C$5:$M$55,11,0),O119*VLOOKUP(E119,基金!$C$5:$M$55,9,0)))</f>
        <v>1.2</v>
      </c>
      <c r="R119" s="153" t="s">
        <v>13</v>
      </c>
    </row>
    <row r="120" customHeight="1" spans="3:18">
      <c r="C120" s="139">
        <v>43332</v>
      </c>
      <c r="D120" s="140"/>
      <c r="E120" s="120">
        <v>512980</v>
      </c>
      <c r="F120" s="141"/>
      <c r="G120" s="76" t="str">
        <f>IF($E120="","",VLOOKUP($E120,基金!$C$5:$I$50,3,0))</f>
        <v>中证传媒</v>
      </c>
      <c r="H120" s="142" t="str">
        <f>IF($E120="","",VLOOKUP($E120,基金!$C$5:$I$50,5,0))</f>
        <v>场内</v>
      </c>
      <c r="I120" s="144" t="s">
        <v>32</v>
      </c>
      <c r="J120" s="141"/>
      <c r="K120" s="145">
        <v>0.72</v>
      </c>
      <c r="L120" s="141"/>
      <c r="M120" s="146">
        <v>0.72</v>
      </c>
      <c r="N120" s="149">
        <f>IF(E120="","",K120*MFJE)</f>
        <v>720</v>
      </c>
      <c r="O120" s="147">
        <f>IF(OR(E120="",H120="",M120="",K120="",I120=""),"",IF($H120=CN,P120*M120,K120*MFJE))</f>
        <v>1008</v>
      </c>
      <c r="P120" s="148">
        <v>1400</v>
      </c>
      <c r="Q120" s="152">
        <f>IF(OR(E120="",H120="",M120="",K120="",I120=""),"",IF(I120=MC,O120*VLOOKUP(E120,基金!$C$5:$M$55,11,0),O120*VLOOKUP(E120,基金!$C$5:$M$55,9,0)))</f>
        <v>0.3024</v>
      </c>
      <c r="R120" s="153" t="str">
        <f>IF($E120="","",VLOOKUP($E120,基金!$C$5:$I$50,7,0))</f>
        <v>华泰证券</v>
      </c>
    </row>
    <row r="121" customHeight="1" spans="3:18">
      <c r="C121" s="139">
        <v>43332</v>
      </c>
      <c r="D121" s="140"/>
      <c r="E121" s="120">
        <v>162411</v>
      </c>
      <c r="F121" s="141"/>
      <c r="G121" s="76" t="str">
        <f>IF($E121="","",VLOOKUP($E121,基金!$C$5:$I$50,3,0))</f>
        <v>华宝油气</v>
      </c>
      <c r="H121" s="142" t="str">
        <f>IF($E121="","",VLOOKUP($E121,基金!$C$5:$I$50,5,0))</f>
        <v>场内</v>
      </c>
      <c r="I121" s="144" t="s">
        <v>33</v>
      </c>
      <c r="J121" s="141"/>
      <c r="K121" s="145">
        <v>1</v>
      </c>
      <c r="L121" s="141"/>
      <c r="M121" s="146">
        <v>0.666</v>
      </c>
      <c r="N121" s="149">
        <f>IF(E121="","",K121*MFJE)</f>
        <v>1000</v>
      </c>
      <c r="O121" s="147">
        <f>IF(OR(E121="",H121="",M121="",K121="",I121=""),"",IF($H121=CN,P121*M121,K121*MFJE))</f>
        <v>1465.2</v>
      </c>
      <c r="P121" s="148">
        <v>2200</v>
      </c>
      <c r="Q121" s="152">
        <f>IF(OR(E121="",H121="",M121="",K121="",I121=""),"",IF(I121=MC,O121*VLOOKUP(E121,基金!$C$5:$M$55,11,0),O121*VLOOKUP(E121,基金!$C$5:$M$55,9,0)))</f>
        <v>0.43956</v>
      </c>
      <c r="R121" s="153" t="str">
        <f>IF($E121="","",VLOOKUP($E121,基金!$C$5:$I$50,7,0))</f>
        <v>华泰证券</v>
      </c>
    </row>
    <row r="122" customHeight="1" spans="3:18">
      <c r="C122" s="139">
        <v>43332</v>
      </c>
      <c r="D122" s="140"/>
      <c r="E122" s="120">
        <v>50027</v>
      </c>
      <c r="F122" s="141"/>
      <c r="G122" s="76" t="str">
        <f>IF($E122="","",VLOOKUP($E122,基金!$C$5:$I$50,3,0))</f>
        <v>博时信用债纯债债券A</v>
      </c>
      <c r="H122" s="142" t="str">
        <f>IF($E122="","",VLOOKUP($E122,基金!$C$5:$I$50,5,0))</f>
        <v>场外</v>
      </c>
      <c r="I122" s="144" t="s">
        <v>33</v>
      </c>
      <c r="J122" s="141"/>
      <c r="K122" s="145">
        <v>1</v>
      </c>
      <c r="L122" s="141"/>
      <c r="M122" s="146">
        <v>1.074</v>
      </c>
      <c r="N122" s="149">
        <f>IF(E122="","",K122*MFJE)</f>
        <v>1000</v>
      </c>
      <c r="O122" s="147">
        <v>996.85</v>
      </c>
      <c r="P122" s="148">
        <v>934.71</v>
      </c>
      <c r="Q122" s="152">
        <f>IF(OR(E122="",H122="",M122="",K122="",I122=""),"",IF(I122=MC,O122*VLOOKUP(E122,基金!$C$5:$M$55,11,0),O122*VLOOKUP(E122,基金!$C$5:$M$55,9,0)))</f>
        <v>0</v>
      </c>
      <c r="R122" s="153" t="str">
        <f>IF($E122="","",VLOOKUP($E122,基金!$C$5:$I$50,7,0))</f>
        <v>天天基金</v>
      </c>
    </row>
    <row r="123" customHeight="1" spans="3:18">
      <c r="C123" s="139">
        <v>43339</v>
      </c>
      <c r="D123" s="140"/>
      <c r="E123" s="120">
        <v>512880</v>
      </c>
      <c r="F123" s="141"/>
      <c r="G123" s="76" t="str">
        <f>IF($E123="","",VLOOKUP($E123,基金!$C$5:$I$50,3,0))</f>
        <v>证券ETF</v>
      </c>
      <c r="H123" s="142" t="str">
        <f>IF($E123="","",VLOOKUP($E123,基金!$C$5:$I$50,5,0))</f>
        <v>场内</v>
      </c>
      <c r="I123" s="144" t="s">
        <v>33</v>
      </c>
      <c r="J123" s="141"/>
      <c r="K123" s="145">
        <v>1</v>
      </c>
      <c r="L123" s="141"/>
      <c r="M123" s="146">
        <v>0.734</v>
      </c>
      <c r="N123" s="149">
        <f>IF(E123="","",K123*MFJE)</f>
        <v>1000</v>
      </c>
      <c r="O123" s="147">
        <f>IF(OR(E123="",H123="",M123="",K123="",I123=""),"",IF($H123=CN,P123*M123,K123*MFJE))</f>
        <v>1027.6</v>
      </c>
      <c r="P123" s="148">
        <f>IF(OR(E123="",H123="",M123="",K123="",I123=""),"",IF(H123=CN,ROUND(N123/M123,-2),(N123-Q123)/M123))</f>
        <v>1400</v>
      </c>
      <c r="Q123" s="152">
        <f>IF(OR(E123="",H123="",M123="",K123="",I123=""),"",IF(I123=MC,O123*VLOOKUP(E123,基金!$C$5:$M$55,11,0),O123*VLOOKUP(E123,基金!$C$5:$M$55,9,0)))</f>
        <v>0.30828</v>
      </c>
      <c r="R123" s="153" t="str">
        <f>IF($E123="","",VLOOKUP($E123,基金!$C$5:$I$50,7,0))</f>
        <v>华泰证券</v>
      </c>
    </row>
    <row r="124" customHeight="1" spans="3:18">
      <c r="C124" s="139">
        <v>43346</v>
      </c>
      <c r="D124" s="140"/>
      <c r="E124" s="120">
        <v>100038</v>
      </c>
      <c r="F124" s="141"/>
      <c r="G124" s="76" t="str">
        <f>IF($E124="","",VLOOKUP($E124,基金!$C$5:$I$50,3,0))</f>
        <v>富国沪深300指数增强</v>
      </c>
      <c r="H124" s="142" t="str">
        <f>IF($E124="","",VLOOKUP($E124,基金!$C$5:$I$50,5,0))</f>
        <v>场外</v>
      </c>
      <c r="I124" s="144" t="s">
        <v>32</v>
      </c>
      <c r="J124" s="141"/>
      <c r="K124" s="145">
        <v>1</v>
      </c>
      <c r="L124" s="141"/>
      <c r="M124" s="146">
        <v>1.654</v>
      </c>
      <c r="N124" s="149">
        <f>IF(E124="","",K124*MFJE)</f>
        <v>1000</v>
      </c>
      <c r="O124" s="147">
        <f>IF(OR(E124="",H124="",M124="",K124="",I124=""),"",IF($H124=CN,P124*M124,K124*MFJE))</f>
        <v>1000</v>
      </c>
      <c r="P124" s="148">
        <f>IF(OR(E124="",H124="",M124="",K124="",I124=""),"",IF(H124=CN,ROUND(N124/M124,-2),(N124-Q124)/M124))</f>
        <v>603.869407496977</v>
      </c>
      <c r="Q124" s="152">
        <f>IF(OR(E124="",H124="",M124="",K124="",I124=""),"",IF(I124=MC,O124*VLOOKUP(E124,基金!$C$5:$M$55,11,0),O124*VLOOKUP(E124,基金!$C$5:$M$55,9,0)))</f>
        <v>1.2</v>
      </c>
      <c r="R124" s="153" t="str">
        <f>IF($E124="","",VLOOKUP($E124,基金!$C$5:$I$50,7,0))</f>
        <v>华泰证券</v>
      </c>
    </row>
    <row r="125" customHeight="1" spans="3:18">
      <c r="C125" s="139">
        <v>43346</v>
      </c>
      <c r="D125" s="140"/>
      <c r="E125" s="120">
        <v>161017</v>
      </c>
      <c r="F125" s="141"/>
      <c r="G125" s="76" t="str">
        <f>IF($E125="","",VLOOKUP($E125,基金!$C$5:$I$50,3,0))</f>
        <v>富国中证500</v>
      </c>
      <c r="H125" s="142" t="str">
        <f>IF($E125="","",VLOOKUP($E125,基金!$C$5:$I$50,5,0))</f>
        <v>场外</v>
      </c>
      <c r="I125" s="144" t="s">
        <v>32</v>
      </c>
      <c r="J125" s="141"/>
      <c r="K125" s="145">
        <v>1</v>
      </c>
      <c r="L125" s="141"/>
      <c r="M125" s="146">
        <v>1.863</v>
      </c>
      <c r="N125" s="149">
        <f>IF(E125="","",K125*MFJE)</f>
        <v>1000</v>
      </c>
      <c r="O125" s="147">
        <f>IF(OR(E125="",H125="",M125="",K125="",I125=""),"",IF($H125=CN,P125*M125,K125*MFJE))</f>
        <v>1000</v>
      </c>
      <c r="P125" s="148">
        <f>IF(OR(E125="",H125="",M125="",K125="",I125=""),"",IF(H125=CN,ROUND(N125/M125,-2),(N125-Q125)/M125))</f>
        <v>535.963499731616</v>
      </c>
      <c r="Q125" s="152">
        <f>IF(OR(E125="",H125="",M125="",K125="",I125=""),"",IF(I125=MC,O125*VLOOKUP(E125,基金!$C$5:$M$55,11,0),O125*VLOOKUP(E125,基金!$C$5:$M$55,9,0)))</f>
        <v>1.5</v>
      </c>
      <c r="R125" s="153" t="str">
        <f>IF($E125="","",VLOOKUP($E125,基金!$C$5:$I$50,7,0))</f>
        <v>华泰证券</v>
      </c>
    </row>
    <row r="126" customHeight="1" spans="3:18">
      <c r="C126" s="139">
        <v>43348</v>
      </c>
      <c r="D126" s="140"/>
      <c r="E126" s="120">
        <v>513050</v>
      </c>
      <c r="F126" s="141"/>
      <c r="G126" s="76" t="str">
        <f>IF($E126="","",VLOOKUP($E126,基金!$C$5:$I$50,3,0))</f>
        <v>中概互联</v>
      </c>
      <c r="H126" s="142" t="str">
        <f>IF($E126="","",VLOOKUP($E126,基金!$C$5:$I$50,5,0))</f>
        <v>场内</v>
      </c>
      <c r="I126" s="144" t="s">
        <v>32</v>
      </c>
      <c r="J126" s="141"/>
      <c r="K126" s="145">
        <v>1</v>
      </c>
      <c r="L126" s="141"/>
      <c r="M126" s="146">
        <v>1.322</v>
      </c>
      <c r="N126" s="149">
        <f>IF(E126="","",K126*MFJE)</f>
        <v>1000</v>
      </c>
      <c r="O126" s="147">
        <f>IF(OR(E126="",H126="",M126="",K126="",I126=""),"",IF($H126=CN,P126*M126,K126*MFJE))</f>
        <v>1057.6</v>
      </c>
      <c r="P126" s="148">
        <f>IF(OR(E126="",H126="",M126="",K126="",I126=""),"",IF(H126=CN,ROUND(N126/M126,-2),(N126-Q126)/M126))</f>
        <v>800</v>
      </c>
      <c r="Q126" s="152">
        <f>IF(OR(E126="",H126="",M126="",K126="",I126=""),"",IF(I126=MC,O126*VLOOKUP(E126,基金!$C$5:$M$55,11,0),O126*VLOOKUP(E126,基金!$C$5:$M$55,9,0)))</f>
        <v>0.31728</v>
      </c>
      <c r="R126" s="153" t="str">
        <f>IF($E126="","",VLOOKUP($E126,基金!$C$5:$I$50,7,0))</f>
        <v>华泰证券</v>
      </c>
    </row>
    <row r="127" customHeight="1" spans="3:18">
      <c r="C127" s="139">
        <v>43353</v>
      </c>
      <c r="D127" s="140"/>
      <c r="E127" s="120">
        <v>512880</v>
      </c>
      <c r="F127" s="141"/>
      <c r="G127" s="76" t="str">
        <f>IF($E127="","",VLOOKUP($E127,基金!$C$5:$I$50,3,0))</f>
        <v>证券ETF</v>
      </c>
      <c r="H127" s="142" t="str">
        <f>IF($E127="","",VLOOKUP($E127,基金!$C$5:$I$50,5,0))</f>
        <v>场内</v>
      </c>
      <c r="I127" s="144" t="s">
        <v>32</v>
      </c>
      <c r="J127" s="141"/>
      <c r="K127" s="145">
        <v>1</v>
      </c>
      <c r="L127" s="141"/>
      <c r="M127" s="146">
        <v>0.697</v>
      </c>
      <c r="N127" s="149">
        <f>IF(E127="","",K127*MFJE)</f>
        <v>1000</v>
      </c>
      <c r="O127" s="147">
        <f>IF(OR(E127="",H127="",M127="",K127="",I127=""),"",IF($H127=CN,P127*M127,K127*MFJE))</f>
        <v>1045.5</v>
      </c>
      <c r="P127" s="148">
        <v>1500</v>
      </c>
      <c r="Q127" s="152">
        <f>IF(OR(E127="",H127="",M127="",K127="",I127=""),"",IF(I127=MC,O127*VLOOKUP(E127,基金!$C$5:$M$55,11,0),O127*VLOOKUP(E127,基金!$C$5:$M$55,9,0)))</f>
        <v>0.31365</v>
      </c>
      <c r="R127" s="153" t="str">
        <f>IF($E127="","",VLOOKUP($E127,基金!$C$5:$I$50,7,0))</f>
        <v>华泰证券</v>
      </c>
    </row>
    <row r="128" customHeight="1" spans="3:18">
      <c r="C128" s="139">
        <v>43353</v>
      </c>
      <c r="D128" s="140"/>
      <c r="E128" s="120">
        <v>512980</v>
      </c>
      <c r="F128" s="141"/>
      <c r="G128" s="76" t="str">
        <f>IF($E128="","",VLOOKUP($E128,基金!$C$5:$I$50,3,0))</f>
        <v>中证传媒</v>
      </c>
      <c r="H128" s="142" t="str">
        <f>IF($E128="","",VLOOKUP($E128,基金!$C$5:$I$50,5,0))</f>
        <v>场内</v>
      </c>
      <c r="I128" s="144" t="s">
        <v>32</v>
      </c>
      <c r="J128" s="141"/>
      <c r="K128" s="145">
        <v>1</v>
      </c>
      <c r="L128" s="141"/>
      <c r="M128" s="146">
        <v>0.71</v>
      </c>
      <c r="N128" s="149">
        <f>IF(E128="","",K128*MFJE)</f>
        <v>1000</v>
      </c>
      <c r="O128" s="147">
        <f>IF(OR(E128="",H128="",M128="",K128="",I128=""),"",IF($H128=CN,P128*M128,K128*MFJE))</f>
        <v>994</v>
      </c>
      <c r="P128" s="148">
        <f>IF(OR(E128="",H128="",M128="",K128="",I128=""),"",IF(H128=CN,ROUND(N128/M128,-2),(N128-Q128)/M128))</f>
        <v>1400</v>
      </c>
      <c r="Q128" s="152">
        <f>IF(OR(E128="",H128="",M128="",K128="",I128=""),"",IF(I128=MC,O128*VLOOKUP(E128,基金!$C$5:$M$55,11,0),O128*VLOOKUP(E128,基金!$C$5:$M$55,9,0)))</f>
        <v>0.2982</v>
      </c>
      <c r="R128" s="153" t="str">
        <f>IF($E128="","",VLOOKUP($E128,基金!$C$5:$I$50,7,0))</f>
        <v>华泰证券</v>
      </c>
    </row>
    <row r="129" customHeight="1" spans="3:18">
      <c r="C129" s="139">
        <v>43357</v>
      </c>
      <c r="D129" s="140"/>
      <c r="E129" s="120">
        <v>510500</v>
      </c>
      <c r="F129" s="141"/>
      <c r="G129" s="76" t="str">
        <f>IF($E129="","",VLOOKUP($E129,基金!$C$5:$I$50,3,0))</f>
        <v>500ETF</v>
      </c>
      <c r="H129" s="142" t="str">
        <f>IF($E129="","",VLOOKUP($E129,基金!$C$5:$I$50,5,0))</f>
        <v>场内</v>
      </c>
      <c r="I129" s="144" t="s">
        <v>32</v>
      </c>
      <c r="J129" s="141"/>
      <c r="K129" s="145">
        <v>1</v>
      </c>
      <c r="L129" s="141"/>
      <c r="M129" s="146">
        <v>4.98</v>
      </c>
      <c r="N129" s="149">
        <f>IF(E129="","",K129*MFJE)</f>
        <v>1000</v>
      </c>
      <c r="O129" s="147">
        <f>IF(OR(E129="",H129="",M129="",K129="",I129=""),"",IF($H129=CN,P129*M129,K129*MFJE))</f>
        <v>996</v>
      </c>
      <c r="P129" s="148">
        <f>IF(OR(E129="",H129="",M129="",K129="",I129=""),"",IF(H129=CN,ROUND(N129/M129,-2),(N129-Q129)/M129))</f>
        <v>200</v>
      </c>
      <c r="Q129" s="152">
        <f>IF(OR(E129="",H129="",M129="",K129="",I129=""),"",IF(I129=MC,O129*VLOOKUP(E129,基金!$C$5:$M$55,11,0),O129*VLOOKUP(E129,基金!$C$5:$M$55,9,0)))</f>
        <v>0.2988</v>
      </c>
      <c r="R129" s="153" t="str">
        <f>IF($E129="","",VLOOKUP($E129,基金!$C$5:$I$50,7,0))</f>
        <v>华泰证券</v>
      </c>
    </row>
    <row r="130" customHeight="1" spans="3:18">
      <c r="C130" s="139">
        <v>43364</v>
      </c>
      <c r="D130" s="140"/>
      <c r="E130" s="120">
        <v>510050</v>
      </c>
      <c r="F130" s="141"/>
      <c r="G130" s="76" t="str">
        <f>IF($E130="","",VLOOKUP($E130,基金!$C$5:$I$50,3,0))</f>
        <v>50ETF</v>
      </c>
      <c r="H130" s="142" t="str">
        <f>IF($E130="","",VLOOKUP($E130,基金!$C$5:$I$50,5,0))</f>
        <v>场内</v>
      </c>
      <c r="I130" s="144" t="s">
        <v>32</v>
      </c>
      <c r="J130" s="141"/>
      <c r="K130" s="145">
        <v>1</v>
      </c>
      <c r="L130" s="141"/>
      <c r="M130" s="146">
        <v>2.583</v>
      </c>
      <c r="N130" s="149">
        <f>IF(E130="","",K130*MFJE)</f>
        <v>1000</v>
      </c>
      <c r="O130" s="147">
        <f>IF(OR(E130="",H130="",M130="",K130="",I130=""),"",IF($H130=CN,P130*M130,K130*MFJE))</f>
        <v>1033.2</v>
      </c>
      <c r="P130" s="148">
        <f>IF(OR(E130="",H130="",M130="",K130="",I130=""),"",IF(H130=CN,ROUND(N130/M130,-2),(N130-Q130)/M130))</f>
        <v>400</v>
      </c>
      <c r="Q130" s="152">
        <f>IF(OR(E130="",H130="",M130="",K130="",I130=""),"",IF(I130=MC,O130*VLOOKUP(E130,基金!$C$5:$M$55,11,0),O130*VLOOKUP(E130,基金!$C$5:$M$55,9,0)))</f>
        <v>0</v>
      </c>
      <c r="R130" s="153" t="str">
        <f>IF($E130="","",VLOOKUP($E130,基金!$C$5:$I$50,7,0))</f>
        <v>华泰证券</v>
      </c>
    </row>
    <row r="131" customHeight="1" spans="3:18">
      <c r="C131" s="139">
        <v>43364</v>
      </c>
      <c r="D131" s="140"/>
      <c r="E131" s="120">
        <v>512880</v>
      </c>
      <c r="F131" s="141"/>
      <c r="G131" s="76" t="str">
        <f>IF($E131="","",VLOOKUP($E131,基金!$C$5:$I$50,3,0))</f>
        <v>证券ETF</v>
      </c>
      <c r="H131" s="142" t="str">
        <f>IF($E131="","",VLOOKUP($E131,基金!$C$5:$I$50,5,0))</f>
        <v>场内</v>
      </c>
      <c r="I131" s="144" t="s">
        <v>33</v>
      </c>
      <c r="J131" s="141"/>
      <c r="K131" s="145">
        <v>1</v>
      </c>
      <c r="L131" s="141"/>
      <c r="M131" s="146">
        <v>0.72</v>
      </c>
      <c r="N131" s="149">
        <f>IF(E131="","",K131*MFJE)</f>
        <v>1000</v>
      </c>
      <c r="O131" s="147">
        <f>IF(OR(E131="",H131="",M131="",K131="",I131=""),"",IF($H131=CN,P131*M131,K131*MFJE))</f>
        <v>1080</v>
      </c>
      <c r="P131" s="148">
        <v>1500</v>
      </c>
      <c r="Q131" s="152">
        <f>IF(OR(E131="",H131="",M131="",K131="",I131=""),"",IF(I131=MC,O131*VLOOKUP(E131,基金!$C$5:$M$55,11,0),O131*VLOOKUP(E131,基金!$C$5:$M$55,9,0)))</f>
        <v>0.324</v>
      </c>
      <c r="R131" s="153" t="str">
        <f>IF($E131="","",VLOOKUP($E131,基金!$C$5:$I$50,7,0))</f>
        <v>华泰证券</v>
      </c>
    </row>
    <row r="132" customHeight="1" spans="3:18">
      <c r="C132" s="139">
        <v>43368</v>
      </c>
      <c r="D132" s="140"/>
      <c r="E132" s="120">
        <v>1469</v>
      </c>
      <c r="F132" s="141"/>
      <c r="G132" s="76" t="str">
        <f>IF($E132="","",VLOOKUP($E132,基金!$C$5:$I$50,3,0))</f>
        <v>广发中证全指金融地产联接A</v>
      </c>
      <c r="H132" s="142" t="str">
        <f>IF($E132="","",VLOOKUP($E132,基金!$C$5:$I$50,5,0))</f>
        <v>场外</v>
      </c>
      <c r="I132" s="144" t="s">
        <v>32</v>
      </c>
      <c r="J132" s="141"/>
      <c r="K132" s="145">
        <v>1</v>
      </c>
      <c r="L132" s="141"/>
      <c r="M132" s="146">
        <v>0.9184</v>
      </c>
      <c r="N132" s="149">
        <f>IF(E132="","",K132*MFJE)</f>
        <v>1000</v>
      </c>
      <c r="O132" s="147">
        <f>IF(OR(E132="",H132="",M132="",K132="",I132=""),"",IF($H132=CN,P132*M132,K132*MFJE))</f>
        <v>1000</v>
      </c>
      <c r="P132" s="148">
        <f>IF(OR(E132="",H132="",M132="",K132="",I132=""),"",IF(H132=CN,ROUND(N132/M132,-2),(N132-Q132)/M132))</f>
        <v>1087.54355400697</v>
      </c>
      <c r="Q132" s="152">
        <f>IF(OR(E132="",H132="",M132="",K132="",I132=""),"",IF(I132=MC,O132*VLOOKUP(E132,基金!$C$5:$M$55,11,0),O132*VLOOKUP(E132,基金!$C$5:$M$55,9,0)))</f>
        <v>1.2</v>
      </c>
      <c r="R132" s="153" t="str">
        <f>IF($E132="","",VLOOKUP($E132,基金!$C$5:$I$50,7,0))</f>
        <v>华泰证券</v>
      </c>
    </row>
    <row r="133" customHeight="1" spans="3:18">
      <c r="C133" s="139">
        <v>43371</v>
      </c>
      <c r="D133" s="140"/>
      <c r="E133" s="120">
        <v>100038</v>
      </c>
      <c r="F133" s="141"/>
      <c r="G133" s="76" t="str">
        <f>IF($E133="","",VLOOKUP($E133,基金!$C$5:$I$50,3,0))</f>
        <v>富国沪深300指数增强</v>
      </c>
      <c r="H133" s="142" t="str">
        <f>IF($E133="","",VLOOKUP($E133,基金!$C$5:$I$50,5,0))</f>
        <v>场外</v>
      </c>
      <c r="I133" s="144" t="s">
        <v>32</v>
      </c>
      <c r="J133" s="141"/>
      <c r="K133" s="145">
        <v>1</v>
      </c>
      <c r="L133" s="141"/>
      <c r="M133" s="146">
        <v>1.713</v>
      </c>
      <c r="N133" s="149">
        <f>IF(E133="","",K133*MFJE)</f>
        <v>1000</v>
      </c>
      <c r="O133" s="147">
        <f>IF(OR(E133="",H133="",M133="",K133="",I133=""),"",IF($H133=CN,P133*M133,K133*MFJE))</f>
        <v>1000</v>
      </c>
      <c r="P133" s="148">
        <f>IF(OR(E133="",H133="",M133="",K133="",I133=""),"",IF(H133=CN,ROUND(N133/M133,-2),(N133-Q133)/M133))</f>
        <v>583.070636310566</v>
      </c>
      <c r="Q133" s="152">
        <f>IF(OR(E133="",H133="",M133="",K133="",I133=""),"",IF(I133=MC,O133*VLOOKUP(E133,基金!$C$5:$M$55,11,0),O133*VLOOKUP(E133,基金!$C$5:$M$55,9,0)))</f>
        <v>1.2</v>
      </c>
      <c r="R133" s="153" t="str">
        <f>IF($E133="","",VLOOKUP($E133,基金!$C$5:$I$50,7,0))</f>
        <v>华泰证券</v>
      </c>
    </row>
    <row r="134" customHeight="1" spans="3:18">
      <c r="C134" s="139">
        <v>43371</v>
      </c>
      <c r="D134" s="140"/>
      <c r="E134" s="120">
        <v>340001</v>
      </c>
      <c r="F134" s="141"/>
      <c r="G134" s="76" t="str">
        <f>IF($E134="","",VLOOKUP($E134,基金!$C$5:$I$50,3,0))</f>
        <v>兴全可转债混合</v>
      </c>
      <c r="H134" s="142" t="str">
        <f>IF($E134="","",VLOOKUP($E134,基金!$C$5:$I$50,5,0))</f>
        <v>场外</v>
      </c>
      <c r="I134" s="144" t="s">
        <v>32</v>
      </c>
      <c r="J134" s="141"/>
      <c r="K134" s="145">
        <v>1</v>
      </c>
      <c r="L134" s="141"/>
      <c r="M134" s="146">
        <v>1.0101</v>
      </c>
      <c r="N134" s="149">
        <f>IF(E134="","",K134*MFJE)</f>
        <v>1000</v>
      </c>
      <c r="O134" s="147">
        <f>IF(OR(E134="",H134="",M134="",K134="",I134=""),"",IF($H134=CN,P134*M134,K134*MFJE))</f>
        <v>1000</v>
      </c>
      <c r="P134" s="148">
        <f>IF(OR(E134="",H134="",M134="",K134="",I134=""),"",IF(H134=CN,ROUND(N134/M134,-2),(N134-Q134)/M134))</f>
        <v>989.010989010989</v>
      </c>
      <c r="Q134" s="152">
        <f>IF(OR(E134="",H134="",M134="",K134="",I134=""),"",IF(I134=MC,O134*VLOOKUP(E134,基金!$C$5:$M$55,11,0),O134*VLOOKUP(E134,基金!$C$5:$M$55,9,0)))</f>
        <v>1</v>
      </c>
      <c r="R134" s="153" t="str">
        <f>IF($E134="","",VLOOKUP($E134,基金!$C$5:$I$50,7,0))</f>
        <v>华泰证券</v>
      </c>
    </row>
    <row r="135" customHeight="1" spans="3:18">
      <c r="C135" s="139">
        <v>43380</v>
      </c>
      <c r="D135" s="140"/>
      <c r="E135" s="120">
        <v>159915</v>
      </c>
      <c r="F135" s="141"/>
      <c r="G135" s="76" t="str">
        <f>IF($E135="","",VLOOKUP($E135,基金!$C$5:$I$50,3,0))</f>
        <v>创业板</v>
      </c>
      <c r="H135" s="142" t="str">
        <f>IF($E135="","",VLOOKUP($E135,基金!$C$5:$I$50,5,0))</f>
        <v>场内</v>
      </c>
      <c r="I135" s="144" t="s">
        <v>32</v>
      </c>
      <c r="J135" s="141"/>
      <c r="K135" s="145">
        <v>1</v>
      </c>
      <c r="L135" s="141"/>
      <c r="M135" s="146">
        <v>1.334</v>
      </c>
      <c r="N135" s="149">
        <f>IF(E135="","",K135*MFJE)</f>
        <v>1000</v>
      </c>
      <c r="O135" s="147">
        <f>IF(OR(E135="",H135="",M135="",K135="",I135=""),"",IF($H135=CN,P135*M135,K135*MFJE))</f>
        <v>933.8</v>
      </c>
      <c r="P135" s="148">
        <f>IF(OR(E135="",H135="",M135="",K135="",I135=""),"",IF(H135=CN,ROUND(N135/M135,-2),(N135-Q135)/M135))</f>
        <v>700</v>
      </c>
      <c r="Q135" s="152">
        <f>IF(OR(E135="",H135="",M135="",K135="",I135=""),"",IF(I135=MC,O135*VLOOKUP(E135,基金!$C$5:$M$55,11,0),O135*VLOOKUP(E135,基金!$C$5:$M$55,9,0)))</f>
        <v>0.28014</v>
      </c>
      <c r="R135" s="153" t="str">
        <f>IF($E135="","",VLOOKUP($E135,基金!$C$5:$I$50,7,0))</f>
        <v>华泰证券</v>
      </c>
    </row>
    <row r="136" customHeight="1" spans="3:18">
      <c r="C136" s="139">
        <v>43381</v>
      </c>
      <c r="D136" s="140"/>
      <c r="E136" s="120">
        <v>512880</v>
      </c>
      <c r="F136" s="141"/>
      <c r="G136" s="76" t="str">
        <f>IF($E136="","",VLOOKUP($E136,基金!$C$5:$I$50,3,0))</f>
        <v>证券ETF</v>
      </c>
      <c r="H136" s="142" t="str">
        <f>IF($E136="","",VLOOKUP($E136,基金!$C$5:$I$50,5,0))</f>
        <v>场内</v>
      </c>
      <c r="I136" s="144" t="s">
        <v>32</v>
      </c>
      <c r="J136" s="141"/>
      <c r="K136" s="145">
        <v>1</v>
      </c>
      <c r="L136" s="141"/>
      <c r="M136" s="146">
        <v>0.716</v>
      </c>
      <c r="N136" s="149">
        <f>IF(E136="","",K136*MFJE)</f>
        <v>1000</v>
      </c>
      <c r="O136" s="147">
        <f>IF(OR(E136="",H136="",M136="",K136="",I136=""),"",IF($H136=CN,P136*M136,K136*MFJE))</f>
        <v>1002.4</v>
      </c>
      <c r="P136" s="148">
        <f>IF(OR(E136="",H136="",M136="",K136="",I136=""),"",IF(H136=CN,ROUND(N136/M136,-2),(N136-Q136)/M136))</f>
        <v>1400</v>
      </c>
      <c r="Q136" s="152">
        <f>IF(OR(E136="",H136="",M136="",K136="",I136=""),"",IF(I136=MC,O136*VLOOKUP(E136,基金!$C$5:$M$55,11,0),O136*VLOOKUP(E136,基金!$C$5:$M$55,9,0)))</f>
        <v>0.30072</v>
      </c>
      <c r="R136" s="153" t="str">
        <f>IF($E136="","",VLOOKUP($E136,基金!$C$5:$I$50,7,0))</f>
        <v>华泰证券</v>
      </c>
    </row>
    <row r="137" customHeight="1" spans="3:18">
      <c r="C137" s="139">
        <v>43384</v>
      </c>
      <c r="D137" s="140"/>
      <c r="E137" s="120">
        <v>510500</v>
      </c>
      <c r="F137" s="141"/>
      <c r="G137" s="76" t="str">
        <f>IF($E137="","",VLOOKUP($E137,基金!$C$5:$I$50,3,0))</f>
        <v>500ETF</v>
      </c>
      <c r="H137" s="142" t="str">
        <f>IF($E137="","",VLOOKUP($E137,基金!$C$5:$I$50,5,0))</f>
        <v>场内</v>
      </c>
      <c r="I137" s="144" t="s">
        <v>32</v>
      </c>
      <c r="J137" s="141"/>
      <c r="K137" s="145">
        <v>1</v>
      </c>
      <c r="L137" s="141"/>
      <c r="M137" s="146">
        <v>4.727</v>
      </c>
      <c r="N137" s="149">
        <f>IF(E137="","",K137*MFJE)</f>
        <v>1000</v>
      </c>
      <c r="O137" s="147">
        <f>IF(OR(E137="",H137="",M137="",K137="",I137=""),"",IF($H137=CN,P137*M137,K137*MFJE))</f>
        <v>945.4</v>
      </c>
      <c r="P137" s="148">
        <f>IF(OR(E137="",H137="",M137="",K137="",I137=""),"",IF(H137=CN,ROUND(N137/M137,-2),(N137-Q137)/M137))</f>
        <v>200</v>
      </c>
      <c r="Q137" s="152">
        <f>IF(OR(E137="",H137="",M137="",K137="",I137=""),"",IF(I137=MC,O137*VLOOKUP(E137,基金!$C$5:$M$55,11,0),O137*VLOOKUP(E137,基金!$C$5:$M$55,9,0)))</f>
        <v>0.28362</v>
      </c>
      <c r="R137" s="153" t="str">
        <f>IF($E137="","",VLOOKUP($E137,基金!$C$5:$I$50,7,0))</f>
        <v>华泰证券</v>
      </c>
    </row>
    <row r="138" customHeight="1" spans="3:18">
      <c r="C138" s="139">
        <v>43384</v>
      </c>
      <c r="D138" s="140"/>
      <c r="E138" s="120">
        <v>510500</v>
      </c>
      <c r="F138" s="141"/>
      <c r="G138" s="76" t="str">
        <f>IF($E138="","",VLOOKUP($E138,基金!$C$5:$I$50,3,0))</f>
        <v>500ETF</v>
      </c>
      <c r="H138" s="142" t="str">
        <f>IF($E138="","",VLOOKUP($E138,基金!$C$5:$I$50,5,0))</f>
        <v>场内</v>
      </c>
      <c r="I138" s="144" t="s">
        <v>32</v>
      </c>
      <c r="J138" s="141"/>
      <c r="K138" s="145">
        <v>1</v>
      </c>
      <c r="L138" s="141"/>
      <c r="M138" s="146">
        <v>4.576</v>
      </c>
      <c r="N138" s="149">
        <f>IF(E138="","",K138*MFJE)</f>
        <v>1000</v>
      </c>
      <c r="O138" s="147">
        <f>IF(OR(E138="",H138="",M138="",K138="",I138=""),"",IF($H138=CN,P138*M138,K138*MFJE))</f>
        <v>915.2</v>
      </c>
      <c r="P138" s="148">
        <f>IF(OR(E138="",H138="",M138="",K138="",I138=""),"",IF(H138=CN,ROUND(N138/M138,-2),(N138-Q138)/M138))</f>
        <v>200</v>
      </c>
      <c r="Q138" s="152">
        <f>IF(OR(E138="",H138="",M138="",K138="",I138=""),"",IF(I138=MC,O138*VLOOKUP(E138,基金!$C$5:$M$55,11,0),O138*VLOOKUP(E138,基金!$C$5:$M$55,9,0)))</f>
        <v>0.27456</v>
      </c>
      <c r="R138" s="153" t="str">
        <f>IF($E138="","",VLOOKUP($E138,基金!$C$5:$I$50,7,0))</f>
        <v>华泰证券</v>
      </c>
    </row>
    <row r="139" customHeight="1" spans="3:18">
      <c r="C139" s="139">
        <v>43384</v>
      </c>
      <c r="D139" s="140"/>
      <c r="E139" s="120">
        <v>512880</v>
      </c>
      <c r="F139" s="141"/>
      <c r="G139" s="76" t="str">
        <f>IF($E139="","",VLOOKUP($E139,基金!$C$5:$I$50,3,0))</f>
        <v>证券ETF</v>
      </c>
      <c r="H139" s="142" t="str">
        <f>IF($E139="","",VLOOKUP($E139,基金!$C$5:$I$50,5,0))</f>
        <v>场内</v>
      </c>
      <c r="I139" s="144" t="s">
        <v>32</v>
      </c>
      <c r="J139" s="141"/>
      <c r="K139" s="145">
        <v>1</v>
      </c>
      <c r="L139" s="141"/>
      <c r="M139" s="146">
        <v>0.677</v>
      </c>
      <c r="N139" s="149">
        <f>IF(E139="","",K139*MFJE)</f>
        <v>1000</v>
      </c>
      <c r="O139" s="147">
        <f>IF(OR(E139="",H139="",M139="",K139="",I139=""),"",IF($H139=CN,P139*M139,K139*MFJE))</f>
        <v>1015.5</v>
      </c>
      <c r="P139" s="148">
        <f>IF(OR(E139="",H139="",M139="",K139="",I139=""),"",IF(H139=CN,ROUND(N139/M139,-2),(N139-Q139)/M139))</f>
        <v>1500</v>
      </c>
      <c r="Q139" s="152">
        <f>IF(OR(E139="",H139="",M139="",K139="",I139=""),"",IF(I139=MC,O139*VLOOKUP(E139,基金!$C$5:$M$55,11,0),O139*VLOOKUP(E139,基金!$C$5:$M$55,9,0)))</f>
        <v>0.30465</v>
      </c>
      <c r="R139" s="153" t="str">
        <f>IF($E139="","",VLOOKUP($E139,基金!$C$5:$I$50,7,0))</f>
        <v>华泰证券</v>
      </c>
    </row>
    <row r="140" customHeight="1" spans="3:18">
      <c r="C140" s="139">
        <v>43384</v>
      </c>
      <c r="D140" s="140"/>
      <c r="E140" s="120">
        <v>512880</v>
      </c>
      <c r="F140" s="141"/>
      <c r="G140" s="76" t="str">
        <f>IF($E140="","",VLOOKUP($E140,基金!$C$5:$I$50,3,0))</f>
        <v>证券ETF</v>
      </c>
      <c r="H140" s="142" t="str">
        <f>IF($E140="","",VLOOKUP($E140,基金!$C$5:$I$50,5,0))</f>
        <v>场内</v>
      </c>
      <c r="I140" s="144" t="s">
        <v>32</v>
      </c>
      <c r="J140" s="141"/>
      <c r="K140" s="145">
        <v>1</v>
      </c>
      <c r="L140" s="141"/>
      <c r="M140" s="146">
        <v>0.657</v>
      </c>
      <c r="N140" s="149">
        <f>IF(E140="","",K140*MFJE)</f>
        <v>1000</v>
      </c>
      <c r="O140" s="147">
        <f>IF(OR(E140="",H140="",M140="",K140="",I140=""),"",IF($H140=CN,P140*M140,K140*MFJE))</f>
        <v>985.5</v>
      </c>
      <c r="P140" s="148">
        <f>IF(OR(E140="",H140="",M140="",K140="",I140=""),"",IF(H140=CN,ROUND(N140/M140,-2),(N140-Q140)/M140))</f>
        <v>1500</v>
      </c>
      <c r="Q140" s="152">
        <f>IF(OR(E140="",H140="",M140="",K140="",I140=""),"",IF(I140=MC,O140*VLOOKUP(E140,基金!$C$5:$M$55,11,0),O140*VLOOKUP(E140,基金!$C$5:$M$55,9,0)))</f>
        <v>0.29565</v>
      </c>
      <c r="R140" s="153" t="str">
        <f>IF($E140="","",VLOOKUP($E140,基金!$C$5:$I$50,7,0))</f>
        <v>华泰证券</v>
      </c>
    </row>
    <row r="141" customHeight="1" spans="3:18">
      <c r="C141" s="139">
        <v>43385</v>
      </c>
      <c r="D141" s="140"/>
      <c r="E141" s="120">
        <v>510500</v>
      </c>
      <c r="F141" s="141"/>
      <c r="G141" s="76" t="str">
        <f>IF($E141="","",VLOOKUP($E141,基金!$C$5:$I$50,3,0))</f>
        <v>500ETF</v>
      </c>
      <c r="H141" s="142" t="str">
        <f>IF($E141="","",VLOOKUP($E141,基金!$C$5:$I$50,5,0))</f>
        <v>场内</v>
      </c>
      <c r="I141" s="144" t="s">
        <v>32</v>
      </c>
      <c r="J141" s="141"/>
      <c r="K141" s="145">
        <v>1</v>
      </c>
      <c r="L141" s="141"/>
      <c r="M141" s="146">
        <v>4.43</v>
      </c>
      <c r="N141" s="149">
        <f>IF(E141="","",K141*MFJE)</f>
        <v>1000</v>
      </c>
      <c r="O141" s="147">
        <f>IF(OR(E141="",H141="",M141="",K141="",I141=""),"",IF($H141=CN,P141*M141,K141*MFJE))</f>
        <v>886</v>
      </c>
      <c r="P141" s="148">
        <f>IF(OR(E141="",H141="",M141="",K141="",I141=""),"",IF(H141=CN,ROUND(N141/M141,-2),(N141-Q141)/M141))</f>
        <v>200</v>
      </c>
      <c r="Q141" s="152">
        <f>IF(OR(E141="",H141="",M141="",K141="",I141=""),"",IF(I141=MC,O141*VLOOKUP(E141,基金!$C$5:$M$55,11,0),O141*VLOOKUP(E141,基金!$C$5:$M$55,9,0)))</f>
        <v>0.2658</v>
      </c>
      <c r="R141" s="153" t="str">
        <f>IF($E141="","",VLOOKUP($E141,基金!$C$5:$I$50,7,0))</f>
        <v>华泰证券</v>
      </c>
    </row>
    <row r="142" customHeight="1" spans="3:18">
      <c r="C142" s="139">
        <v>43385</v>
      </c>
      <c r="D142" s="140"/>
      <c r="E142" s="120">
        <v>512880</v>
      </c>
      <c r="F142" s="141"/>
      <c r="G142" s="76" t="str">
        <f>IF($E142="","",VLOOKUP($E142,基金!$C$5:$I$50,3,0))</f>
        <v>证券ETF</v>
      </c>
      <c r="H142" s="142" t="str">
        <f>IF($E142="","",VLOOKUP($E142,基金!$C$5:$I$50,5,0))</f>
        <v>场内</v>
      </c>
      <c r="I142" s="144" t="s">
        <v>32</v>
      </c>
      <c r="J142" s="141"/>
      <c r="K142" s="145">
        <v>1</v>
      </c>
      <c r="L142" s="141"/>
      <c r="M142" s="146">
        <v>0.638</v>
      </c>
      <c r="N142" s="149">
        <f>IF(E142="","",K142*MFJE)</f>
        <v>1000</v>
      </c>
      <c r="O142" s="147">
        <f>IF(OR(E142="",H142="",M142="",K142="",I142=""),"",IF($H142=CN,P142*M142,K142*MFJE))</f>
        <v>1020.8</v>
      </c>
      <c r="P142" s="148">
        <f>IF(OR(E142="",H142="",M142="",K142="",I142=""),"",IF(H142=CN,ROUND(N142/M142,-2),(N142-Q142)/M142))</f>
        <v>1600</v>
      </c>
      <c r="Q142" s="152">
        <f>IF(OR(E142="",H142="",M142="",K142="",I142=""),"",IF(I142=MC,O142*VLOOKUP(E142,基金!$C$5:$M$55,11,0),O142*VLOOKUP(E142,基金!$C$5:$M$55,9,0)))</f>
        <v>0.30624</v>
      </c>
      <c r="R142" s="153" t="str">
        <f>IF($E142="","",VLOOKUP($E142,基金!$C$5:$I$50,7,0))</f>
        <v>华泰证券</v>
      </c>
    </row>
    <row r="143" customHeight="1" spans="3:18">
      <c r="C143" s="139">
        <v>43388</v>
      </c>
      <c r="D143" s="140"/>
      <c r="E143" s="120">
        <v>159938</v>
      </c>
      <c r="F143" s="141"/>
      <c r="G143" s="76" t="str">
        <f>IF($E143="","",VLOOKUP($E143,基金!$C$5:$I$50,3,0))</f>
        <v>广发医药</v>
      </c>
      <c r="H143" s="142" t="str">
        <f>IF($E143="","",VLOOKUP($E143,基金!$C$5:$I$50,5,0))</f>
        <v>场内</v>
      </c>
      <c r="I143" s="144" t="s">
        <v>32</v>
      </c>
      <c r="J143" s="141"/>
      <c r="K143" s="145">
        <v>1</v>
      </c>
      <c r="L143" s="141"/>
      <c r="M143" s="146">
        <v>1.125</v>
      </c>
      <c r="N143" s="149">
        <f>IF(E143="","",K143*MFJE)</f>
        <v>1000</v>
      </c>
      <c r="O143" s="147">
        <f>IF(OR(E143="",H143="",M143="",K143="",I143=""),"",IF($H143=CN,P143*M143,K143*MFJE))</f>
        <v>1012.5</v>
      </c>
      <c r="P143" s="148">
        <f>IF(OR(E143="",H143="",M143="",K143="",I143=""),"",IF(H143=CN,ROUND(N143/M143,-2),(N143-Q143)/M143))</f>
        <v>900</v>
      </c>
      <c r="Q143" s="152">
        <f>IF(OR(E143="",H143="",M143="",K143="",I143=""),"",IF(I143=MC,O143*VLOOKUP(E143,基金!$C$5:$M$55,11,0),O143*VLOOKUP(E143,基金!$C$5:$M$55,9,0)))</f>
        <v>0.30375</v>
      </c>
      <c r="R143" s="153" t="str">
        <f>IF($E143="","",VLOOKUP($E143,基金!$C$5:$I$50,7,0))</f>
        <v>华泰证券</v>
      </c>
    </row>
    <row r="144" customHeight="1" spans="3:18">
      <c r="C144" s="139">
        <v>43388</v>
      </c>
      <c r="D144" s="140"/>
      <c r="E144" s="120">
        <v>1064</v>
      </c>
      <c r="F144" s="141"/>
      <c r="G144" s="76" t="str">
        <f>IF($E144="","",VLOOKUP($E144,基金!$C$5:$I$50,3,0))</f>
        <v>广发环保指数A</v>
      </c>
      <c r="H144" s="142" t="str">
        <f>IF($E144="","",VLOOKUP($E144,基金!$C$5:$I$50,5,0))</f>
        <v>场外</v>
      </c>
      <c r="I144" s="144" t="s">
        <v>32</v>
      </c>
      <c r="J144" s="141"/>
      <c r="K144" s="145">
        <v>1</v>
      </c>
      <c r="L144" s="141"/>
      <c r="M144" s="146">
        <v>0.4769</v>
      </c>
      <c r="N144" s="149">
        <f>IF(E144="","",K144*MFJE)</f>
        <v>1000</v>
      </c>
      <c r="O144" s="147">
        <f>IF(OR(E144="",H144="",M144="",K144="",I144=""),"",IF($H144=CN,P144*M144,K144*MFJE))</f>
        <v>1000</v>
      </c>
      <c r="P144" s="148">
        <f>IF(OR(E144="",H144="",M144="",K144="",I144=""),"",IF(H144=CN,ROUND(N144/M144,-2),(N144-Q144)/M144))</f>
        <v>2094.35940448731</v>
      </c>
      <c r="Q144" s="152">
        <f>IF(OR(E144="",H144="",M144="",K144="",I144=""),"",IF(I144=MC,O144*VLOOKUP(E144,基金!$C$5:$M$55,11,0),O144*VLOOKUP(E144,基金!$C$5:$M$55,9,0)))</f>
        <v>1.2</v>
      </c>
      <c r="R144" s="153" t="s">
        <v>13</v>
      </c>
    </row>
    <row r="145" customHeight="1" spans="3:18">
      <c r="C145" s="139">
        <v>43388</v>
      </c>
      <c r="D145" s="140"/>
      <c r="E145" s="120">
        <v>510500</v>
      </c>
      <c r="F145" s="141"/>
      <c r="G145" s="76" t="str">
        <f>IF($E145="","",VLOOKUP($E145,基金!$C$5:$I$50,3,0))</f>
        <v>500ETF</v>
      </c>
      <c r="H145" s="142" t="str">
        <f>IF($E145="","",VLOOKUP($E145,基金!$C$5:$I$50,5,0))</f>
        <v>场内</v>
      </c>
      <c r="I145" s="144" t="s">
        <v>33</v>
      </c>
      <c r="J145" s="141"/>
      <c r="K145" s="145">
        <v>1</v>
      </c>
      <c r="L145" s="141"/>
      <c r="M145" s="146">
        <v>4.576</v>
      </c>
      <c r="N145" s="149">
        <f>IF(E145="","",K145*MFJE)</f>
        <v>1000</v>
      </c>
      <c r="O145" s="147">
        <f>IF(OR(E145="",H145="",M145="",K145="",I145=""),"",IF($H145=CN,P145*M145,K145*MFJE))</f>
        <v>915.2</v>
      </c>
      <c r="P145" s="148">
        <f>IF(OR(E145="",H145="",M145="",K145="",I145=""),"",IF(H145=CN,ROUND(N145/M145,-2),(N145-Q145)/M145))</f>
        <v>200</v>
      </c>
      <c r="Q145" s="152">
        <f>IF(OR(E145="",H145="",M145="",K145="",I145=""),"",IF(I145=MC,O145*VLOOKUP(E145,基金!$C$5:$M$55,11,0),O145*VLOOKUP(E145,基金!$C$5:$M$55,9,0)))</f>
        <v>0.27456</v>
      </c>
      <c r="R145" s="153" t="str">
        <f>IF($E145="","",VLOOKUP($E145,基金!$C$5:$I$50,7,0))</f>
        <v>华泰证券</v>
      </c>
    </row>
    <row r="146" customHeight="1" spans="3:18">
      <c r="C146" s="139">
        <v>43388</v>
      </c>
      <c r="D146" s="140"/>
      <c r="E146" s="120">
        <v>512880</v>
      </c>
      <c r="F146" s="141"/>
      <c r="G146" s="76" t="str">
        <f>IF($E146="","",VLOOKUP($E146,基金!$C$5:$I$50,3,0))</f>
        <v>证券ETF</v>
      </c>
      <c r="H146" s="142" t="str">
        <f>IF($E146="","",VLOOKUP($E146,基金!$C$5:$I$50,5,0))</f>
        <v>场内</v>
      </c>
      <c r="I146" s="144" t="s">
        <v>32</v>
      </c>
      <c r="J146" s="141"/>
      <c r="K146" s="145">
        <v>1</v>
      </c>
      <c r="L146" s="141"/>
      <c r="M146" s="146">
        <v>0.639</v>
      </c>
      <c r="N146" s="149">
        <f>IF(E146="","",K146*MFJE)</f>
        <v>1000</v>
      </c>
      <c r="O146" s="147">
        <f>IF(OR(E146="",H146="",M146="",K146="",I146=""),"",IF($H146=CN,P146*M146,K146*MFJE))</f>
        <v>1022.4</v>
      </c>
      <c r="P146" s="148">
        <f>IF(OR(E146="",H146="",M146="",K146="",I146=""),"",IF(H146=CN,ROUND(N146/M146,-2),(N146-Q146)/M146))</f>
        <v>1600</v>
      </c>
      <c r="Q146" s="152">
        <f>IF(OR(E146="",H146="",M146="",K146="",I146=""),"",IF(I146=MC,O146*VLOOKUP(E146,基金!$C$5:$M$55,11,0),O146*VLOOKUP(E146,基金!$C$5:$M$55,9,0)))</f>
        <v>0.30672</v>
      </c>
      <c r="R146" s="153" t="str">
        <f>IF($E146="","",VLOOKUP($E146,基金!$C$5:$I$50,7,0))</f>
        <v>华泰证券</v>
      </c>
    </row>
    <row r="147" customHeight="1" spans="3:18">
      <c r="C147" s="139">
        <v>43389</v>
      </c>
      <c r="D147" s="140"/>
      <c r="E147" s="120">
        <v>510500</v>
      </c>
      <c r="F147" s="141"/>
      <c r="G147" s="76" t="str">
        <f>IF($E147="","",VLOOKUP($E147,基金!$C$5:$I$50,3,0))</f>
        <v>500ETF</v>
      </c>
      <c r="H147" s="142" t="str">
        <f>IF($E147="","",VLOOKUP($E147,基金!$C$5:$I$50,5,0))</f>
        <v>场内</v>
      </c>
      <c r="I147" s="144" t="s">
        <v>32</v>
      </c>
      <c r="J147" s="141"/>
      <c r="K147" s="145">
        <v>1</v>
      </c>
      <c r="L147" s="141"/>
      <c r="M147" s="146">
        <v>4.43</v>
      </c>
      <c r="N147" s="149">
        <f>IF(E147="","",K147*MFJE)</f>
        <v>1000</v>
      </c>
      <c r="O147" s="147">
        <f>IF(OR(E147="",H147="",M147="",K147="",I147=""),"",IF($H147=CN,P147*M147,K147*MFJE))</f>
        <v>886</v>
      </c>
      <c r="P147" s="148">
        <f>IF(OR(E147="",H147="",M147="",K147="",I147=""),"",IF(H147=CN,ROUND(N147/M147,-2),(N147-Q147)/M147))</f>
        <v>200</v>
      </c>
      <c r="Q147" s="152">
        <f>IF(OR(E147="",H147="",M147="",K147="",I147=""),"",IF(I147=MC,O147*VLOOKUP(E147,基金!$C$5:$M$55,11,0),O147*VLOOKUP(E147,基金!$C$5:$M$55,9,0)))</f>
        <v>0.2658</v>
      </c>
      <c r="R147" s="153" t="str">
        <f>IF($E147="","",VLOOKUP($E147,基金!$C$5:$I$50,7,0))</f>
        <v>华泰证券</v>
      </c>
    </row>
    <row r="148" customHeight="1" spans="3:18">
      <c r="C148" s="139">
        <v>43395</v>
      </c>
      <c r="D148" s="140"/>
      <c r="E148" s="120">
        <v>510500</v>
      </c>
      <c r="F148" s="141"/>
      <c r="G148" s="76" t="str">
        <f>IF($E148="","",VLOOKUP($E148,基金!$C$5:$I$50,3,0))</f>
        <v>500ETF</v>
      </c>
      <c r="H148" s="142" t="str">
        <f>IF($E148="","",VLOOKUP($E148,基金!$C$5:$I$50,5,0))</f>
        <v>场内</v>
      </c>
      <c r="I148" s="144" t="s">
        <v>33</v>
      </c>
      <c r="J148" s="141"/>
      <c r="K148" s="145">
        <v>1</v>
      </c>
      <c r="L148" s="141"/>
      <c r="M148" s="146">
        <v>4.576</v>
      </c>
      <c r="N148" s="149">
        <f>IF(E148="","",K148*MFJE)</f>
        <v>1000</v>
      </c>
      <c r="O148" s="147">
        <f>IF(OR(E148="",H148="",M148="",K148="",I148=""),"",IF($H148=CN,P148*M148,K148*MFJE))</f>
        <v>915.2</v>
      </c>
      <c r="P148" s="148">
        <f>IF(OR(E148="",H148="",M148="",K148="",I148=""),"",IF(H148=CN,ROUND(N148/M148,-2),(N148-Q148)/M148))</f>
        <v>200</v>
      </c>
      <c r="Q148" s="152">
        <f>IF(OR(E148="",H148="",M148="",K148="",I148=""),"",IF(I148=MC,O148*VLOOKUP(E148,基金!$C$5:$M$55,11,0),O148*VLOOKUP(E148,基金!$C$5:$M$55,9,0)))</f>
        <v>0.27456</v>
      </c>
      <c r="R148" s="153" t="str">
        <f>IF($E148="","",VLOOKUP($E148,基金!$C$5:$I$50,7,0))</f>
        <v>华泰证券</v>
      </c>
    </row>
    <row r="149" customHeight="1" spans="3:18">
      <c r="C149" s="139">
        <v>43395</v>
      </c>
      <c r="D149" s="140"/>
      <c r="E149" s="120">
        <v>512880</v>
      </c>
      <c r="F149" s="141"/>
      <c r="G149" s="76" t="str">
        <f>IF($E149="","",VLOOKUP($E149,基金!$C$5:$I$50,3,0))</f>
        <v>证券ETF</v>
      </c>
      <c r="H149" s="142" t="str">
        <f>IF($E149="","",VLOOKUP($E149,基金!$C$5:$I$50,5,0))</f>
        <v>场内</v>
      </c>
      <c r="I149" s="144" t="s">
        <v>33</v>
      </c>
      <c r="J149" s="141"/>
      <c r="K149" s="145">
        <v>1</v>
      </c>
      <c r="L149" s="141"/>
      <c r="M149" s="146">
        <v>0.657</v>
      </c>
      <c r="N149" s="149">
        <f>IF(E149="","",K149*MFJE)</f>
        <v>1000</v>
      </c>
      <c r="O149" s="147">
        <f>IF(OR(E149="",H149="",M149="",K149="",I149=""),"",IF($H149=CN,P149*M149,K149*MFJE))</f>
        <v>1051.2</v>
      </c>
      <c r="P149" s="148">
        <v>1600</v>
      </c>
      <c r="Q149" s="152">
        <f>IF(OR(E149="",H149="",M149="",K149="",I149=""),"",IF(I149=MC,O149*VLOOKUP(E149,基金!$C$5:$M$55,11,0),O149*VLOOKUP(E149,基金!$C$5:$M$55,9,0)))</f>
        <v>0.31536</v>
      </c>
      <c r="R149" s="153" t="str">
        <f>IF($E149="","",VLOOKUP($E149,基金!$C$5:$I$50,7,0))</f>
        <v>华泰证券</v>
      </c>
    </row>
    <row r="150" customHeight="1" spans="3:18">
      <c r="C150" s="139">
        <v>43395</v>
      </c>
      <c r="D150" s="140"/>
      <c r="E150" s="120">
        <v>512880</v>
      </c>
      <c r="F150" s="141"/>
      <c r="G150" s="76" t="str">
        <f>IF($E150="","",VLOOKUP($E150,基金!$C$5:$I$50,3,0))</f>
        <v>证券ETF</v>
      </c>
      <c r="H150" s="142" t="str">
        <f>IF($E150="","",VLOOKUP($E150,基金!$C$5:$I$50,5,0))</f>
        <v>场内</v>
      </c>
      <c r="I150" s="144" t="s">
        <v>33</v>
      </c>
      <c r="J150" s="141"/>
      <c r="K150" s="145">
        <v>1</v>
      </c>
      <c r="L150" s="141"/>
      <c r="M150" s="146">
        <v>0.677</v>
      </c>
      <c r="N150" s="149">
        <f>IF(E150="","",K150*MFJE)</f>
        <v>1000</v>
      </c>
      <c r="O150" s="147">
        <f>IF(OR(E150="",H150="",M150="",K150="",I150=""),"",IF($H150=CN,P150*M150,K150*MFJE))</f>
        <v>1015.5</v>
      </c>
      <c r="P150" s="148">
        <f>IF(OR(E150="",H150="",M150="",K150="",I150=""),"",IF(H150=CN,ROUND(N150/M150,-2),(N150-Q150)/M150))</f>
        <v>1500</v>
      </c>
      <c r="Q150" s="152">
        <f>IF(OR(E150="",H150="",M150="",K150="",I150=""),"",IF(I150=MC,O150*VLOOKUP(E150,基金!$C$5:$M$55,11,0),O150*VLOOKUP(E150,基金!$C$5:$M$55,9,0)))</f>
        <v>0.30465</v>
      </c>
      <c r="R150" s="153" t="str">
        <f>IF($E150="","",VLOOKUP($E150,基金!$C$5:$I$50,7,0))</f>
        <v>华泰证券</v>
      </c>
    </row>
    <row r="151" customHeight="1" spans="3:18">
      <c r="C151" s="139">
        <v>43398</v>
      </c>
      <c r="D151" s="140"/>
      <c r="E151" s="120">
        <v>510500</v>
      </c>
      <c r="F151" s="141"/>
      <c r="G151" s="76" t="str">
        <f>IF($E151="","",VLOOKUP($E151,基金!$C$5:$I$50,3,0))</f>
        <v>500ETF</v>
      </c>
      <c r="H151" s="142" t="str">
        <f>IF($E151="","",VLOOKUP($E151,基金!$C$5:$I$50,5,0))</f>
        <v>场内</v>
      </c>
      <c r="I151" s="144" t="s">
        <v>32</v>
      </c>
      <c r="J151" s="141"/>
      <c r="K151" s="145">
        <v>1</v>
      </c>
      <c r="L151" s="141"/>
      <c r="M151" s="146">
        <v>4.407</v>
      </c>
      <c r="N151" s="149">
        <f>IF(E151="","",K151*MFJE)</f>
        <v>1000</v>
      </c>
      <c r="O151" s="147">
        <f>IF(OR(E151="",H151="",M151="",K151="",I151=""),"",IF($H151=CN,P151*M151,K151*MFJE))</f>
        <v>881.4</v>
      </c>
      <c r="P151" s="148">
        <f>IF(OR(E151="",H151="",M151="",K151="",I151=""),"",IF(H151=CN,ROUND(N151/M151,-2),(N151-Q151)/M151))</f>
        <v>200</v>
      </c>
      <c r="Q151" s="152">
        <f>IF(OR(E151="",H151="",M151="",K151="",I151=""),"",IF(I151=MC,O151*VLOOKUP(E151,基金!$C$5:$M$55,11,0),O151*VLOOKUP(E151,基金!$C$5:$M$55,9,0)))</f>
        <v>0.26442</v>
      </c>
      <c r="R151" s="153" t="str">
        <f>IF($E151="","",VLOOKUP($E151,基金!$C$5:$I$50,7,0))</f>
        <v>华泰证券</v>
      </c>
    </row>
    <row r="152" customHeight="1" spans="3:18">
      <c r="C152" s="139">
        <v>43398</v>
      </c>
      <c r="D152" s="140"/>
      <c r="E152" s="120">
        <v>512880</v>
      </c>
      <c r="F152" s="141"/>
      <c r="G152" s="76" t="str">
        <f>IF($E152="","",VLOOKUP($E152,基金!$C$5:$I$50,3,0))</f>
        <v>证券ETF</v>
      </c>
      <c r="H152" s="142" t="str">
        <f>IF($E152="","",VLOOKUP($E152,基金!$C$5:$I$50,5,0))</f>
        <v>场内</v>
      </c>
      <c r="I152" s="144" t="s">
        <v>33</v>
      </c>
      <c r="J152" s="141"/>
      <c r="K152" s="145">
        <v>1</v>
      </c>
      <c r="L152" s="141"/>
      <c r="M152" s="146">
        <v>0.734</v>
      </c>
      <c r="N152" s="149">
        <f>IF(E152="","",K152*MFJE)</f>
        <v>1000</v>
      </c>
      <c r="O152" s="147">
        <f>IF(OR(E152="",H152="",M152="",K152="",I152=""),"",IF($H152=CN,P152*M152,K152*MFJE))</f>
        <v>1101</v>
      </c>
      <c r="P152" s="148">
        <v>1500</v>
      </c>
      <c r="Q152" s="152">
        <f>IF(OR(E152="",H152="",M152="",K152="",I152=""),"",IF(I152=MC,O152*VLOOKUP(E152,基金!$C$5:$M$55,11,0),O152*VLOOKUP(E152,基金!$C$5:$M$55,9,0)))</f>
        <v>0.3303</v>
      </c>
      <c r="R152" s="153" t="str">
        <f>IF($E152="","",VLOOKUP($E152,基金!$C$5:$I$50,7,0))</f>
        <v>华泰证券</v>
      </c>
    </row>
    <row r="153" customHeight="1" spans="3:18">
      <c r="C153" s="139">
        <v>43399</v>
      </c>
      <c r="D153" s="140"/>
      <c r="E153" s="120">
        <v>510500</v>
      </c>
      <c r="F153" s="141"/>
      <c r="G153" s="76" t="str">
        <f>IF($E153="","",VLOOKUP($E153,基金!$C$5:$I$50,3,0))</f>
        <v>500ETF</v>
      </c>
      <c r="H153" s="142" t="str">
        <f>IF($E153="","",VLOOKUP($E153,基金!$C$5:$I$50,5,0))</f>
        <v>场内</v>
      </c>
      <c r="I153" s="144" t="s">
        <v>33</v>
      </c>
      <c r="J153" s="141"/>
      <c r="K153" s="145">
        <v>1</v>
      </c>
      <c r="L153" s="141"/>
      <c r="M153" s="146">
        <v>4.576</v>
      </c>
      <c r="N153" s="149">
        <f>IF(E153="","",K153*MFJE)</f>
        <v>1000</v>
      </c>
      <c r="O153" s="147">
        <f>IF(OR(E153="",H153="",M153="",K153="",I153=""),"",IF($H153=CN,P153*M153,K153*MFJE))</f>
        <v>915.2</v>
      </c>
      <c r="P153" s="148">
        <f>IF(OR(E153="",H153="",M153="",K153="",I153=""),"",IF(H153=CN,ROUND(N153/M153,-2),(N153-Q153)/M153))</f>
        <v>200</v>
      </c>
      <c r="Q153" s="152">
        <f>IF(OR(E153="",H153="",M153="",K153="",I153=""),"",IF(I153=MC,O153*VLOOKUP(E153,基金!$C$5:$M$55,11,0),O153*VLOOKUP(E153,基金!$C$5:$M$55,9,0)))</f>
        <v>0.27456</v>
      </c>
      <c r="R153" s="153" t="str">
        <f>IF($E153="","",VLOOKUP($E153,基金!$C$5:$I$50,7,0))</f>
        <v>华泰证券</v>
      </c>
    </row>
    <row r="154" customHeight="1" spans="3:19">
      <c r="C154" s="139">
        <v>43402</v>
      </c>
      <c r="D154" s="140"/>
      <c r="E154" s="120">
        <v>968</v>
      </c>
      <c r="F154" s="141"/>
      <c r="G154" s="76" t="str">
        <f>IF($E154="","",VLOOKUP($E154,基金!$C$5:$I$50,3,0))</f>
        <v>广发养老指数A</v>
      </c>
      <c r="H154" s="142" t="str">
        <f>IF($E154="","",VLOOKUP($E154,基金!$C$5:$I$50,5,0))</f>
        <v>场外</v>
      </c>
      <c r="I154" s="144" t="s">
        <v>32</v>
      </c>
      <c r="J154" s="141"/>
      <c r="K154" s="145">
        <v>1</v>
      </c>
      <c r="L154" s="141"/>
      <c r="M154" s="146">
        <v>0.7921</v>
      </c>
      <c r="N154" s="149">
        <f>IF(E154="","",K154*MFJE)</f>
        <v>1000</v>
      </c>
      <c r="O154" s="147">
        <f>IF(OR(E154="",H154="",M154="",K154="",I154=""),"",IF($H154=CN,P154*M154,K154*MFJE))</f>
        <v>1000</v>
      </c>
      <c r="P154" s="148">
        <f>IF(OR(E154="",H154="",M154="",K154="",I154=""),"",IF(H154=CN,ROUND(N154/M154,-2),(N154-Q154)/M154))</f>
        <v>1260.95190001262</v>
      </c>
      <c r="Q154" s="152">
        <f>IF(OR(E154="",H154="",M154="",K154="",I154=""),"",IF(I154=MC,O154*VLOOKUP(E154,基金!$C$5:$M$55,11,0),O154*VLOOKUP(E154,基金!$C$5:$M$55,9,0)))</f>
        <v>1.2</v>
      </c>
      <c r="R154" s="153" t="s">
        <v>13</v>
      </c>
      <c r="S154" s="62"/>
    </row>
    <row r="155" customHeight="1" spans="3:18">
      <c r="C155" s="139">
        <v>43403</v>
      </c>
      <c r="D155" s="140"/>
      <c r="E155" s="120">
        <v>270048</v>
      </c>
      <c r="F155" s="141"/>
      <c r="G155" s="76" t="str">
        <f>IF($E155="","",VLOOKUP($E155,基金!$C$5:$I$50,3,0))</f>
        <v>广发纯债债券A</v>
      </c>
      <c r="H155" s="142" t="str">
        <f>IF($E155="","",VLOOKUP($E155,基金!$C$5:$I$50,5,0))</f>
        <v>场外</v>
      </c>
      <c r="I155" s="144" t="s">
        <v>33</v>
      </c>
      <c r="J155" s="141"/>
      <c r="K155" s="145">
        <v>1</v>
      </c>
      <c r="L155" s="141"/>
      <c r="M155" s="146">
        <v>1.201</v>
      </c>
      <c r="N155" s="149">
        <f>IF(E155="","",K155*MFJE)</f>
        <v>1000</v>
      </c>
      <c r="O155" s="147">
        <v>1016.47</v>
      </c>
      <c r="P155" s="148">
        <v>846.78</v>
      </c>
      <c r="Q155" s="152">
        <f>IF(OR(E155="",H155="",M155="",K155="",I155=""),"",IF(I155=MC,O155*VLOOKUP(E155,基金!$C$5:$M$55,11,0),O155*VLOOKUP(E155,基金!$C$5:$M$55,9,0)))</f>
        <v>0.508235</v>
      </c>
      <c r="R155" s="153" t="str">
        <f>IF($E155="","",VLOOKUP($E155,基金!$C$5:$I$50,7,0))</f>
        <v>天天基金</v>
      </c>
    </row>
    <row r="156" customHeight="1" spans="3:18">
      <c r="C156" s="154">
        <v>43403</v>
      </c>
      <c r="D156" s="155"/>
      <c r="E156" s="156">
        <v>1061</v>
      </c>
      <c r="F156" s="141"/>
      <c r="G156" s="76" t="str">
        <f>IF($E156="","",VLOOKUP($E156,基金!$C$5:$I$50,3,0))</f>
        <v>华夏海外收益债券A</v>
      </c>
      <c r="H156" s="142" t="str">
        <f>IF($E156="","",VLOOKUP($E156,基金!$C$5:$I$50,5,0))</f>
        <v>场外</v>
      </c>
      <c r="I156" s="144" t="s">
        <v>33</v>
      </c>
      <c r="J156" s="141"/>
      <c r="K156" s="145">
        <v>2</v>
      </c>
      <c r="L156" s="141"/>
      <c r="M156" s="146">
        <v>1.251</v>
      </c>
      <c r="N156" s="149">
        <f>IF(E156="","",K156*MFJE)</f>
        <v>2000</v>
      </c>
      <c r="O156" s="147">
        <f>IF(OR(E156="",H156="",M156="",K156="",I156=""),"",IF($H156=CN,P156*M156,K156*MFJE))</f>
        <v>2000</v>
      </c>
      <c r="P156" s="148">
        <f>IF(OR(E156="",H156="",M156="",K156="",I156=""),"",IF(H156=CN,ROUND(N156/M156,-2),(N156-Q156)/M156))</f>
        <v>1598.72102318145</v>
      </c>
      <c r="Q156" s="152">
        <f>IF(OR(E156="",H156="",M156="",K156="",I156=""),"",IF(I156=MC,O156*VLOOKUP(E156,基金!$C$5:$M$55,11,0),O156*VLOOKUP(E156,基金!$C$5:$M$55,9,0)))</f>
        <v>0</v>
      </c>
      <c r="R156" s="153" t="s">
        <v>13</v>
      </c>
    </row>
    <row r="157" customHeight="1" spans="3:18">
      <c r="C157" s="139">
        <v>43403</v>
      </c>
      <c r="D157" s="140"/>
      <c r="E157" s="120">
        <v>159915</v>
      </c>
      <c r="F157" s="141"/>
      <c r="G157" s="76" t="str">
        <f>IF($E157="","",VLOOKUP($E157,基金!$C$5:$I$50,3,0))</f>
        <v>创业板</v>
      </c>
      <c r="H157" s="142" t="str">
        <f>IF($E157="","",VLOOKUP($E157,基金!$C$5:$I$50,5,0))</f>
        <v>场内</v>
      </c>
      <c r="I157" s="144" t="s">
        <v>32</v>
      </c>
      <c r="J157" s="141"/>
      <c r="K157" s="145">
        <v>1</v>
      </c>
      <c r="L157" s="141"/>
      <c r="M157" s="146">
        <v>1.205</v>
      </c>
      <c r="N157" s="149">
        <f>IF(E157="","",K157*MFJE)</f>
        <v>1000</v>
      </c>
      <c r="O157" s="147">
        <f>IF(OR(E157="",H157="",M157="",K157="",I157=""),"",IF($H157=CN,P157*M157,K157*MFJE))</f>
        <v>964</v>
      </c>
      <c r="P157" s="148">
        <f>IF(OR(E157="",H157="",M157="",K157="",I157=""),"",IF(H157=CN,ROUND(N157/M157,-2),(N157-Q157)/M157))</f>
        <v>800</v>
      </c>
      <c r="Q157" s="152">
        <f>IF(OR(E157="",H157="",M157="",K157="",I157=""),"",IF(I157=MC,O157*VLOOKUP(E157,基金!$C$5:$M$55,11,0),O157*VLOOKUP(E157,基金!$C$5:$M$55,9,0)))</f>
        <v>0.2892</v>
      </c>
      <c r="R157" s="153" t="str">
        <f>IF($E157="","",VLOOKUP($E157,基金!$C$5:$I$50,7,0))</f>
        <v>华泰证券</v>
      </c>
    </row>
    <row r="158" customHeight="1" spans="3:18">
      <c r="C158" s="139">
        <v>43403</v>
      </c>
      <c r="D158" s="140"/>
      <c r="E158" s="120">
        <v>161017</v>
      </c>
      <c r="F158" s="141"/>
      <c r="G158" s="76" t="str">
        <f>IF($E158="","",VLOOKUP($E158,基金!$C$5:$I$50,3,0))</f>
        <v>富国中证500</v>
      </c>
      <c r="H158" s="142" t="str">
        <f>IF($E158="","",VLOOKUP($E158,基金!$C$5:$I$50,5,0))</f>
        <v>场外</v>
      </c>
      <c r="I158" s="144" t="s">
        <v>32</v>
      </c>
      <c r="J158" s="141"/>
      <c r="K158" s="145">
        <v>1</v>
      </c>
      <c r="L158" s="141"/>
      <c r="M158" s="146">
        <v>1.636</v>
      </c>
      <c r="N158" s="149">
        <f>IF(E158="","",K158*MFJE)</f>
        <v>1000</v>
      </c>
      <c r="O158" s="147">
        <f>IF(OR(E158="",H158="",M158="",K158="",I158=""),"",IF($H158=CN,P158*M158,K158*MFJE))</f>
        <v>1000</v>
      </c>
      <c r="P158" s="148">
        <f>IF(OR(E158="",H158="",M158="",K158="",I158=""),"",IF(H158=CN,ROUND(N158/M158,-2),(N158-Q158)/M158))</f>
        <v>610.330073349633</v>
      </c>
      <c r="Q158" s="152">
        <f>IF(OR(E158="",H158="",M158="",K158="",I158=""),"",IF(I158=MC,O158*VLOOKUP(E158,基金!$C$5:$M$55,11,0),O158*VLOOKUP(E158,基金!$C$5:$M$55,9,0)))</f>
        <v>1.5</v>
      </c>
      <c r="R158" s="153" t="str">
        <f>IF($E158="","",VLOOKUP($E158,基金!$C$5:$I$50,7,0))</f>
        <v>华泰证券</v>
      </c>
    </row>
    <row r="159" customHeight="1" spans="3:18">
      <c r="C159" s="139">
        <v>43403</v>
      </c>
      <c r="D159" s="140"/>
      <c r="E159" s="120">
        <v>340001</v>
      </c>
      <c r="F159" s="141"/>
      <c r="G159" s="76" t="str">
        <f>IF($E159="","",VLOOKUP($E159,基金!$C$5:$I$50,3,0))</f>
        <v>兴全可转债混合</v>
      </c>
      <c r="H159" s="142" t="str">
        <f>IF($E159="","",VLOOKUP($E159,基金!$C$5:$I$50,5,0))</f>
        <v>场外</v>
      </c>
      <c r="I159" s="144" t="s">
        <v>32</v>
      </c>
      <c r="J159" s="141"/>
      <c r="K159" s="145">
        <v>1</v>
      </c>
      <c r="L159" s="141"/>
      <c r="M159" s="146">
        <v>0.9808</v>
      </c>
      <c r="N159" s="149">
        <f>IF(E159="","",K159*MFJE)</f>
        <v>1000</v>
      </c>
      <c r="O159" s="147">
        <f>IF(OR(E159="",H159="",M159="",K159="",I159=""),"",IF($H159=CN,P159*M159,K159*MFJE))</f>
        <v>1000</v>
      </c>
      <c r="P159" s="148">
        <f>IF(OR(E159="",H159="",M159="",K159="",I159=""),"",IF(H159=CN,ROUND(N159/M159,-2),(N159-Q159)/M159))</f>
        <v>1018.55628058728</v>
      </c>
      <c r="Q159" s="152">
        <f>IF(OR(E159="",H159="",M159="",K159="",I159=""),"",IF(I159=MC,O159*VLOOKUP(E159,基金!$C$5:$M$55,11,0),O159*VLOOKUP(E159,基金!$C$5:$M$55,9,0)))</f>
        <v>1</v>
      </c>
      <c r="R159" s="153" t="str">
        <f>IF($E159="","",VLOOKUP($E159,基金!$C$5:$I$50,7,0))</f>
        <v>华泰证券</v>
      </c>
    </row>
    <row r="160" customHeight="1" spans="3:18">
      <c r="C160" s="139">
        <v>43403</v>
      </c>
      <c r="D160" s="140"/>
      <c r="E160" s="120">
        <v>110022</v>
      </c>
      <c r="F160" s="141"/>
      <c r="G160" s="76" t="str">
        <f>IF($E160="","",VLOOKUP($E160,基金!$C$5:$I$50,3,0))</f>
        <v>易方达消费行业</v>
      </c>
      <c r="H160" s="142" t="str">
        <f>IF($E160="","",VLOOKUP($E160,基金!$C$5:$I$50,5,0))</f>
        <v>场外</v>
      </c>
      <c r="I160" s="144" t="s">
        <v>32</v>
      </c>
      <c r="J160" s="141"/>
      <c r="K160" s="145">
        <v>1</v>
      </c>
      <c r="L160" s="141"/>
      <c r="M160" s="146">
        <v>1.713</v>
      </c>
      <c r="N160" s="149">
        <f>IF(E160="","",K160*MFJE)</f>
        <v>1000</v>
      </c>
      <c r="O160" s="147">
        <f>IF(OR(E160="",H160="",M160="",K160="",I160=""),"",IF($H160=CN,P160*M160,K160*MFJE))</f>
        <v>1000</v>
      </c>
      <c r="P160" s="148">
        <f>IF(OR(E160="",H160="",M160="",K160="",I160=""),"",IF(H160=CN,ROUND(N160/M160,-2),(N160-Q160)/M160))</f>
        <v>582.895504962055</v>
      </c>
      <c r="Q160" s="152">
        <f>IF(OR(E160="",H160="",M160="",K160="",I160=""),"",IF(I160=MC,O160*VLOOKUP(E160,基金!$C$5:$M$55,11,0),O160*VLOOKUP(E160,基金!$C$5:$M$55,9,0)))</f>
        <v>1.5</v>
      </c>
      <c r="R160" s="153" t="str">
        <f>IF($E160="","",VLOOKUP($E160,基金!$C$5:$I$50,7,0))</f>
        <v>华泰证券</v>
      </c>
    </row>
    <row r="161" customHeight="1" spans="3:18">
      <c r="C161" s="139">
        <v>43403</v>
      </c>
      <c r="D161" s="140"/>
      <c r="E161" s="120">
        <v>100038</v>
      </c>
      <c r="F161" s="141"/>
      <c r="G161" s="76" t="str">
        <f>IF($E161="","",VLOOKUP($E161,基金!$C$5:$I$50,3,0))</f>
        <v>富国沪深300指数增强</v>
      </c>
      <c r="H161" s="142" t="str">
        <f>IF($E161="","",VLOOKUP($E161,基金!$C$5:$I$50,5,0))</f>
        <v>场外</v>
      </c>
      <c r="I161" s="144" t="s">
        <v>32</v>
      </c>
      <c r="J161" s="141"/>
      <c r="K161" s="145">
        <v>1</v>
      </c>
      <c r="L161" s="141"/>
      <c r="M161" s="146">
        <v>1.565</v>
      </c>
      <c r="N161" s="149">
        <f>IF(E161="","",K161*MFJE)</f>
        <v>1000</v>
      </c>
      <c r="O161" s="147">
        <f>IF(OR(E161="",H161="",M161="",K161="",I161=""),"",IF($H161=CN,P161*M161,K161*MFJE))</f>
        <v>1000</v>
      </c>
      <c r="P161" s="148">
        <f>IF(OR(E161="",H161="",M161="",K161="",I161=""),"",IF(H161=CN,ROUND(N161/M161,-2),(N161-Q161)/M161))</f>
        <v>638.210862619808</v>
      </c>
      <c r="Q161" s="152">
        <f>IF(OR(E161="",H161="",M161="",K161="",I161=""),"",IF(I161=MC,O161*VLOOKUP(E161,基金!$C$5:$M$55,11,0),O161*VLOOKUP(E161,基金!$C$5:$M$55,9,0)))</f>
        <v>1.2</v>
      </c>
      <c r="R161" s="153" t="str">
        <f>IF($E161="","",VLOOKUP($E161,基金!$C$5:$I$50,7,0))</f>
        <v>华泰证券</v>
      </c>
    </row>
    <row r="162" customHeight="1" spans="3:18">
      <c r="C162" s="139"/>
      <c r="D162" s="140"/>
      <c r="E162" s="120"/>
      <c r="F162" s="141"/>
      <c r="G162" s="76" t="str">
        <f>IF($E162="","",VLOOKUP($E162,基金!$C$5:$I$50,3,0))</f>
        <v/>
      </c>
      <c r="H162" s="142" t="str">
        <f>IF($E162="","",VLOOKUP($E162,基金!$C$5:$I$50,5,0))</f>
        <v/>
      </c>
      <c r="I162" s="144"/>
      <c r="J162" s="141"/>
      <c r="K162" s="145"/>
      <c r="L162" s="141"/>
      <c r="M162" s="146"/>
      <c r="N162" s="149" t="str">
        <f>IF(E162="","",K162*MFJE)</f>
        <v/>
      </c>
      <c r="O162" s="147" t="str">
        <f>IF(OR(E162="",H162="",M162="",K162="",I162=""),"",IF($H162=CN,P162*M162,K162*MFJE))</f>
        <v/>
      </c>
      <c r="P162" s="148" t="str">
        <f>IF(OR(E162="",H162="",M162="",K162="",I162=""),"",IF(H162=CN,ROUND(N162/M162,-2),(N162-Q162)/M162))</f>
        <v/>
      </c>
      <c r="Q162" s="152" t="str">
        <f>IF(OR(E162="",H162="",M162="",K162="",I162=""),"",IF(I162=MC,O162*VLOOKUP(E162,基金!$C$5:$M$55,11,0),O162*VLOOKUP(E162,基金!$C$5:$M$55,9,0)))</f>
        <v/>
      </c>
      <c r="R162" s="153" t="str">
        <f>IF($E162="","",VLOOKUP($E162,基金!$C$5:$I$50,7,0))</f>
        <v/>
      </c>
    </row>
    <row r="163" customHeight="1" spans="3:18">
      <c r="C163" s="139"/>
      <c r="D163" s="140"/>
      <c r="E163" s="120"/>
      <c r="F163" s="141"/>
      <c r="G163" s="76" t="str">
        <f>IF($E163="","",VLOOKUP($E163,基金!$C$5:$I$50,3,0))</f>
        <v/>
      </c>
      <c r="H163" s="142" t="str">
        <f>IF($E163="","",VLOOKUP($E163,基金!$C$5:$I$50,5,0))</f>
        <v/>
      </c>
      <c r="I163" s="144"/>
      <c r="J163" s="141"/>
      <c r="K163" s="145"/>
      <c r="L163" s="141"/>
      <c r="M163" s="146"/>
      <c r="N163" s="149" t="str">
        <f>IF(E163="","",K163*MFJE)</f>
        <v/>
      </c>
      <c r="O163" s="147" t="str">
        <f>IF(OR(E163="",H163="",M163="",K163="",I163=""),"",IF($H163=CN,P163*M163,K163*MFJE))</f>
        <v/>
      </c>
      <c r="P163" s="148" t="str">
        <f>IF(OR(E163="",H163="",M163="",K163="",I163=""),"",IF(H163=CN,ROUND(N163/M163,-2),(N163-Q163)/M163))</f>
        <v/>
      </c>
      <c r="Q163" s="152" t="str">
        <f>IF(OR(E163="",H163="",M163="",K163="",I163=""),"",IF(I163=MC,O163*VLOOKUP(E163,基金!$C$5:$M$55,11,0),O163*VLOOKUP(E163,基金!$C$5:$M$55,9,0)))</f>
        <v/>
      </c>
      <c r="R163" s="153" t="str">
        <f>IF($E163="","",VLOOKUP($E163,基金!$C$5:$I$50,7,0))</f>
        <v/>
      </c>
    </row>
    <row r="164" customHeight="1" spans="3:18">
      <c r="C164" s="139"/>
      <c r="D164" s="140"/>
      <c r="E164" s="120"/>
      <c r="F164" s="141"/>
      <c r="G164" s="76" t="str">
        <f>IF($E164="","",VLOOKUP($E164,基金!$C$5:$I$50,3,0))</f>
        <v/>
      </c>
      <c r="H164" s="142" t="str">
        <f>IF($E164="","",VLOOKUP($E164,基金!$C$5:$I$50,5,0))</f>
        <v/>
      </c>
      <c r="I164" s="144"/>
      <c r="J164" s="141"/>
      <c r="K164" s="145"/>
      <c r="L164" s="141"/>
      <c r="M164" s="146"/>
      <c r="N164" s="149" t="str">
        <f>IF(E164="","",K164*MFJE)</f>
        <v/>
      </c>
      <c r="O164" s="147" t="str">
        <f>IF(OR(E164="",H164="",M164="",K164="",I164=""),"",IF($H164=CN,P164*M164,K164*MFJE))</f>
        <v/>
      </c>
      <c r="P164" s="148" t="str">
        <f>IF(OR(E164="",H164="",M164="",K164="",I164=""),"",IF(H164=CN,ROUND(N164/M164,-2),(N164-Q164)/M164))</f>
        <v/>
      </c>
      <c r="Q164" s="152" t="str">
        <f>IF(OR(E164="",H164="",M164="",K164="",I164=""),"",IF(I164=MC,O164*VLOOKUP(E164,基金!$C$5:$M$55,11,0),O164*VLOOKUP(E164,基金!$C$5:$M$55,9,0)))</f>
        <v/>
      </c>
      <c r="R164" s="153" t="str">
        <f>IF($E164="","",VLOOKUP($E164,基金!$C$5:$I$50,7,0))</f>
        <v/>
      </c>
    </row>
    <row r="165" customHeight="1" spans="3:18">
      <c r="C165" s="139"/>
      <c r="D165" s="140"/>
      <c r="E165" s="120"/>
      <c r="F165" s="141"/>
      <c r="G165" s="76" t="str">
        <f>IF($E165="","",VLOOKUP($E165,基金!$C$5:$I$50,3,0))</f>
        <v/>
      </c>
      <c r="H165" s="142" t="str">
        <f>IF($E165="","",VLOOKUP($E165,基金!$C$5:$I$50,5,0))</f>
        <v/>
      </c>
      <c r="I165" s="144"/>
      <c r="J165" s="141"/>
      <c r="K165" s="145"/>
      <c r="L165" s="141"/>
      <c r="M165" s="146"/>
      <c r="N165" s="149" t="str">
        <f>IF(E165="","",K165*MFJE)</f>
        <v/>
      </c>
      <c r="O165" s="147" t="str">
        <f>IF(OR(E165="",H165="",M165="",K165="",I165=""),"",IF($H165=CN,P165*M165,K165*MFJE))</f>
        <v/>
      </c>
      <c r="P165" s="148" t="str">
        <f>IF(OR(E165="",H165="",M165="",K165="",I165=""),"",IF(H165=CN,ROUND(N165/M165,-2),(N165-Q165)/M165))</f>
        <v/>
      </c>
      <c r="Q165" s="152" t="str">
        <f>IF(OR(E165="",H165="",M165="",K165="",I165=""),"",IF(I165=MC,O165*VLOOKUP(E165,基金!$C$5:$M$55,11,0),O165*VLOOKUP(E165,基金!$C$5:$M$55,9,0)))</f>
        <v/>
      </c>
      <c r="R165" s="153" t="str">
        <f>IF($E165="","",VLOOKUP($E165,基金!$C$5:$I$50,7,0))</f>
        <v/>
      </c>
    </row>
    <row r="166" customHeight="1" spans="3:18">
      <c r="C166" s="139"/>
      <c r="D166" s="140"/>
      <c r="E166" s="120"/>
      <c r="F166" s="141"/>
      <c r="G166" s="76" t="str">
        <f>IF($E166="","",VLOOKUP($E166,基金!$C$5:$I$50,3,0))</f>
        <v/>
      </c>
      <c r="H166" s="142" t="str">
        <f>IF($E166="","",VLOOKUP($E166,基金!$C$5:$I$50,5,0))</f>
        <v/>
      </c>
      <c r="I166" s="144"/>
      <c r="J166" s="141"/>
      <c r="K166" s="145"/>
      <c r="L166" s="141"/>
      <c r="M166" s="146"/>
      <c r="N166" s="149" t="str">
        <f>IF(E166="","",K166*MFJE)</f>
        <v/>
      </c>
      <c r="O166" s="147" t="str">
        <f>IF(OR(E166="",H166="",M166="",K166="",I166=""),"",IF($H166=CN,P166*M166,K166*MFJE))</f>
        <v/>
      </c>
      <c r="P166" s="148" t="str">
        <f>IF(OR(E166="",H166="",M166="",K166="",I166=""),"",IF(H166=CN,ROUND(N166/M166,-2),(N166-Q166)/M166))</f>
        <v/>
      </c>
      <c r="Q166" s="152" t="str">
        <f>IF(OR(E166="",H166="",M166="",K166="",I166=""),"",IF(I166=MC,O166*VLOOKUP(E166,基金!$C$5:$M$55,11,0),O166*VLOOKUP(E166,基金!$C$5:$M$55,9,0)))</f>
        <v/>
      </c>
      <c r="R166" s="153" t="str">
        <f>IF($E166="","",VLOOKUP($E166,基金!$C$5:$I$50,7,0))</f>
        <v/>
      </c>
    </row>
    <row r="167" customHeight="1" spans="3:18">
      <c r="C167" s="139"/>
      <c r="D167" s="140"/>
      <c r="E167" s="120"/>
      <c r="F167" s="141"/>
      <c r="G167" s="76" t="str">
        <f>IF($E167="","",VLOOKUP($E167,基金!$C$5:$I$50,3,0))</f>
        <v/>
      </c>
      <c r="H167" s="142" t="str">
        <f>IF($E167="","",VLOOKUP($E167,基金!$C$5:$I$50,5,0))</f>
        <v/>
      </c>
      <c r="I167" s="144"/>
      <c r="J167" s="141"/>
      <c r="K167" s="145"/>
      <c r="L167" s="141"/>
      <c r="M167" s="146"/>
      <c r="N167" s="149" t="str">
        <f>IF(E167="","",K167*MFJE)</f>
        <v/>
      </c>
      <c r="O167" s="147" t="str">
        <f>IF(OR(E167="",H167="",M167="",K167="",I167=""),"",IF($H167=CN,P167*M167,K167*MFJE))</f>
        <v/>
      </c>
      <c r="P167" s="148" t="str">
        <f>IF(OR(E167="",H167="",M167="",K167="",I167=""),"",IF(H167=CN,ROUND(N167/M167,-2),(N167-Q167)/M167))</f>
        <v/>
      </c>
      <c r="Q167" s="152" t="str">
        <f>IF(OR(E167="",H167="",M167="",K167="",I167=""),"",IF(I167=MC,O167*VLOOKUP(E167,基金!$C$5:$M$55,11,0),O167*VLOOKUP(E167,基金!$C$5:$M$55,9,0)))</f>
        <v/>
      </c>
      <c r="R167" s="153" t="str">
        <f>IF($E167="","",VLOOKUP($E167,基金!$C$5:$I$50,7,0))</f>
        <v/>
      </c>
    </row>
    <row r="168" customHeight="1" spans="3:18">
      <c r="C168" s="139"/>
      <c r="D168" s="140"/>
      <c r="E168" s="120"/>
      <c r="F168" s="141"/>
      <c r="G168" s="76" t="str">
        <f>IF($E168="","",VLOOKUP($E168,基金!$C$5:$I$50,3,0))</f>
        <v/>
      </c>
      <c r="H168" s="142" t="str">
        <f>IF($E168="","",VLOOKUP($E168,基金!$C$5:$I$50,5,0))</f>
        <v/>
      </c>
      <c r="I168" s="144"/>
      <c r="J168" s="141"/>
      <c r="K168" s="145"/>
      <c r="L168" s="141"/>
      <c r="M168" s="146"/>
      <c r="N168" s="149" t="str">
        <f>IF(E168="","",K168*MFJE)</f>
        <v/>
      </c>
      <c r="O168" s="147" t="str">
        <f>IF(OR(E168="",H168="",M168="",K168="",I168=""),"",IF($H168=CN,P168*M168,K168*MFJE))</f>
        <v/>
      </c>
      <c r="P168" s="148" t="str">
        <f>IF(OR(E168="",H168="",M168="",K168="",I168=""),"",IF(H168=CN,ROUND(N168/M168,-2),(N168-Q168)/M168))</f>
        <v/>
      </c>
      <c r="Q168" s="152" t="str">
        <f>IF(OR(E168="",H168="",M168="",K168="",I168=""),"",IF(I168=MC,O168*VLOOKUP(E168,基金!$C$5:$M$55,11,0),O168*VLOOKUP(E168,基金!$C$5:$M$55,9,0)))</f>
        <v/>
      </c>
      <c r="R168" s="153" t="str">
        <f>IF($E168="","",VLOOKUP($E168,基金!$C$5:$I$50,7,0))</f>
        <v/>
      </c>
    </row>
    <row r="169" customHeight="1" spans="3:18">
      <c r="C169" s="139"/>
      <c r="D169" s="140"/>
      <c r="E169" s="120"/>
      <c r="F169" s="141"/>
      <c r="G169" s="76" t="str">
        <f>IF($E169="","",VLOOKUP($E169,基金!$C$5:$I$50,3,0))</f>
        <v/>
      </c>
      <c r="H169" s="142" t="str">
        <f>IF($E169="","",VLOOKUP($E169,基金!$C$5:$I$50,5,0))</f>
        <v/>
      </c>
      <c r="I169" s="144"/>
      <c r="J169" s="141"/>
      <c r="K169" s="145"/>
      <c r="L169" s="141"/>
      <c r="M169" s="146"/>
      <c r="N169" s="149" t="str">
        <f>IF(E169="","",K169*MFJE)</f>
        <v/>
      </c>
      <c r="O169" s="147" t="str">
        <f>IF(OR(E169="",H169="",M169="",K169="",I169=""),"",IF($H169=CN,P169*M169,K169*MFJE))</f>
        <v/>
      </c>
      <c r="P169" s="148" t="str">
        <f>IF(OR(E169="",H169="",M169="",K169="",I169=""),"",IF(H169=CN,ROUND(N169/M169,-2),(N169-Q169)/M169))</f>
        <v/>
      </c>
      <c r="Q169" s="152" t="str">
        <f>IF(OR(E169="",H169="",M169="",K169="",I169=""),"",IF(I169=MC,O169*VLOOKUP(E169,基金!$C$5:$M$55,11,0),O169*VLOOKUP(E169,基金!$C$5:$M$55,9,0)))</f>
        <v/>
      </c>
      <c r="R169" s="153" t="str">
        <f>IF($E169="","",VLOOKUP($E169,基金!$C$5:$I$50,7,0))</f>
        <v/>
      </c>
    </row>
    <row r="170" customHeight="1" spans="3:18">
      <c r="C170" s="139"/>
      <c r="D170" s="140"/>
      <c r="E170" s="120"/>
      <c r="F170" s="141"/>
      <c r="G170" s="76" t="str">
        <f>IF($E170="","",VLOOKUP($E170,基金!$C$5:$I$50,3,0))</f>
        <v/>
      </c>
      <c r="H170" s="142" t="str">
        <f>IF($E170="","",VLOOKUP($E170,基金!$C$5:$I$50,5,0))</f>
        <v/>
      </c>
      <c r="I170" s="144"/>
      <c r="J170" s="141"/>
      <c r="K170" s="145"/>
      <c r="L170" s="141"/>
      <c r="M170" s="146"/>
      <c r="N170" s="149" t="str">
        <f>IF(E170="","",K170*MFJE)</f>
        <v/>
      </c>
      <c r="O170" s="147" t="str">
        <f>IF(OR(E170="",H170="",M170="",K170="",I170=""),"",IF($H170=CN,P170*M170,K170*MFJE))</f>
        <v/>
      </c>
      <c r="P170" s="148" t="str">
        <f>IF(OR(E170="",H170="",M170="",K170="",I170=""),"",IF(H170=CN,ROUND(N170/M170,-2),(N170-Q170)/M170))</f>
        <v/>
      </c>
      <c r="Q170" s="152" t="str">
        <f>IF(OR(E170="",H170="",M170="",K170="",I170=""),"",IF(I170=MC,O170*VLOOKUP(E170,基金!$C$5:$M$55,11,0),O170*VLOOKUP(E170,基金!$C$5:$M$55,9,0)))</f>
        <v/>
      </c>
      <c r="R170" s="153" t="str">
        <f>IF($E170="","",VLOOKUP($E170,基金!$C$5:$I$50,7,0))</f>
        <v/>
      </c>
    </row>
    <row r="171" customHeight="1" spans="3:18">
      <c r="C171" s="139"/>
      <c r="D171" s="140"/>
      <c r="E171" s="120"/>
      <c r="F171" s="141"/>
      <c r="G171" s="76" t="str">
        <f>IF($E171="","",VLOOKUP($E171,基金!$C$5:$I$50,3,0))</f>
        <v/>
      </c>
      <c r="H171" s="142" t="str">
        <f>IF($E171="","",VLOOKUP($E171,基金!$C$5:$I$50,5,0))</f>
        <v/>
      </c>
      <c r="I171" s="144"/>
      <c r="J171" s="141"/>
      <c r="K171" s="145"/>
      <c r="L171" s="141"/>
      <c r="M171" s="146"/>
      <c r="N171" s="149" t="str">
        <f>IF(E171="","",K171*MFJE)</f>
        <v/>
      </c>
      <c r="O171" s="147" t="str">
        <f>IF(OR(E171="",H171="",M171="",K171="",I171=""),"",IF($H171=CN,P171*M171,K171*MFJE))</f>
        <v/>
      </c>
      <c r="P171" s="148" t="str">
        <f>IF(OR(E171="",H171="",M171="",K171="",I171=""),"",IF(H171=CN,ROUND(N171/M171,-2),(N171-Q171)/M171))</f>
        <v/>
      </c>
      <c r="Q171" s="152" t="str">
        <f>IF(OR(E171="",H171="",M171="",K171="",I171=""),"",IF(I171=MC,O171*VLOOKUP(E171,基金!$C$5:$M$55,11,0),O171*VLOOKUP(E171,基金!$C$5:$M$55,9,0)))</f>
        <v/>
      </c>
      <c r="R171" s="153" t="str">
        <f>IF($E171="","",VLOOKUP($E171,基金!$C$5:$I$50,7,0))</f>
        <v/>
      </c>
    </row>
    <row r="172" customHeight="1" spans="3:18">
      <c r="C172" s="139"/>
      <c r="D172" s="140"/>
      <c r="E172" s="120"/>
      <c r="F172" s="141"/>
      <c r="G172" s="76" t="str">
        <f>IF($E172="","",VLOOKUP($E172,基金!$C$5:$I$50,3,0))</f>
        <v/>
      </c>
      <c r="H172" s="142" t="str">
        <f>IF($E172="","",VLOOKUP($E172,基金!$C$5:$I$50,5,0))</f>
        <v/>
      </c>
      <c r="I172" s="144"/>
      <c r="J172" s="141"/>
      <c r="K172" s="145"/>
      <c r="L172" s="141"/>
      <c r="M172" s="146"/>
      <c r="N172" s="149" t="str">
        <f>IF(E172="","",K172*MFJE)</f>
        <v/>
      </c>
      <c r="O172" s="147" t="str">
        <f>IF(OR(E172="",H172="",M172="",K172="",I172=""),"",IF($H172=CN,P172*M172,K172*MFJE))</f>
        <v/>
      </c>
      <c r="P172" s="148" t="str">
        <f>IF(OR(E172="",H172="",M172="",K172="",I172=""),"",IF(H172=CN,ROUND(N172/M172,-2),(N172-Q172)/M172))</f>
        <v/>
      </c>
      <c r="Q172" s="152" t="str">
        <f>IF(OR(E172="",H172="",M172="",K172="",I172=""),"",IF(I172=MC,O172*VLOOKUP(E172,基金!$C$5:$M$55,11,0),O172*VLOOKUP(E172,基金!$C$5:$M$55,9,0)))</f>
        <v/>
      </c>
      <c r="R172" s="153" t="str">
        <f>IF($E172="","",VLOOKUP($E172,基金!$C$5:$I$50,7,0))</f>
        <v/>
      </c>
    </row>
    <row r="173" customHeight="1" spans="3:18">
      <c r="C173" s="139"/>
      <c r="D173" s="140"/>
      <c r="E173" s="120"/>
      <c r="F173" s="141"/>
      <c r="G173" s="76" t="str">
        <f>IF($E173="","",VLOOKUP($E173,基金!$C$5:$I$50,3,0))</f>
        <v/>
      </c>
      <c r="H173" s="142" t="str">
        <f>IF($E173="","",VLOOKUP($E173,基金!$C$5:$I$50,5,0))</f>
        <v/>
      </c>
      <c r="I173" s="144"/>
      <c r="J173" s="141"/>
      <c r="K173" s="145"/>
      <c r="L173" s="141"/>
      <c r="M173" s="146"/>
      <c r="N173" s="149" t="str">
        <f>IF(E173="","",K173*MFJE)</f>
        <v/>
      </c>
      <c r="O173" s="147" t="str">
        <f>IF(OR(E173="",H173="",M173="",K173="",I173=""),"",IF($H173=CN,P173*M173,K173*MFJE))</f>
        <v/>
      </c>
      <c r="P173" s="148" t="str">
        <f>IF(OR(E173="",H173="",M173="",K173="",I173=""),"",IF(H173=CN,ROUND(N173/M173,-2),(N173-Q173)/M173))</f>
        <v/>
      </c>
      <c r="Q173" s="152" t="str">
        <f>IF(OR(E173="",H173="",M173="",K173="",I173=""),"",IF(I173=MC,O173*VLOOKUP(E173,基金!$C$5:$M$55,11,0),O173*VLOOKUP(E173,基金!$C$5:$M$55,9,0)))</f>
        <v/>
      </c>
      <c r="R173" s="153" t="str">
        <f>IF($E173="","",VLOOKUP($E173,基金!$C$5:$I$50,7,0))</f>
        <v/>
      </c>
    </row>
    <row r="174" customHeight="1" spans="3:18">
      <c r="C174" s="139"/>
      <c r="D174" s="140"/>
      <c r="E174" s="120"/>
      <c r="F174" s="141"/>
      <c r="G174" s="76" t="str">
        <f>IF($E174="","",VLOOKUP($E174,基金!$C$5:$I$50,3,0))</f>
        <v/>
      </c>
      <c r="H174" s="142" t="str">
        <f>IF($E174="","",VLOOKUP($E174,基金!$C$5:$I$50,5,0))</f>
        <v/>
      </c>
      <c r="I174" s="144"/>
      <c r="J174" s="141"/>
      <c r="K174" s="145"/>
      <c r="L174" s="141"/>
      <c r="M174" s="146"/>
      <c r="N174" s="149" t="str">
        <f>IF(E174="","",K174*MFJE)</f>
        <v/>
      </c>
      <c r="O174" s="147" t="str">
        <f>IF(OR(E174="",H174="",M174="",K174="",I174=""),"",IF($H174=CN,P174*M174,K174*MFJE))</f>
        <v/>
      </c>
      <c r="P174" s="148" t="str">
        <f>IF(OR(E174="",H174="",M174="",K174="",I174=""),"",IF(H174=CN,ROUND(N174/M174,-2),(N174-Q174)/M174))</f>
        <v/>
      </c>
      <c r="Q174" s="152" t="str">
        <f>IF(OR(E174="",H174="",M174="",K174="",I174=""),"",IF(I174=MC,O174*VLOOKUP(E174,基金!$C$5:$M$55,11,0),O174*VLOOKUP(E174,基金!$C$5:$M$55,9,0)))</f>
        <v/>
      </c>
      <c r="R174" s="153" t="str">
        <f>IF($E174="","",VLOOKUP($E174,基金!$C$5:$I$50,7,0))</f>
        <v/>
      </c>
    </row>
    <row r="175" customHeight="1" spans="3:18">
      <c r="C175" s="139"/>
      <c r="D175" s="140"/>
      <c r="E175" s="120"/>
      <c r="F175" s="141"/>
      <c r="G175" s="76" t="str">
        <f>IF($E175="","",VLOOKUP($E175,基金!$C$5:$I$50,3,0))</f>
        <v/>
      </c>
      <c r="H175" s="142" t="str">
        <f>IF($E175="","",VLOOKUP($E175,基金!$C$5:$I$50,5,0))</f>
        <v/>
      </c>
      <c r="I175" s="144"/>
      <c r="J175" s="141"/>
      <c r="K175" s="145"/>
      <c r="L175" s="141"/>
      <c r="M175" s="146"/>
      <c r="N175" s="149" t="str">
        <f>IF(E175="","",K175*MFJE)</f>
        <v/>
      </c>
      <c r="O175" s="147" t="str">
        <f>IF(OR(E175="",H175="",M175="",K175="",I175=""),"",IF($H175=CN,P175*M175,K175*MFJE))</f>
        <v/>
      </c>
      <c r="P175" s="148" t="str">
        <f>IF(OR(E175="",H175="",M175="",K175="",I175=""),"",IF(H175=CN,ROUND(N175/M175,-2),(N175-Q175)/M175))</f>
        <v/>
      </c>
      <c r="Q175" s="152" t="str">
        <f>IF(OR(E175="",H175="",M175="",K175="",I175=""),"",IF(I175=MC,O175*VLOOKUP(E175,基金!$C$5:$M$55,11,0),O175*VLOOKUP(E175,基金!$C$5:$M$55,9,0)))</f>
        <v/>
      </c>
      <c r="R175" s="153" t="str">
        <f>IF($E175="","",VLOOKUP($E175,基金!$C$5:$I$50,7,0))</f>
        <v/>
      </c>
    </row>
    <row r="176" customHeight="1" spans="3:18">
      <c r="C176" s="139"/>
      <c r="D176" s="140"/>
      <c r="E176" s="120"/>
      <c r="F176" s="141"/>
      <c r="G176" s="76" t="str">
        <f>IF($E176="","",VLOOKUP($E176,基金!$C$5:$I$50,3,0))</f>
        <v/>
      </c>
      <c r="H176" s="142" t="str">
        <f>IF($E176="","",VLOOKUP($E176,基金!$C$5:$I$50,5,0))</f>
        <v/>
      </c>
      <c r="I176" s="144"/>
      <c r="J176" s="141"/>
      <c r="K176" s="145"/>
      <c r="L176" s="141"/>
      <c r="M176" s="146"/>
      <c r="N176" s="149" t="str">
        <f>IF(E176="","",K176*MFJE)</f>
        <v/>
      </c>
      <c r="O176" s="147" t="str">
        <f>IF(OR(E176="",H176="",M176="",K176="",I176=""),"",IF($H176=CN,P176*M176,K176*MFJE))</f>
        <v/>
      </c>
      <c r="P176" s="148" t="str">
        <f>IF(OR(E176="",H176="",M176="",K176="",I176=""),"",IF(H176=CN,ROUND(N176/M176,-2),(N176-Q176)/M176))</f>
        <v/>
      </c>
      <c r="Q176" s="152" t="str">
        <f>IF(OR(E176="",H176="",M176="",K176="",I176=""),"",IF(I176=MC,O176*VLOOKUP(E176,基金!$C$5:$M$55,11,0),O176*VLOOKUP(E176,基金!$C$5:$M$55,9,0)))</f>
        <v/>
      </c>
      <c r="R176" s="153" t="str">
        <f>IF($E176="","",VLOOKUP($E176,基金!$C$5:$I$50,7,0))</f>
        <v/>
      </c>
    </row>
    <row r="177" customHeight="1" spans="3:18">
      <c r="C177" s="139"/>
      <c r="D177" s="140"/>
      <c r="E177" s="120"/>
      <c r="F177" s="141"/>
      <c r="G177" s="76" t="str">
        <f>IF($E177="","",VLOOKUP($E177,基金!$C$5:$I$50,3,0))</f>
        <v/>
      </c>
      <c r="H177" s="142" t="str">
        <f>IF($E177="","",VLOOKUP($E177,基金!$C$5:$I$50,5,0))</f>
        <v/>
      </c>
      <c r="I177" s="144"/>
      <c r="J177" s="141"/>
      <c r="K177" s="145"/>
      <c r="L177" s="141"/>
      <c r="M177" s="146"/>
      <c r="N177" s="149" t="str">
        <f>IF(E177="","",K177*MFJE)</f>
        <v/>
      </c>
      <c r="O177" s="147" t="str">
        <f>IF(OR(E177="",H177="",M177="",K177="",I177=""),"",IF($H177=CN,P177*M177,K177*MFJE))</f>
        <v/>
      </c>
      <c r="P177" s="148" t="str">
        <f>IF(OR(E177="",H177="",M177="",K177="",I177=""),"",IF(H177=CN,ROUND(N177/M177,-2),(N177-Q177)/M177))</f>
        <v/>
      </c>
      <c r="Q177" s="152" t="str">
        <f>IF(OR(E177="",H177="",M177="",K177="",I177=""),"",IF(I177=MC,O177*VLOOKUP(E177,基金!$C$5:$M$55,11,0),O177*VLOOKUP(E177,基金!$C$5:$M$55,9,0)))</f>
        <v/>
      </c>
      <c r="R177" s="153" t="str">
        <f>IF($E177="","",VLOOKUP($E177,基金!$C$5:$I$50,7,0))</f>
        <v/>
      </c>
    </row>
    <row r="178" customHeight="1" spans="3:18">
      <c r="C178" s="139"/>
      <c r="D178" s="140"/>
      <c r="E178" s="120"/>
      <c r="F178" s="141"/>
      <c r="G178" s="76" t="str">
        <f>IF($E178="","",VLOOKUP($E178,基金!$C$5:$I$50,3,0))</f>
        <v/>
      </c>
      <c r="H178" s="142" t="str">
        <f>IF($E178="","",VLOOKUP($E178,基金!$C$5:$I$50,5,0))</f>
        <v/>
      </c>
      <c r="I178" s="144"/>
      <c r="J178" s="141"/>
      <c r="K178" s="145"/>
      <c r="L178" s="141"/>
      <c r="M178" s="146"/>
      <c r="N178" s="149" t="str">
        <f>IF(E178="","",K178*MFJE)</f>
        <v/>
      </c>
      <c r="O178" s="147" t="str">
        <f>IF(OR(E178="",H178="",M178="",K178="",I178=""),"",IF($H178=CN,P178*M178,K178*MFJE))</f>
        <v/>
      </c>
      <c r="P178" s="148" t="str">
        <f>IF(OR(E178="",H178="",M178="",K178="",I178=""),"",IF(H178=CN,ROUND(N178/M178,-2),(N178-Q178)/M178))</f>
        <v/>
      </c>
      <c r="Q178" s="152" t="str">
        <f>IF(OR(E178="",H178="",M178="",K178="",I178=""),"",IF(I178=MC,O178*VLOOKUP(E178,基金!$C$5:$M$55,11,0),O178*VLOOKUP(E178,基金!$C$5:$M$55,9,0)))</f>
        <v/>
      </c>
      <c r="R178" s="153" t="str">
        <f>IF($E178="","",VLOOKUP($E178,基金!$C$5:$I$50,7,0))</f>
        <v/>
      </c>
    </row>
    <row r="179" customHeight="1" spans="3:18">
      <c r="C179" s="139"/>
      <c r="D179" s="140"/>
      <c r="E179" s="120"/>
      <c r="F179" s="141"/>
      <c r="G179" s="76" t="str">
        <f>IF($E179="","",VLOOKUP($E179,基金!$C$5:$I$50,3,0))</f>
        <v/>
      </c>
      <c r="H179" s="142" t="str">
        <f>IF($E179="","",VLOOKUP($E179,基金!$C$5:$I$50,5,0))</f>
        <v/>
      </c>
      <c r="I179" s="144"/>
      <c r="J179" s="141"/>
      <c r="K179" s="145"/>
      <c r="L179" s="141"/>
      <c r="M179" s="146"/>
      <c r="N179" s="149" t="str">
        <f>IF(E179="","",K179*MFJE)</f>
        <v/>
      </c>
      <c r="O179" s="147" t="str">
        <f>IF(OR(E179="",H179="",M179="",K179="",I179=""),"",IF($H179=CN,P179*M179,K179*MFJE))</f>
        <v/>
      </c>
      <c r="P179" s="148" t="str">
        <f>IF(OR(E179="",H179="",M179="",K179="",I179=""),"",IF(H179=CN,ROUND(N179/M179,-2),(N179-Q179)/M179))</f>
        <v/>
      </c>
      <c r="Q179" s="152" t="str">
        <f>IF(OR(E179="",H179="",M179="",K179="",I179=""),"",IF(I179=MC,O179*VLOOKUP(E179,基金!$C$5:$M$55,11,0),O179*VLOOKUP(E179,基金!$C$5:$M$55,9,0)))</f>
        <v/>
      </c>
      <c r="R179" s="153" t="str">
        <f>IF($E179="","",VLOOKUP($E179,基金!$C$5:$I$50,7,0))</f>
        <v/>
      </c>
    </row>
    <row r="180" customHeight="1" spans="3:18">
      <c r="C180" s="139"/>
      <c r="D180" s="140"/>
      <c r="E180" s="120"/>
      <c r="F180" s="141"/>
      <c r="G180" s="76" t="str">
        <f>IF($E180="","",VLOOKUP($E180,基金!$C$5:$I$50,3,0))</f>
        <v/>
      </c>
      <c r="H180" s="142" t="str">
        <f>IF($E180="","",VLOOKUP($E180,基金!$C$5:$I$50,5,0))</f>
        <v/>
      </c>
      <c r="I180" s="144"/>
      <c r="J180" s="141"/>
      <c r="K180" s="145"/>
      <c r="L180" s="141"/>
      <c r="M180" s="146"/>
      <c r="N180" s="149" t="str">
        <f>IF(E180="","",K180*MFJE)</f>
        <v/>
      </c>
      <c r="O180" s="147" t="str">
        <f>IF(OR(E180="",H180="",M180="",K180="",I180=""),"",IF($H180=CN,P180*M180,K180*MFJE))</f>
        <v/>
      </c>
      <c r="P180" s="148" t="str">
        <f>IF(OR(E180="",H180="",M180="",K180="",I180=""),"",IF(H180=CN,ROUND(N180/M180,-2),(N180-Q180)/M180))</f>
        <v/>
      </c>
      <c r="Q180" s="152" t="str">
        <f>IF(OR(E180="",H180="",M180="",K180="",I180=""),"",IF(I180=MC,O180*VLOOKUP(E180,基金!$C$5:$M$55,11,0),O180*VLOOKUP(E180,基金!$C$5:$M$55,9,0)))</f>
        <v/>
      </c>
      <c r="R180" s="153" t="str">
        <f>IF($E180="","",VLOOKUP($E180,基金!$C$5:$I$50,7,0))</f>
        <v/>
      </c>
    </row>
    <row r="181" customHeight="1" spans="3:18">
      <c r="C181" s="139"/>
      <c r="D181" s="140"/>
      <c r="E181" s="120"/>
      <c r="F181" s="141"/>
      <c r="G181" s="76" t="str">
        <f>IF($E181="","",VLOOKUP($E181,基金!$C$5:$I$50,3,0))</f>
        <v/>
      </c>
      <c r="H181" s="142" t="str">
        <f>IF($E181="","",VLOOKUP($E181,基金!$C$5:$I$50,5,0))</f>
        <v/>
      </c>
      <c r="I181" s="144"/>
      <c r="J181" s="141"/>
      <c r="K181" s="145"/>
      <c r="L181" s="141"/>
      <c r="M181" s="146"/>
      <c r="N181" s="149" t="str">
        <f>IF(E181="","",K181*MFJE)</f>
        <v/>
      </c>
      <c r="O181" s="147" t="str">
        <f>IF(OR(E181="",H181="",M181="",K181="",I181=""),"",IF($H181=CN,P181*M181,K181*MFJE))</f>
        <v/>
      </c>
      <c r="P181" s="148" t="str">
        <f>IF(OR(E181="",H181="",M181="",K181="",I181=""),"",IF(H181=CN,ROUND(N181/M181,-2),(N181-Q181)/M181))</f>
        <v/>
      </c>
      <c r="Q181" s="152" t="str">
        <f>IF(OR(E181="",H181="",M181="",K181="",I181=""),"",IF(I181=MC,O181*VLOOKUP(E181,基金!$C$5:$M$55,11,0),O181*VLOOKUP(E181,基金!$C$5:$M$55,9,0)))</f>
        <v/>
      </c>
      <c r="R181" s="153" t="str">
        <f>IF($E181="","",VLOOKUP($E181,基金!$C$5:$I$50,7,0))</f>
        <v/>
      </c>
    </row>
    <row r="182" customHeight="1" spans="3:18">
      <c r="C182" s="139"/>
      <c r="D182" s="140"/>
      <c r="E182" s="120"/>
      <c r="F182" s="141"/>
      <c r="G182" s="76" t="str">
        <f>IF($E182="","",VLOOKUP($E182,基金!$C$5:$I$50,3,0))</f>
        <v/>
      </c>
      <c r="H182" s="142" t="str">
        <f>IF($E182="","",VLOOKUP($E182,基金!$C$5:$I$50,5,0))</f>
        <v/>
      </c>
      <c r="I182" s="144"/>
      <c r="J182" s="141"/>
      <c r="K182" s="145"/>
      <c r="L182" s="141"/>
      <c r="M182" s="146"/>
      <c r="N182" s="149" t="str">
        <f>IF(E182="","",K182*MFJE)</f>
        <v/>
      </c>
      <c r="O182" s="147" t="str">
        <f>IF(OR(E182="",H182="",M182="",K182="",I182=""),"",IF($H182=CN,P182*M182,K182*MFJE))</f>
        <v/>
      </c>
      <c r="P182" s="148" t="str">
        <f>IF(OR(E182="",H182="",M182="",K182="",I182=""),"",IF(H182=CN,ROUND(N182/M182,-2),(N182-Q182)/M182))</f>
        <v/>
      </c>
      <c r="Q182" s="152" t="str">
        <f>IF(OR(E182="",H182="",M182="",K182="",I182=""),"",IF(I182=MC,O182*VLOOKUP(E182,基金!$C$5:$M$55,11,0),O182*VLOOKUP(E182,基金!$C$5:$M$55,9,0)))</f>
        <v/>
      </c>
      <c r="R182" s="153" t="str">
        <f>IF($E182="","",VLOOKUP($E182,基金!$C$5:$I$50,7,0))</f>
        <v/>
      </c>
    </row>
    <row r="183" customHeight="1" spans="3:18">
      <c r="C183" s="139"/>
      <c r="D183" s="140"/>
      <c r="E183" s="120"/>
      <c r="F183" s="141"/>
      <c r="G183" s="76" t="str">
        <f>IF($E183="","",VLOOKUP($E183,基金!$C$5:$I$50,3,0))</f>
        <v/>
      </c>
      <c r="H183" s="142" t="str">
        <f>IF($E183="","",VLOOKUP($E183,基金!$C$5:$I$50,5,0))</f>
        <v/>
      </c>
      <c r="I183" s="144"/>
      <c r="J183" s="141"/>
      <c r="K183" s="145"/>
      <c r="L183" s="141"/>
      <c r="M183" s="146"/>
      <c r="N183" s="149" t="str">
        <f>IF(E183="","",K183*MFJE)</f>
        <v/>
      </c>
      <c r="O183" s="147" t="str">
        <f>IF(OR(E183="",H183="",M183="",K183="",I183=""),"",IF($H183=CN,P183*M183,K183*MFJE))</f>
        <v/>
      </c>
      <c r="P183" s="148" t="str">
        <f>IF(OR(E183="",H183="",M183="",K183="",I183=""),"",IF(H183=CN,ROUND(N183/M183,-2),(N183-Q183)/M183))</f>
        <v/>
      </c>
      <c r="Q183" s="152" t="str">
        <f>IF(OR(E183="",H183="",M183="",K183="",I183=""),"",IF(I183=MC,O183*VLOOKUP(E183,基金!$C$5:$M$55,11,0),O183*VLOOKUP(E183,基金!$C$5:$M$55,9,0)))</f>
        <v/>
      </c>
      <c r="R183" s="153" t="str">
        <f>IF($E183="","",VLOOKUP($E183,基金!$C$5:$I$50,7,0))</f>
        <v/>
      </c>
    </row>
    <row r="184" customHeight="1" spans="3:18">
      <c r="C184" s="139"/>
      <c r="D184" s="140"/>
      <c r="E184" s="120"/>
      <c r="F184" s="141"/>
      <c r="G184" s="76" t="str">
        <f>IF($E184="","",VLOOKUP($E184,基金!$C$5:$I$50,3,0))</f>
        <v/>
      </c>
      <c r="H184" s="142" t="str">
        <f>IF($E184="","",VLOOKUP($E184,基金!$C$5:$I$50,5,0))</f>
        <v/>
      </c>
      <c r="I184" s="144"/>
      <c r="J184" s="141"/>
      <c r="K184" s="145"/>
      <c r="L184" s="141"/>
      <c r="M184" s="146"/>
      <c r="N184" s="149" t="str">
        <f>IF(E184="","",K184*MFJE)</f>
        <v/>
      </c>
      <c r="O184" s="147" t="str">
        <f>IF(OR(E184="",H184="",M184="",K184="",I184=""),"",IF($H184=CN,P184*M184,K184*MFJE))</f>
        <v/>
      </c>
      <c r="P184" s="148" t="str">
        <f>IF(OR(E184="",H184="",M184="",K184="",I184=""),"",IF(H184=CN,ROUND(N184/M184,-2),(N184-Q184)/M184))</f>
        <v/>
      </c>
      <c r="Q184" s="152" t="str">
        <f>IF(OR(E184="",H184="",M184="",K184="",I184=""),"",IF(I184=MC,O184*VLOOKUP(E184,基金!$C$5:$M$55,11,0),O184*VLOOKUP(E184,基金!$C$5:$M$55,9,0)))</f>
        <v/>
      </c>
      <c r="R184" s="153" t="str">
        <f>IF($E184="","",VLOOKUP($E184,基金!$C$5:$I$50,7,0))</f>
        <v/>
      </c>
    </row>
    <row r="185" customHeight="1" spans="3:18">
      <c r="C185" s="139"/>
      <c r="D185" s="140"/>
      <c r="E185" s="120"/>
      <c r="F185" s="141"/>
      <c r="G185" s="76" t="str">
        <f>IF($E185="","",VLOOKUP($E185,基金!$C$5:$I$50,3,0))</f>
        <v/>
      </c>
      <c r="H185" s="142" t="str">
        <f>IF($E185="","",VLOOKUP($E185,基金!$C$5:$I$50,5,0))</f>
        <v/>
      </c>
      <c r="I185" s="144"/>
      <c r="J185" s="141"/>
      <c r="K185" s="145"/>
      <c r="L185" s="141"/>
      <c r="M185" s="146"/>
      <c r="N185" s="149" t="str">
        <f>IF(E185="","",K185*MFJE)</f>
        <v/>
      </c>
      <c r="O185" s="147" t="str">
        <f>IF(OR(E185="",H185="",M185="",K185="",I185=""),"",IF($H185=CN,P185*M185,K185*MFJE))</f>
        <v/>
      </c>
      <c r="P185" s="148" t="str">
        <f>IF(OR(E185="",H185="",M185="",K185="",I185=""),"",IF(H185=CN,ROUND(N185/M185,-2),(N185-Q185)/M185))</f>
        <v/>
      </c>
      <c r="Q185" s="152" t="str">
        <f>IF(OR(E185="",H185="",M185="",K185="",I185=""),"",IF(I185=MC,O185*VLOOKUP(E185,基金!$C$5:$M$55,11,0),O185*VLOOKUP(E185,基金!$C$5:$M$55,9,0)))</f>
        <v/>
      </c>
      <c r="R185" s="153" t="str">
        <f>IF($E185="","",VLOOKUP($E185,基金!$C$5:$I$50,7,0))</f>
        <v/>
      </c>
    </row>
    <row r="186" customHeight="1" spans="3:18">
      <c r="C186" s="139"/>
      <c r="D186" s="140"/>
      <c r="E186" s="120"/>
      <c r="F186" s="141"/>
      <c r="G186" s="76" t="str">
        <f>IF($E186="","",VLOOKUP($E186,基金!$C$5:$I$50,3,0))</f>
        <v/>
      </c>
      <c r="H186" s="142" t="str">
        <f>IF($E186="","",VLOOKUP($E186,基金!$C$5:$I$50,5,0))</f>
        <v/>
      </c>
      <c r="I186" s="144"/>
      <c r="J186" s="141"/>
      <c r="K186" s="145"/>
      <c r="L186" s="141"/>
      <c r="M186" s="146"/>
      <c r="N186" s="149" t="str">
        <f>IF(E186="","",K186*MFJE)</f>
        <v/>
      </c>
      <c r="O186" s="147" t="str">
        <f>IF(OR(E186="",H186="",M186="",K186="",I186=""),"",IF($H186=CN,P186*M186,K186*MFJE))</f>
        <v/>
      </c>
      <c r="P186" s="148" t="str">
        <f>IF(OR(E186="",H186="",M186="",K186="",I186=""),"",IF(H186=CN,ROUND(N186/M186,-2),(N186-Q186)/M186))</f>
        <v/>
      </c>
      <c r="Q186" s="152" t="str">
        <f>IF(OR(E186="",H186="",M186="",K186="",I186=""),"",IF(I186=MC,O186*VLOOKUP(E186,基金!$C$5:$M$55,11,0),O186*VLOOKUP(E186,基金!$C$5:$M$55,9,0)))</f>
        <v/>
      </c>
      <c r="R186" s="153" t="str">
        <f>IF($E186="","",VLOOKUP($E186,基金!$C$5:$I$50,7,0))</f>
        <v/>
      </c>
    </row>
    <row r="187" customHeight="1" spans="3:18">
      <c r="C187" s="139"/>
      <c r="D187" s="140"/>
      <c r="E187" s="120"/>
      <c r="F187" s="141"/>
      <c r="G187" s="76" t="str">
        <f>IF($E187="","",VLOOKUP($E187,基金!$C$5:$I$50,3,0))</f>
        <v/>
      </c>
      <c r="H187" s="142" t="str">
        <f>IF($E187="","",VLOOKUP($E187,基金!$C$5:$I$50,5,0))</f>
        <v/>
      </c>
      <c r="I187" s="144"/>
      <c r="J187" s="141"/>
      <c r="K187" s="145"/>
      <c r="L187" s="141"/>
      <c r="M187" s="146"/>
      <c r="N187" s="149" t="str">
        <f>IF(E187="","",K187*MFJE)</f>
        <v/>
      </c>
      <c r="O187" s="147" t="str">
        <f>IF(OR(E187="",H187="",M187="",K187="",I187=""),"",IF($H187=CN,P187*M187,K187*MFJE))</f>
        <v/>
      </c>
      <c r="P187" s="148" t="str">
        <f>IF(OR(E187="",H187="",M187="",K187="",I187=""),"",IF(H187=CN,ROUND(N187/M187,-2),(N187-Q187)/M187))</f>
        <v/>
      </c>
      <c r="Q187" s="152" t="str">
        <f>IF(OR(E187="",H187="",M187="",K187="",I187=""),"",IF(I187=MC,O187*VLOOKUP(E187,基金!$C$5:$M$55,11,0),O187*VLOOKUP(E187,基金!$C$5:$M$55,9,0)))</f>
        <v/>
      </c>
      <c r="R187" s="153" t="str">
        <f>IF($E187="","",VLOOKUP($E187,基金!$C$5:$I$50,7,0))</f>
        <v/>
      </c>
    </row>
    <row r="188" customHeight="1" spans="3:18">
      <c r="C188" s="139"/>
      <c r="D188" s="140"/>
      <c r="E188" s="120"/>
      <c r="F188" s="141"/>
      <c r="G188" s="76" t="str">
        <f>IF($E188="","",VLOOKUP($E188,基金!$C$5:$I$50,3,0))</f>
        <v/>
      </c>
      <c r="H188" s="142" t="str">
        <f>IF($E188="","",VLOOKUP($E188,基金!$C$5:$I$50,5,0))</f>
        <v/>
      </c>
      <c r="I188" s="144"/>
      <c r="J188" s="141"/>
      <c r="K188" s="145"/>
      <c r="L188" s="141"/>
      <c r="M188" s="146"/>
      <c r="N188" s="149" t="str">
        <f>IF(E188="","",K188*MFJE)</f>
        <v/>
      </c>
      <c r="O188" s="147" t="str">
        <f>IF(OR(E188="",H188="",M188="",K188="",I188=""),"",IF($H188=CN,P188*M188,K188*MFJE))</f>
        <v/>
      </c>
      <c r="P188" s="148" t="str">
        <f>IF(OR(E188="",H188="",M188="",K188="",I188=""),"",IF(H188=CN,ROUND(N188/M188,-2),(N188-Q188)/M188))</f>
        <v/>
      </c>
      <c r="Q188" s="152" t="str">
        <f>IF(OR(E188="",H188="",M188="",K188="",I188=""),"",IF(I188=MC,O188*VLOOKUP(E188,基金!$C$5:$M$55,11,0),O188*VLOOKUP(E188,基金!$C$5:$M$55,9,0)))</f>
        <v/>
      </c>
      <c r="R188" s="153" t="str">
        <f>IF($E188="","",VLOOKUP($E188,基金!$C$5:$I$50,7,0))</f>
        <v/>
      </c>
    </row>
    <row r="189" customHeight="1" spans="3:18">
      <c r="C189" s="139"/>
      <c r="D189" s="140"/>
      <c r="E189" s="120"/>
      <c r="F189" s="141"/>
      <c r="G189" s="76" t="str">
        <f>IF($E189="","",VLOOKUP($E189,基金!$C$5:$I$50,3,0))</f>
        <v/>
      </c>
      <c r="H189" s="142" t="str">
        <f>IF($E189="","",VLOOKUP($E189,基金!$C$5:$I$50,5,0))</f>
        <v/>
      </c>
      <c r="I189" s="144"/>
      <c r="J189" s="141"/>
      <c r="K189" s="145"/>
      <c r="L189" s="141"/>
      <c r="M189" s="146"/>
      <c r="N189" s="149" t="str">
        <f>IF(E189="","",K189*MFJE)</f>
        <v/>
      </c>
      <c r="O189" s="147" t="str">
        <f>IF(OR(E189="",H189="",M189="",K189="",I189=""),"",IF($H189=CN,P189*M189,K189*MFJE))</f>
        <v/>
      </c>
      <c r="P189" s="148" t="str">
        <f>IF(OR(E189="",H189="",M189="",K189="",I189=""),"",IF(H189=CN,ROUND(N189/M189,-2),(N189-Q189)/M189))</f>
        <v/>
      </c>
      <c r="Q189" s="152" t="str">
        <f>IF(OR(E189="",H189="",M189="",K189="",I189=""),"",IF(I189=MC,O189*VLOOKUP(E189,基金!$C$5:$M$55,11,0),O189*VLOOKUP(E189,基金!$C$5:$M$55,9,0)))</f>
        <v/>
      </c>
      <c r="R189" s="153" t="str">
        <f>IF($E189="","",VLOOKUP($E189,基金!$C$5:$I$50,7,0))</f>
        <v/>
      </c>
    </row>
    <row r="190" customHeight="1" spans="3:18">
      <c r="C190" s="139"/>
      <c r="D190" s="140"/>
      <c r="E190" s="120"/>
      <c r="F190" s="141"/>
      <c r="G190" s="76" t="str">
        <f>IF($E190="","",VLOOKUP($E190,基金!$C$5:$I$50,3,0))</f>
        <v/>
      </c>
      <c r="H190" s="142" t="str">
        <f>IF($E190="","",VLOOKUP($E190,基金!$C$5:$I$50,5,0))</f>
        <v/>
      </c>
      <c r="I190" s="144"/>
      <c r="J190" s="141"/>
      <c r="K190" s="145"/>
      <c r="L190" s="141"/>
      <c r="M190" s="146"/>
      <c r="N190" s="149" t="str">
        <f>IF(E190="","",K190*MFJE)</f>
        <v/>
      </c>
      <c r="O190" s="147" t="str">
        <f>IF(OR(E190="",H190="",M190="",K190="",I190=""),"",IF($H190=CN,P190*M190,K190*MFJE))</f>
        <v/>
      </c>
      <c r="P190" s="148" t="str">
        <f>IF(OR(E190="",H190="",M190="",K190="",I190=""),"",IF(H190=CN,ROUND(N190/M190,-2),(N190-Q190)/M190))</f>
        <v/>
      </c>
      <c r="Q190" s="152" t="str">
        <f>IF(OR(E190="",H190="",M190="",K190="",I190=""),"",IF(I190=MC,O190*VLOOKUP(E190,基金!$C$5:$M$55,11,0),O190*VLOOKUP(E190,基金!$C$5:$M$55,9,0)))</f>
        <v/>
      </c>
      <c r="R190" s="153" t="str">
        <f>IF($E190="","",VLOOKUP($E190,基金!$C$5:$I$50,7,0))</f>
        <v/>
      </c>
    </row>
    <row r="191" customHeight="1" spans="3:18">
      <c r="C191" s="139"/>
      <c r="D191" s="140"/>
      <c r="E191" s="120"/>
      <c r="F191" s="141"/>
      <c r="G191" s="76" t="str">
        <f>IF($E191="","",VLOOKUP($E191,基金!$C$5:$I$50,3,0))</f>
        <v/>
      </c>
      <c r="H191" s="142" t="str">
        <f>IF($E191="","",VLOOKUP($E191,基金!$C$5:$I$50,5,0))</f>
        <v/>
      </c>
      <c r="I191" s="144"/>
      <c r="J191" s="141"/>
      <c r="K191" s="145"/>
      <c r="L191" s="141"/>
      <c r="M191" s="146"/>
      <c r="N191" s="149" t="str">
        <f>IF(E191="","",K191*MFJE)</f>
        <v/>
      </c>
      <c r="O191" s="147" t="str">
        <f>IF(OR(E191="",H191="",M191="",K191="",I191=""),"",IF($H191=CN,P191*M191,K191*MFJE))</f>
        <v/>
      </c>
      <c r="P191" s="148" t="str">
        <f>IF(OR(E191="",H191="",M191="",K191="",I191=""),"",IF(H191=CN,ROUND(N191/M191,-2),(N191-Q191)/M191))</f>
        <v/>
      </c>
      <c r="Q191" s="152" t="str">
        <f>IF(OR(E191="",H191="",M191="",K191="",I191=""),"",IF(I191=MC,O191*VLOOKUP(E191,基金!$C$5:$M$55,11,0),O191*VLOOKUP(E191,基金!$C$5:$M$55,9,0)))</f>
        <v/>
      </c>
      <c r="R191" s="153" t="str">
        <f>IF($E191="","",VLOOKUP($E191,基金!$C$5:$I$50,7,0))</f>
        <v/>
      </c>
    </row>
    <row r="192" customHeight="1" spans="3:18">
      <c r="C192" s="139"/>
      <c r="D192" s="140"/>
      <c r="E192" s="120"/>
      <c r="F192" s="141"/>
      <c r="G192" s="76" t="str">
        <f>IF($E192="","",VLOOKUP($E192,基金!$C$5:$I$50,3,0))</f>
        <v/>
      </c>
      <c r="H192" s="142" t="str">
        <f>IF($E192="","",VLOOKUP($E192,基金!$C$5:$I$50,5,0))</f>
        <v/>
      </c>
      <c r="I192" s="144"/>
      <c r="J192" s="141"/>
      <c r="K192" s="145"/>
      <c r="L192" s="141"/>
      <c r="M192" s="146"/>
      <c r="N192" s="149" t="str">
        <f>IF(E192="","",K192*MFJE)</f>
        <v/>
      </c>
      <c r="O192" s="147" t="str">
        <f>IF(OR(E192="",H192="",M192="",K192="",I192=""),"",IF($H192=CN,P192*M192,K192*MFJE))</f>
        <v/>
      </c>
      <c r="P192" s="148" t="str">
        <f>IF(OR(E192="",H192="",M192="",K192="",I192=""),"",IF(H192=CN,ROUND(N192/M192,-2),(N192-Q192)/M192))</f>
        <v/>
      </c>
      <c r="Q192" s="152" t="str">
        <f>IF(OR(E192="",H192="",M192="",K192="",I192=""),"",IF(I192=MC,O192*VLOOKUP(E192,基金!$C$5:$M$55,11,0),O192*VLOOKUP(E192,基金!$C$5:$M$55,9,0)))</f>
        <v/>
      </c>
      <c r="R192" s="153" t="str">
        <f>IF($E192="","",VLOOKUP($E192,基金!$C$5:$I$50,7,0))</f>
        <v/>
      </c>
    </row>
    <row r="193" customHeight="1" spans="3:18">
      <c r="C193" s="139"/>
      <c r="D193" s="140"/>
      <c r="E193" s="120"/>
      <c r="F193" s="141"/>
      <c r="G193" s="76" t="str">
        <f>IF($E193="","",VLOOKUP($E193,基金!$C$5:$I$50,3,0))</f>
        <v/>
      </c>
      <c r="H193" s="142" t="str">
        <f>IF($E193="","",VLOOKUP($E193,基金!$C$5:$I$50,5,0))</f>
        <v/>
      </c>
      <c r="I193" s="144"/>
      <c r="J193" s="141"/>
      <c r="K193" s="145"/>
      <c r="L193" s="141"/>
      <c r="M193" s="146"/>
      <c r="N193" s="149" t="str">
        <f>IF(E193="","",K193*MFJE)</f>
        <v/>
      </c>
      <c r="O193" s="147" t="str">
        <f>IF(OR(E193="",H193="",M193="",K193="",I193=""),"",IF($H193=CN,P193*M193,K193*MFJE))</f>
        <v/>
      </c>
      <c r="P193" s="148" t="str">
        <f>IF(OR(E193="",H193="",M193="",K193="",I193=""),"",IF(H193=CN,ROUND(N193/M193,-2),(N193-Q193)/M193))</f>
        <v/>
      </c>
      <c r="Q193" s="152" t="str">
        <f>IF(OR(E193="",H193="",M193="",K193="",I193=""),"",IF(I193=MC,O193*VLOOKUP(E193,基金!$C$5:$M$55,11,0),O193*VLOOKUP(E193,基金!$C$5:$M$55,9,0)))</f>
        <v/>
      </c>
      <c r="R193" s="153" t="str">
        <f>IF($E193="","",VLOOKUP($E193,基金!$C$5:$I$50,7,0))</f>
        <v/>
      </c>
    </row>
    <row r="194" customHeight="1" spans="3:18">
      <c r="C194" s="139"/>
      <c r="D194" s="140"/>
      <c r="E194" s="120"/>
      <c r="F194" s="141"/>
      <c r="G194" s="76" t="str">
        <f>IF($E194="","",VLOOKUP($E194,基金!$C$5:$I$50,3,0))</f>
        <v/>
      </c>
      <c r="H194" s="142" t="str">
        <f>IF($E194="","",VLOOKUP($E194,基金!$C$5:$I$50,5,0))</f>
        <v/>
      </c>
      <c r="I194" s="144"/>
      <c r="J194" s="141"/>
      <c r="K194" s="145"/>
      <c r="L194" s="141"/>
      <c r="M194" s="146"/>
      <c r="N194" s="149" t="str">
        <f>IF(E194="","",K194*MFJE)</f>
        <v/>
      </c>
      <c r="O194" s="147" t="str">
        <f>IF(OR(E194="",H194="",M194="",K194="",I194=""),"",IF($H194=CN,P194*M194,K194*MFJE))</f>
        <v/>
      </c>
      <c r="P194" s="148" t="str">
        <f>IF(OR(E194="",H194="",M194="",K194="",I194=""),"",IF(H194=CN,ROUND(N194/M194,-2),(N194-Q194)/M194))</f>
        <v/>
      </c>
      <c r="Q194" s="152" t="str">
        <f>IF(OR(E194="",H194="",M194="",K194="",I194=""),"",IF(I194=MC,O194*VLOOKUP(E194,基金!$C$5:$M$55,11,0),O194*VLOOKUP(E194,基金!$C$5:$M$55,9,0)))</f>
        <v/>
      </c>
      <c r="R194" s="153" t="str">
        <f>IF($E194="","",VLOOKUP($E194,基金!$C$5:$I$50,7,0))</f>
        <v/>
      </c>
    </row>
    <row r="195" customHeight="1" spans="3:18">
      <c r="C195" s="139"/>
      <c r="D195" s="140"/>
      <c r="E195" s="120"/>
      <c r="F195" s="141"/>
      <c r="G195" s="76" t="str">
        <f>IF($E195="","",VLOOKUP($E195,基金!$C$5:$I$50,3,0))</f>
        <v/>
      </c>
      <c r="H195" s="142" t="str">
        <f>IF($E195="","",VLOOKUP($E195,基金!$C$5:$I$50,5,0))</f>
        <v/>
      </c>
      <c r="I195" s="144"/>
      <c r="J195" s="141"/>
      <c r="K195" s="145"/>
      <c r="L195" s="141"/>
      <c r="M195" s="146"/>
      <c r="N195" s="149" t="str">
        <f>IF(E195="","",K195*MFJE)</f>
        <v/>
      </c>
      <c r="O195" s="147" t="str">
        <f>IF(OR(E195="",H195="",M195="",K195="",I195=""),"",IF($H195=CN,P195*M195,K195*MFJE))</f>
        <v/>
      </c>
      <c r="P195" s="148" t="str">
        <f>IF(OR(E195="",H195="",M195="",K195="",I195=""),"",IF(H195=CN,ROUND(N195/M195,-2),(N195-Q195)/M195))</f>
        <v/>
      </c>
      <c r="Q195" s="152" t="str">
        <f>IF(OR(E195="",H195="",M195="",K195="",I195=""),"",IF(I195=MC,O195*VLOOKUP(E195,基金!$C$5:$M$55,11,0),O195*VLOOKUP(E195,基金!$C$5:$M$55,9,0)))</f>
        <v/>
      </c>
      <c r="R195" s="153" t="str">
        <f>IF($E195="","",VLOOKUP($E195,基金!$C$5:$I$50,7,0))</f>
        <v/>
      </c>
    </row>
    <row r="196" customHeight="1" spans="3:18">
      <c r="C196" s="139"/>
      <c r="D196" s="140"/>
      <c r="E196" s="120"/>
      <c r="F196" s="141"/>
      <c r="G196" s="76" t="str">
        <f>IF($E196="","",VLOOKUP($E196,基金!$C$5:$I$50,3,0))</f>
        <v/>
      </c>
      <c r="H196" s="142" t="str">
        <f>IF($E196="","",VLOOKUP($E196,基金!$C$5:$I$50,5,0))</f>
        <v/>
      </c>
      <c r="I196" s="144"/>
      <c r="J196" s="141"/>
      <c r="K196" s="145"/>
      <c r="L196" s="141"/>
      <c r="M196" s="146"/>
      <c r="N196" s="149" t="str">
        <f>IF(E196="","",K196*MFJE)</f>
        <v/>
      </c>
      <c r="O196" s="147" t="str">
        <f>IF(OR(E196="",H196="",M196="",K196="",I196=""),"",IF($H196=CN,P196*M196,K196*MFJE))</f>
        <v/>
      </c>
      <c r="P196" s="148" t="str">
        <f>IF(OR(E196="",H196="",M196="",K196="",I196=""),"",IF(H196=CN,ROUND(N196/M196,-2),(N196-Q196)/M196))</f>
        <v/>
      </c>
      <c r="Q196" s="152" t="str">
        <f>IF(OR(E196="",H196="",M196="",K196="",I196=""),"",IF(I196=MC,O196*VLOOKUP(E196,基金!$C$5:$M$55,11,0),O196*VLOOKUP(E196,基金!$C$5:$M$55,9,0)))</f>
        <v/>
      </c>
      <c r="R196" s="153" t="str">
        <f>IF($E196="","",VLOOKUP($E196,基金!$C$5:$I$50,7,0))</f>
        <v/>
      </c>
    </row>
    <row r="197" customHeight="1" spans="3:18">
      <c r="C197" s="139"/>
      <c r="D197" s="140"/>
      <c r="E197" s="120"/>
      <c r="F197" s="141"/>
      <c r="G197" s="76" t="str">
        <f>IF($E197="","",VLOOKUP($E197,基金!$C$5:$I$50,3,0))</f>
        <v/>
      </c>
      <c r="H197" s="142" t="str">
        <f>IF($E197="","",VLOOKUP($E197,基金!$C$5:$I$50,5,0))</f>
        <v/>
      </c>
      <c r="I197" s="144"/>
      <c r="J197" s="141"/>
      <c r="K197" s="145"/>
      <c r="L197" s="141"/>
      <c r="M197" s="146"/>
      <c r="N197" s="149" t="str">
        <f>IF(E197="","",K197*MFJE)</f>
        <v/>
      </c>
      <c r="O197" s="147" t="str">
        <f>IF(OR(E197="",H197="",M197="",K197="",I197=""),"",IF($H197=CN,P197*M197,K197*MFJE))</f>
        <v/>
      </c>
      <c r="P197" s="148" t="str">
        <f>IF(OR(E197="",H197="",M197="",K197="",I197=""),"",IF(H197=CN,ROUND(N197/M197,-2),(N197-Q197)/M197))</f>
        <v/>
      </c>
      <c r="Q197" s="152" t="str">
        <f>IF(OR(E197="",H197="",M197="",K197="",I197=""),"",IF(I197=MC,O197*VLOOKUP(E197,基金!$C$5:$M$55,11,0),O197*VLOOKUP(E197,基金!$C$5:$M$55,9,0)))</f>
        <v/>
      </c>
      <c r="R197" s="153" t="str">
        <f>IF($E197="","",VLOOKUP($E197,基金!$C$5:$I$50,7,0))</f>
        <v/>
      </c>
    </row>
    <row r="198" customHeight="1" spans="3:18">
      <c r="C198" s="139"/>
      <c r="D198" s="140"/>
      <c r="E198" s="120"/>
      <c r="F198" s="141"/>
      <c r="G198" s="76" t="str">
        <f>IF($E198="","",VLOOKUP($E198,基金!$C$5:$I$50,3,0))</f>
        <v/>
      </c>
      <c r="H198" s="142" t="str">
        <f>IF($E198="","",VLOOKUP($E198,基金!$C$5:$I$50,5,0))</f>
        <v/>
      </c>
      <c r="I198" s="144"/>
      <c r="J198" s="141"/>
      <c r="K198" s="145"/>
      <c r="L198" s="141"/>
      <c r="M198" s="146"/>
      <c r="N198" s="149" t="str">
        <f>IF(E198="","",K198*MFJE)</f>
        <v/>
      </c>
      <c r="O198" s="147" t="str">
        <f>IF(OR(E198="",H198="",M198="",K198="",I198=""),"",IF($H198=CN,P198*M198,K198*MFJE))</f>
        <v/>
      </c>
      <c r="P198" s="148" t="str">
        <f>IF(OR(E198="",H198="",M198="",K198="",I198=""),"",IF(H198=CN,ROUND(N198/M198,-2),(N198-Q198)/M198))</f>
        <v/>
      </c>
      <c r="Q198" s="152" t="str">
        <f>IF(OR(E198="",H198="",M198="",K198="",I198=""),"",IF(I198=MC,O198*VLOOKUP(E198,基金!$C$5:$M$55,11,0),O198*VLOOKUP(E198,基金!$C$5:$M$55,9,0)))</f>
        <v/>
      </c>
      <c r="R198" s="153" t="str">
        <f>IF($E198="","",VLOOKUP($E198,基金!$C$5:$I$50,7,0))</f>
        <v/>
      </c>
    </row>
    <row r="199" customHeight="1" spans="3:18">
      <c r="C199" s="139"/>
      <c r="D199" s="140"/>
      <c r="E199" s="120"/>
      <c r="F199" s="141"/>
      <c r="G199" s="76" t="str">
        <f>IF($E199="","",VLOOKUP($E199,基金!$C$5:$I$50,3,0))</f>
        <v/>
      </c>
      <c r="H199" s="142" t="str">
        <f>IF($E199="","",VLOOKUP($E199,基金!$C$5:$I$50,5,0))</f>
        <v/>
      </c>
      <c r="I199" s="144"/>
      <c r="J199" s="141"/>
      <c r="K199" s="145"/>
      <c r="L199" s="141"/>
      <c r="M199" s="146"/>
      <c r="N199" s="149" t="str">
        <f>IF(E199="","",K199*MFJE)</f>
        <v/>
      </c>
      <c r="O199" s="147" t="str">
        <f>IF(OR(E199="",H199="",M199="",K199="",I199=""),"",IF($H199=CN,P199*M199,K199*MFJE))</f>
        <v/>
      </c>
      <c r="P199" s="148" t="str">
        <f>IF(OR(E199="",H199="",M199="",K199="",I199=""),"",IF(H199=CN,ROUND(N199/M199,-2),(N199-Q199)/M199))</f>
        <v/>
      </c>
      <c r="Q199" s="152" t="str">
        <f>IF(OR(E199="",H199="",M199="",K199="",I199=""),"",IF(I199=MC,O199*VLOOKUP(E199,基金!$C$5:$M$55,11,0),O199*VLOOKUP(E199,基金!$C$5:$M$55,9,0)))</f>
        <v/>
      </c>
      <c r="R199" s="153" t="str">
        <f>IF($E199="","",VLOOKUP($E199,基金!$C$5:$I$50,7,0))</f>
        <v/>
      </c>
    </row>
    <row r="200" customHeight="1" spans="3:18">
      <c r="C200" s="139"/>
      <c r="D200" s="140"/>
      <c r="E200" s="120"/>
      <c r="F200" s="141"/>
      <c r="G200" s="76" t="str">
        <f>IF($E200="","",VLOOKUP($E200,基金!$C$5:$I$50,3,0))</f>
        <v/>
      </c>
      <c r="H200" s="142" t="str">
        <f>IF($E200="","",VLOOKUP($E200,基金!$C$5:$I$50,5,0))</f>
        <v/>
      </c>
      <c r="I200" s="144"/>
      <c r="J200" s="141"/>
      <c r="K200" s="145"/>
      <c r="L200" s="141"/>
      <c r="M200" s="146"/>
      <c r="N200" s="149" t="str">
        <f>IF(E200="","",K200*MFJE)</f>
        <v/>
      </c>
      <c r="O200" s="147" t="str">
        <f>IF(OR(E200="",H200="",M200="",K200="",I200=""),"",IF($H200=CN,P200*M200,K200*MFJE))</f>
        <v/>
      </c>
      <c r="P200" s="148" t="str">
        <f>IF(OR(E200="",H200="",M200="",K200="",I200=""),"",IF(H200=CN,ROUND(N200/M200,-2),(N200-Q200)/M200))</f>
        <v/>
      </c>
      <c r="Q200" s="152" t="str">
        <f>IF(OR(E200="",H200="",M200="",K200="",I200=""),"",IF(I200=MC,O200*VLOOKUP(E200,基金!$C$5:$M$55,11,0),O200*VLOOKUP(E200,基金!$C$5:$M$55,9,0)))</f>
        <v/>
      </c>
      <c r="R200" s="153" t="str">
        <f>IF($E200="","",VLOOKUP($E200,基金!$C$5:$I$50,7,0))</f>
        <v/>
      </c>
    </row>
    <row r="201" customHeight="1" spans="3:18">
      <c r="C201" s="139"/>
      <c r="D201" s="140"/>
      <c r="E201" s="120"/>
      <c r="F201" s="141"/>
      <c r="G201" s="76" t="str">
        <f>IF($E201="","",VLOOKUP($E201,基金!$C$5:$I$50,3,0))</f>
        <v/>
      </c>
      <c r="H201" s="142" t="str">
        <f>IF($E201="","",VLOOKUP($E201,基金!$C$5:$I$50,5,0))</f>
        <v/>
      </c>
      <c r="I201" s="144"/>
      <c r="J201" s="141"/>
      <c r="K201" s="145"/>
      <c r="L201" s="141"/>
      <c r="M201" s="146"/>
      <c r="N201" s="149" t="str">
        <f>IF(E201="","",K201*MFJE)</f>
        <v/>
      </c>
      <c r="O201" s="147" t="str">
        <f>IF(OR(E201="",H201="",M201="",K201="",I201=""),"",IF($H201=CN,P201*M201,K201*MFJE))</f>
        <v/>
      </c>
      <c r="P201" s="148" t="str">
        <f>IF(OR(E201="",H201="",M201="",K201="",I201=""),"",IF(H201=CN,ROUND(N201/M201,-2),(N201-Q201)/M201))</f>
        <v/>
      </c>
      <c r="Q201" s="152" t="str">
        <f>IF(OR(E201="",H201="",M201="",K201="",I201=""),"",IF(I201=MC,O201*VLOOKUP(E201,基金!$C$5:$M$55,11,0),O201*VLOOKUP(E201,基金!$C$5:$M$55,9,0)))</f>
        <v/>
      </c>
      <c r="R201" s="153" t="str">
        <f>IF($E201="","",VLOOKUP($E201,基金!$C$5:$I$50,7,0))</f>
        <v/>
      </c>
    </row>
    <row r="202" customHeight="1" spans="3:18">
      <c r="C202" s="139"/>
      <c r="D202" s="140"/>
      <c r="E202" s="120"/>
      <c r="F202" s="141"/>
      <c r="G202" s="76" t="str">
        <f>IF($E202="","",VLOOKUP($E202,基金!$C$5:$I$50,3,0))</f>
        <v/>
      </c>
      <c r="H202" s="142" t="str">
        <f>IF($E202="","",VLOOKUP($E202,基金!$C$5:$I$50,5,0))</f>
        <v/>
      </c>
      <c r="I202" s="144"/>
      <c r="J202" s="141"/>
      <c r="K202" s="145"/>
      <c r="L202" s="141"/>
      <c r="M202" s="146"/>
      <c r="N202" s="149" t="str">
        <f>IF(E202="","",K202*MFJE)</f>
        <v/>
      </c>
      <c r="O202" s="147" t="str">
        <f>IF(OR(E202="",H202="",M202="",K202="",I202=""),"",IF($H202=CN,P202*M202,K202*MFJE))</f>
        <v/>
      </c>
      <c r="P202" s="148" t="str">
        <f>IF(OR(E202="",H202="",M202="",K202="",I202=""),"",IF(H202=CN,ROUND(N202/M202,-2),(N202-Q202)/M202))</f>
        <v/>
      </c>
      <c r="Q202" s="152" t="str">
        <f>IF(OR(E202="",H202="",M202="",K202="",I202=""),"",IF(I202=MC,O202*VLOOKUP(E202,基金!$C$5:$M$55,11,0),O202*VLOOKUP(E202,基金!$C$5:$M$55,9,0)))</f>
        <v/>
      </c>
      <c r="R202" s="153" t="str">
        <f>IF($E202="","",VLOOKUP($E202,基金!$C$5:$I$50,7,0))</f>
        <v/>
      </c>
    </row>
    <row r="203" customHeight="1" spans="3:18">
      <c r="C203" s="139"/>
      <c r="D203" s="140"/>
      <c r="E203" s="120"/>
      <c r="F203" s="141"/>
      <c r="G203" s="76" t="str">
        <f>IF($E203="","",VLOOKUP($E203,基金!$C$5:$I$50,3,0))</f>
        <v/>
      </c>
      <c r="H203" s="142" t="str">
        <f>IF($E203="","",VLOOKUP($E203,基金!$C$5:$I$50,5,0))</f>
        <v/>
      </c>
      <c r="I203" s="144"/>
      <c r="J203" s="141"/>
      <c r="K203" s="145"/>
      <c r="L203" s="141"/>
      <c r="M203" s="146"/>
      <c r="N203" s="149" t="str">
        <f>IF(E203="","",K203*MFJE)</f>
        <v/>
      </c>
      <c r="O203" s="147" t="str">
        <f>IF(OR(E203="",H203="",M203="",K203="",I203=""),"",IF($H203=CN,P203*M203,K203*MFJE))</f>
        <v/>
      </c>
      <c r="P203" s="148" t="str">
        <f>IF(OR(E203="",H203="",M203="",K203="",I203=""),"",IF(H203=CN,ROUND(N203/M203,-2),(N203-Q203)/M203))</f>
        <v/>
      </c>
      <c r="Q203" s="152" t="str">
        <f>IF(OR(E203="",H203="",M203="",K203="",I203=""),"",IF(I203=MC,O203*VLOOKUP(E203,基金!$C$5:$M$55,11,0),O203*VLOOKUP(E203,基金!$C$5:$M$55,9,0)))</f>
        <v/>
      </c>
      <c r="R203" s="153" t="str">
        <f>IF($E203="","",VLOOKUP($E203,基金!$C$5:$I$50,7,0))</f>
        <v/>
      </c>
    </row>
    <row r="204" customHeight="1" spans="3:18">
      <c r="C204" s="139"/>
      <c r="D204" s="140"/>
      <c r="E204" s="120"/>
      <c r="F204" s="141"/>
      <c r="G204" s="76" t="str">
        <f>IF($E204="","",VLOOKUP($E204,基金!$C$5:$I$50,3,0))</f>
        <v/>
      </c>
      <c r="H204" s="142" t="str">
        <f>IF($E204="","",VLOOKUP($E204,基金!$C$5:$I$50,5,0))</f>
        <v/>
      </c>
      <c r="I204" s="144"/>
      <c r="J204" s="141"/>
      <c r="K204" s="145"/>
      <c r="L204" s="141"/>
      <c r="M204" s="146"/>
      <c r="N204" s="149" t="str">
        <f>IF(E204="","",K204*MFJE)</f>
        <v/>
      </c>
      <c r="O204" s="147" t="str">
        <f>IF(OR(E204="",H204="",M204="",K204="",I204=""),"",IF($H204=CN,P204*M204,K204*MFJE))</f>
        <v/>
      </c>
      <c r="P204" s="148" t="str">
        <f>IF(OR(E204="",H204="",M204="",K204="",I204=""),"",IF(H204=CN,ROUND(N204/M204,-2),(N204-Q204)/M204))</f>
        <v/>
      </c>
      <c r="Q204" s="152" t="str">
        <f>IF(OR(E204="",H204="",M204="",K204="",I204=""),"",IF(I204=MC,O204*VLOOKUP(E204,基金!$C$5:$M$55,11,0),O204*VLOOKUP(E204,基金!$C$5:$M$55,9,0)))</f>
        <v/>
      </c>
      <c r="R204" s="153" t="str">
        <f>IF($E204="","",VLOOKUP($E204,基金!$C$5:$I$50,7,0))</f>
        <v/>
      </c>
    </row>
    <row r="205" customHeight="1" spans="3:18">
      <c r="C205" s="139"/>
      <c r="D205" s="140"/>
      <c r="E205" s="120"/>
      <c r="F205" s="141"/>
      <c r="G205" s="76" t="str">
        <f>IF($E205="","",VLOOKUP($E205,基金!$C$5:$I$50,3,0))</f>
        <v/>
      </c>
      <c r="H205" s="142" t="str">
        <f>IF($E205="","",VLOOKUP($E205,基金!$C$5:$I$50,5,0))</f>
        <v/>
      </c>
      <c r="I205" s="144"/>
      <c r="J205" s="141"/>
      <c r="K205" s="145"/>
      <c r="L205" s="141"/>
      <c r="M205" s="146"/>
      <c r="N205" s="149" t="str">
        <f>IF(E205="","",K205*MFJE)</f>
        <v/>
      </c>
      <c r="O205" s="147" t="str">
        <f>IF(OR(E205="",H205="",M205="",K205="",I205=""),"",IF($H205=CN,P205*M205,K205*MFJE))</f>
        <v/>
      </c>
      <c r="P205" s="148" t="str">
        <f>IF(OR(E205="",H205="",M205="",K205="",I205=""),"",IF(H205=CN,ROUND(N205/M205,-2),(N205-Q205)/M205))</f>
        <v/>
      </c>
      <c r="Q205" s="152" t="str">
        <f>IF(OR(E205="",H205="",M205="",K205="",I205=""),"",IF(I205=MC,O205*VLOOKUP(E205,基金!$C$5:$M$55,11,0),O205*VLOOKUP(E205,基金!$C$5:$M$55,9,0)))</f>
        <v/>
      </c>
      <c r="R205" s="153" t="str">
        <f>IF($E205="","",VLOOKUP($E205,基金!$C$5:$I$50,7,0))</f>
        <v/>
      </c>
    </row>
    <row r="206" customHeight="1" spans="3:18">
      <c r="C206" s="139"/>
      <c r="D206" s="140"/>
      <c r="E206" s="120"/>
      <c r="F206" s="141"/>
      <c r="G206" s="76" t="str">
        <f>IF($E206="","",VLOOKUP($E206,基金!$C$5:$I$50,3,0))</f>
        <v/>
      </c>
      <c r="H206" s="142" t="str">
        <f>IF($E206="","",VLOOKUP($E206,基金!$C$5:$I$50,5,0))</f>
        <v/>
      </c>
      <c r="I206" s="144"/>
      <c r="J206" s="141"/>
      <c r="K206" s="145"/>
      <c r="L206" s="141"/>
      <c r="M206" s="146"/>
      <c r="N206" s="149" t="str">
        <f>IF(E206="","",K206*MFJE)</f>
        <v/>
      </c>
      <c r="O206" s="147" t="str">
        <f>IF(OR(E206="",H206="",M206="",K206="",I206=""),"",IF($H206=CN,P206*M206,K206*MFJE))</f>
        <v/>
      </c>
      <c r="P206" s="148" t="str">
        <f>IF(OR(E206="",H206="",M206="",K206="",I206=""),"",IF(H206=CN,ROUND(N206/M206,-2),(N206-Q206)/M206))</f>
        <v/>
      </c>
      <c r="Q206" s="152" t="str">
        <f>IF(OR(E206="",H206="",M206="",K206="",I206=""),"",IF(I206=MC,O206*VLOOKUP(E206,基金!$C$5:$M$55,11,0),O206*VLOOKUP(E206,基金!$C$5:$M$55,9,0)))</f>
        <v/>
      </c>
      <c r="R206" s="153" t="str">
        <f>IF($E206="","",VLOOKUP($E206,基金!$C$5:$I$50,7,0))</f>
        <v/>
      </c>
    </row>
    <row r="207" customHeight="1" spans="3:18">
      <c r="C207" s="139"/>
      <c r="D207" s="140"/>
      <c r="E207" s="120"/>
      <c r="F207" s="141"/>
      <c r="G207" s="76" t="str">
        <f>IF($E207="","",VLOOKUP($E207,基金!$C$5:$I$50,3,0))</f>
        <v/>
      </c>
      <c r="H207" s="142" t="str">
        <f>IF($E207="","",VLOOKUP($E207,基金!$C$5:$I$50,5,0))</f>
        <v/>
      </c>
      <c r="I207" s="144"/>
      <c r="J207" s="141"/>
      <c r="K207" s="145"/>
      <c r="L207" s="141"/>
      <c r="M207" s="146"/>
      <c r="N207" s="149" t="str">
        <f>IF(E207="","",K207*MFJE)</f>
        <v/>
      </c>
      <c r="O207" s="147" t="str">
        <f>IF(OR(E207="",H207="",M207="",K207="",I207=""),"",IF($H207=CN,P207*M207,K207*MFJE))</f>
        <v/>
      </c>
      <c r="P207" s="148" t="str">
        <f>IF(OR(E207="",H207="",M207="",K207="",I207=""),"",IF(H207=CN,ROUND(N207/M207,-2),(N207-Q207)/M207))</f>
        <v/>
      </c>
      <c r="Q207" s="152" t="str">
        <f>IF(OR(E207="",H207="",M207="",K207="",I207=""),"",IF(I207=MC,O207*VLOOKUP(E207,基金!$C$5:$M$55,11,0),O207*VLOOKUP(E207,基金!$C$5:$M$55,9,0)))</f>
        <v/>
      </c>
      <c r="R207" s="153" t="str">
        <f>IF($E207="","",VLOOKUP($E207,基金!$C$5:$I$50,7,0))</f>
        <v/>
      </c>
    </row>
    <row r="208" customHeight="1" spans="3:18">
      <c r="C208" s="139"/>
      <c r="D208" s="140"/>
      <c r="E208" s="120"/>
      <c r="F208" s="141"/>
      <c r="G208" s="76" t="str">
        <f>IF($E208="","",VLOOKUP($E208,基金!$C$5:$I$50,3,0))</f>
        <v/>
      </c>
      <c r="H208" s="142" t="str">
        <f>IF($E208="","",VLOOKUP($E208,基金!$C$5:$I$50,5,0))</f>
        <v/>
      </c>
      <c r="I208" s="144"/>
      <c r="J208" s="141"/>
      <c r="K208" s="145"/>
      <c r="L208" s="141"/>
      <c r="M208" s="146"/>
      <c r="N208" s="149" t="str">
        <f>IF(E208="","",K208*MFJE)</f>
        <v/>
      </c>
      <c r="O208" s="147" t="str">
        <f>IF(OR(E208="",H208="",M208="",K208="",I208=""),"",IF($H208=CN,P208*M208,K208*MFJE))</f>
        <v/>
      </c>
      <c r="P208" s="148" t="str">
        <f>IF(OR(E208="",H208="",M208="",K208="",I208=""),"",IF(H208=CN,ROUND(N208/M208,-2),(N208-Q208)/M208))</f>
        <v/>
      </c>
      <c r="Q208" s="152" t="str">
        <f>IF(OR(E208="",H208="",M208="",K208="",I208=""),"",IF(I208=MC,O208*VLOOKUP(E208,基金!$C$5:$M$55,11,0),O208*VLOOKUP(E208,基金!$C$5:$M$55,9,0)))</f>
        <v/>
      </c>
      <c r="R208" s="153" t="str">
        <f>IF($E208="","",VLOOKUP($E208,基金!$C$5:$I$50,7,0))</f>
        <v/>
      </c>
    </row>
    <row r="209" customHeight="1" spans="3:18">
      <c r="C209" s="139"/>
      <c r="D209" s="140"/>
      <c r="E209" s="120"/>
      <c r="F209" s="141"/>
      <c r="G209" s="76" t="str">
        <f>IF($E209="","",VLOOKUP($E209,基金!$C$5:$I$50,3,0))</f>
        <v/>
      </c>
      <c r="H209" s="142" t="str">
        <f>IF($E209="","",VLOOKUP($E209,基金!$C$5:$I$50,5,0))</f>
        <v/>
      </c>
      <c r="I209" s="144"/>
      <c r="J209" s="141"/>
      <c r="K209" s="145"/>
      <c r="L209" s="141"/>
      <c r="M209" s="146"/>
      <c r="N209" s="149" t="str">
        <f>IF(E209="","",K209*MFJE)</f>
        <v/>
      </c>
      <c r="O209" s="147" t="str">
        <f>IF(OR(E209="",H209="",M209="",K209="",I209=""),"",IF($H209=CN,P209*M209,K209*MFJE))</f>
        <v/>
      </c>
      <c r="P209" s="148" t="str">
        <f>IF(OR(E209="",H209="",M209="",K209="",I209=""),"",IF(H209=CN,ROUND(N209/M209,-2),(N209-Q209)/M209))</f>
        <v/>
      </c>
      <c r="Q209" s="152" t="str">
        <f>IF(OR(E209="",H209="",M209="",K209="",I209=""),"",IF(I209=MC,O209*VLOOKUP(E209,基金!$C$5:$M$55,11,0),O209*VLOOKUP(E209,基金!$C$5:$M$55,9,0)))</f>
        <v/>
      </c>
      <c r="R209" s="153" t="str">
        <f>IF($E209="","",VLOOKUP($E209,基金!$C$5:$I$50,7,0))</f>
        <v/>
      </c>
    </row>
    <row r="210" customHeight="1" spans="3:18">
      <c r="C210" s="139"/>
      <c r="D210" s="140"/>
      <c r="E210" s="120"/>
      <c r="F210" s="141"/>
      <c r="G210" s="76" t="str">
        <f>IF($E210="","",VLOOKUP($E210,基金!$C$5:$I$50,3,0))</f>
        <v/>
      </c>
      <c r="H210" s="142" t="str">
        <f>IF($E210="","",VLOOKUP($E210,基金!$C$5:$I$50,5,0))</f>
        <v/>
      </c>
      <c r="I210" s="144"/>
      <c r="J210" s="141"/>
      <c r="K210" s="145"/>
      <c r="L210" s="141"/>
      <c r="M210" s="146"/>
      <c r="N210" s="149" t="str">
        <f>IF(E210="","",K210*MFJE)</f>
        <v/>
      </c>
      <c r="O210" s="147" t="str">
        <f>IF(OR(E210="",H210="",M210="",K210="",I210=""),"",IF($H210=CN,P210*M210,K210*MFJE))</f>
        <v/>
      </c>
      <c r="P210" s="148" t="str">
        <f>IF(OR(E210="",H210="",M210="",K210="",I210=""),"",IF(H210=CN,ROUND(N210/M210,-2),(N210-Q210)/M210))</f>
        <v/>
      </c>
      <c r="Q210" s="152" t="str">
        <f>IF(OR(E210="",H210="",M210="",K210="",I210=""),"",IF(I210=MC,O210*VLOOKUP(E210,基金!$C$5:$M$55,11,0),O210*VLOOKUP(E210,基金!$C$5:$M$55,9,0)))</f>
        <v/>
      </c>
      <c r="R210" s="153" t="str">
        <f>IF($E210="","",VLOOKUP($E210,基金!$C$5:$I$50,7,0))</f>
        <v/>
      </c>
    </row>
    <row r="211" customHeight="1" spans="3:18">
      <c r="C211" s="139"/>
      <c r="D211" s="140"/>
      <c r="E211" s="120"/>
      <c r="F211" s="141"/>
      <c r="G211" s="76" t="str">
        <f>IF($E211="","",VLOOKUP($E211,基金!$C$5:$I$50,3,0))</f>
        <v/>
      </c>
      <c r="H211" s="142" t="str">
        <f>IF($E211="","",VLOOKUP($E211,基金!$C$5:$I$50,5,0))</f>
        <v/>
      </c>
      <c r="I211" s="144"/>
      <c r="J211" s="141"/>
      <c r="K211" s="145"/>
      <c r="L211" s="141"/>
      <c r="M211" s="146"/>
      <c r="N211" s="149" t="str">
        <f>IF(E211="","",K211*MFJE)</f>
        <v/>
      </c>
      <c r="O211" s="147" t="str">
        <f>IF(OR(E211="",H211="",M211="",K211="",I211=""),"",IF($H211=CN,P211*M211,K211*MFJE))</f>
        <v/>
      </c>
      <c r="P211" s="148" t="str">
        <f>IF(OR(E211="",H211="",M211="",K211="",I211=""),"",IF(H211=CN,ROUND(N211/M211,-2),(N211-Q211)/M211))</f>
        <v/>
      </c>
      <c r="Q211" s="152" t="str">
        <f>IF(OR(E211="",H211="",M211="",K211="",I211=""),"",IF(I211=MC,O211*VLOOKUP(E211,基金!$C$5:$M$55,11,0),O211*VLOOKUP(E211,基金!$C$5:$M$55,9,0)))</f>
        <v/>
      </c>
      <c r="R211" s="153" t="str">
        <f>IF($E211="","",VLOOKUP($E211,基金!$C$5:$I$50,7,0))</f>
        <v/>
      </c>
    </row>
    <row r="212" customHeight="1" spans="3:18">
      <c r="C212" s="139"/>
      <c r="D212" s="140"/>
      <c r="E212" s="120"/>
      <c r="F212" s="141"/>
      <c r="G212" s="76" t="str">
        <f>IF($E212="","",VLOOKUP($E212,基金!$C$5:$I$50,3,0))</f>
        <v/>
      </c>
      <c r="H212" s="142" t="str">
        <f>IF($E212="","",VLOOKUP($E212,基金!$C$5:$I$50,5,0))</f>
        <v/>
      </c>
      <c r="I212" s="144"/>
      <c r="J212" s="141"/>
      <c r="K212" s="145"/>
      <c r="L212" s="141"/>
      <c r="M212" s="146"/>
      <c r="N212" s="149" t="str">
        <f>IF(E212="","",K212*MFJE)</f>
        <v/>
      </c>
      <c r="O212" s="147" t="str">
        <f>IF(OR(E212="",H212="",M212="",K212="",I212=""),"",IF($H212=CN,P212*M212,K212*MFJE))</f>
        <v/>
      </c>
      <c r="P212" s="148" t="str">
        <f>IF(OR(E212="",H212="",M212="",K212="",I212=""),"",IF(H212=CN,ROUND(N212/M212,-2),(N212-Q212)/M212))</f>
        <v/>
      </c>
      <c r="Q212" s="152" t="str">
        <f>IF(OR(E212="",H212="",M212="",K212="",I212=""),"",IF(I212=MC,O212*VLOOKUP(E212,基金!$C$5:$M$55,11,0),O212*VLOOKUP(E212,基金!$C$5:$M$55,9,0)))</f>
        <v/>
      </c>
      <c r="R212" s="153" t="str">
        <f>IF($E212="","",VLOOKUP($E212,基金!$C$5:$I$50,7,0))</f>
        <v/>
      </c>
    </row>
    <row r="213" customHeight="1" spans="3:18">
      <c r="C213" s="139"/>
      <c r="D213" s="140"/>
      <c r="E213" s="120"/>
      <c r="F213" s="141"/>
      <c r="G213" s="76" t="str">
        <f>IF($E213="","",VLOOKUP($E213,基金!$C$5:$I$50,3,0))</f>
        <v/>
      </c>
      <c r="H213" s="142" t="str">
        <f>IF($E213="","",VLOOKUP($E213,基金!$C$5:$I$50,5,0))</f>
        <v/>
      </c>
      <c r="I213" s="144"/>
      <c r="J213" s="141"/>
      <c r="K213" s="145"/>
      <c r="L213" s="141"/>
      <c r="M213" s="146"/>
      <c r="N213" s="149" t="str">
        <f>IF(E213="","",K213*MFJE)</f>
        <v/>
      </c>
      <c r="O213" s="147" t="str">
        <f>IF(OR(E213="",H213="",M213="",K213="",I213=""),"",IF($H213=CN,P213*M213,K213*MFJE))</f>
        <v/>
      </c>
      <c r="P213" s="148" t="str">
        <f>IF(OR(E213="",H213="",M213="",K213="",I213=""),"",IF(H213=CN,ROUND(N213/M213,-2),(N213-Q213)/M213))</f>
        <v/>
      </c>
      <c r="Q213" s="152" t="str">
        <f>IF(OR(E213="",H213="",M213="",K213="",I213=""),"",IF(I213=MC,O213*VLOOKUP(E213,基金!$C$5:$M$55,11,0),O213*VLOOKUP(E213,基金!$C$5:$M$55,9,0)))</f>
        <v/>
      </c>
      <c r="R213" s="153" t="str">
        <f>IF($E213="","",VLOOKUP($E213,基金!$C$5:$I$50,7,0))</f>
        <v/>
      </c>
    </row>
    <row r="214" customHeight="1" spans="3:18">
      <c r="C214" s="139"/>
      <c r="D214" s="140"/>
      <c r="E214" s="120"/>
      <c r="F214" s="141"/>
      <c r="G214" s="76" t="str">
        <f>IF($E214="","",VLOOKUP($E214,基金!$C$5:$I$50,3,0))</f>
        <v/>
      </c>
      <c r="H214" s="142" t="str">
        <f>IF($E214="","",VLOOKUP($E214,基金!$C$5:$I$50,5,0))</f>
        <v/>
      </c>
      <c r="I214" s="144"/>
      <c r="J214" s="141"/>
      <c r="K214" s="145"/>
      <c r="L214" s="141"/>
      <c r="M214" s="146"/>
      <c r="N214" s="149" t="str">
        <f>IF(E214="","",K214*MFJE)</f>
        <v/>
      </c>
      <c r="O214" s="147" t="str">
        <f>IF(OR(E214="",H214="",M214="",K214="",I214=""),"",IF($H214=CN,P214*M214,K214*MFJE))</f>
        <v/>
      </c>
      <c r="P214" s="148" t="str">
        <f>IF(OR(E214="",H214="",M214="",K214="",I214=""),"",IF(H214=CN,ROUND(N214/M214,-2),(N214-Q214)/M214))</f>
        <v/>
      </c>
      <c r="Q214" s="152" t="str">
        <f>IF(OR(E214="",H214="",M214="",K214="",I214=""),"",IF(I214=MC,O214*VLOOKUP(E214,基金!$C$5:$M$55,11,0),O214*VLOOKUP(E214,基金!$C$5:$M$55,9,0)))</f>
        <v/>
      </c>
      <c r="R214" s="153" t="str">
        <f>IF($E214="","",VLOOKUP($E214,基金!$C$5:$I$50,7,0))</f>
        <v/>
      </c>
    </row>
    <row r="215" customHeight="1" spans="3:18">
      <c r="C215" s="139"/>
      <c r="D215" s="140"/>
      <c r="E215" s="120"/>
      <c r="F215" s="141"/>
      <c r="G215" s="76" t="str">
        <f>IF($E215="","",VLOOKUP($E215,基金!$C$5:$I$50,3,0))</f>
        <v/>
      </c>
      <c r="H215" s="142" t="str">
        <f>IF($E215="","",VLOOKUP($E215,基金!$C$5:$I$50,5,0))</f>
        <v/>
      </c>
      <c r="I215" s="144"/>
      <c r="J215" s="141"/>
      <c r="K215" s="145"/>
      <c r="L215" s="141"/>
      <c r="M215" s="146"/>
      <c r="N215" s="149" t="str">
        <f>IF(E215="","",K215*MFJE)</f>
        <v/>
      </c>
      <c r="O215" s="147" t="str">
        <f>IF(OR(E215="",H215="",M215="",K215="",I215=""),"",IF($H215=CN,P215*M215,K215*MFJE))</f>
        <v/>
      </c>
      <c r="P215" s="148" t="str">
        <f>IF(OR(E215="",H215="",M215="",K215="",I215=""),"",IF(H215=CN,ROUND(N215/M215,-2),(N215-Q215)/M215))</f>
        <v/>
      </c>
      <c r="Q215" s="152" t="str">
        <f>IF(OR(E215="",H215="",M215="",K215="",I215=""),"",IF(I215=MC,O215*VLOOKUP(E215,基金!$C$5:$M$55,11,0),O215*VLOOKUP(E215,基金!$C$5:$M$55,9,0)))</f>
        <v/>
      </c>
      <c r="R215" s="153" t="str">
        <f>IF($E215="","",VLOOKUP($E215,基金!$C$5:$I$50,7,0))</f>
        <v/>
      </c>
    </row>
    <row r="216" customHeight="1" spans="3:18">
      <c r="C216" s="139"/>
      <c r="D216" s="140"/>
      <c r="E216" s="120"/>
      <c r="F216" s="141"/>
      <c r="G216" s="76" t="str">
        <f>IF($E216="","",VLOOKUP($E216,基金!$C$5:$I$50,3,0))</f>
        <v/>
      </c>
      <c r="H216" s="142" t="str">
        <f>IF($E216="","",VLOOKUP($E216,基金!$C$5:$I$50,5,0))</f>
        <v/>
      </c>
      <c r="I216" s="144"/>
      <c r="J216" s="141"/>
      <c r="K216" s="145"/>
      <c r="L216" s="141"/>
      <c r="M216" s="146"/>
      <c r="N216" s="149" t="str">
        <f>IF(E216="","",K216*MFJE)</f>
        <v/>
      </c>
      <c r="O216" s="147" t="str">
        <f>IF(OR(E216="",H216="",M216="",K216="",I216=""),"",IF($H216=CN,P216*M216,K216*MFJE))</f>
        <v/>
      </c>
      <c r="P216" s="148" t="str">
        <f>IF(OR(E216="",H216="",M216="",K216="",I216=""),"",IF(H216=CN,ROUND(N216/M216,-2),(N216-Q216)/M216))</f>
        <v/>
      </c>
      <c r="Q216" s="152" t="str">
        <f>IF(OR(E216="",H216="",M216="",K216="",I216=""),"",IF(I216=MC,O216*VLOOKUP(E216,基金!$C$5:$M$55,11,0),O216*VLOOKUP(E216,基金!$C$5:$M$55,9,0)))</f>
        <v/>
      </c>
      <c r="R216" s="153" t="str">
        <f>IF($E216="","",VLOOKUP($E216,基金!$C$5:$I$50,7,0))</f>
        <v/>
      </c>
    </row>
    <row r="217" customHeight="1" spans="3:18">
      <c r="C217" s="139"/>
      <c r="D217" s="140"/>
      <c r="E217" s="120"/>
      <c r="F217" s="141"/>
      <c r="G217" s="76" t="str">
        <f>IF($E217="","",VLOOKUP($E217,基金!$C$5:$I$50,3,0))</f>
        <v/>
      </c>
      <c r="H217" s="142" t="str">
        <f>IF($E217="","",VLOOKUP($E217,基金!$C$5:$I$50,5,0))</f>
        <v/>
      </c>
      <c r="I217" s="144"/>
      <c r="J217" s="141"/>
      <c r="K217" s="145"/>
      <c r="L217" s="141"/>
      <c r="M217" s="146"/>
      <c r="N217" s="149" t="str">
        <f>IF(E217="","",K217*MFJE)</f>
        <v/>
      </c>
      <c r="O217" s="147" t="str">
        <f>IF(OR(E217="",H217="",M217="",K217="",I217=""),"",IF($H217=CN,P217*M217,K217*MFJE))</f>
        <v/>
      </c>
      <c r="P217" s="148" t="str">
        <f>IF(OR(E217="",H217="",M217="",K217="",I217=""),"",IF(H217=CN,ROUND(N217/M217,-2),(N217-Q217)/M217))</f>
        <v/>
      </c>
      <c r="Q217" s="152" t="str">
        <f>IF(OR(E217="",H217="",M217="",K217="",I217=""),"",IF(I217=MC,O217*VLOOKUP(E217,基金!$C$5:$M$55,11,0),O217*VLOOKUP(E217,基金!$C$5:$M$55,9,0)))</f>
        <v/>
      </c>
      <c r="R217" s="153" t="str">
        <f>IF($E217="","",VLOOKUP($E217,基金!$C$5:$I$50,7,0))</f>
        <v/>
      </c>
    </row>
    <row r="218" customHeight="1" spans="3:18">
      <c r="C218" s="139"/>
      <c r="D218" s="140"/>
      <c r="E218" s="120"/>
      <c r="F218" s="141"/>
      <c r="G218" s="76" t="str">
        <f>IF($E218="","",VLOOKUP($E218,基金!$C$5:$I$50,3,0))</f>
        <v/>
      </c>
      <c r="H218" s="142" t="str">
        <f>IF($E218="","",VLOOKUP($E218,基金!$C$5:$I$50,5,0))</f>
        <v/>
      </c>
      <c r="I218" s="144"/>
      <c r="J218" s="141"/>
      <c r="K218" s="145"/>
      <c r="L218" s="141"/>
      <c r="M218" s="146"/>
      <c r="N218" s="149" t="str">
        <f>IF(E218="","",K218*MFJE)</f>
        <v/>
      </c>
      <c r="O218" s="147" t="str">
        <f>IF(OR(E218="",H218="",M218="",K218="",I218=""),"",IF($H218=CN,P218*M218,K218*MFJE))</f>
        <v/>
      </c>
      <c r="P218" s="148" t="str">
        <f>IF(OR(E218="",H218="",M218="",K218="",I218=""),"",IF(H218=CN,ROUND(N218/M218,-2),(N218-Q218)/M218))</f>
        <v/>
      </c>
      <c r="Q218" s="152" t="str">
        <f>IF(OR(E218="",H218="",M218="",K218="",I218=""),"",IF(I218=MC,O218*VLOOKUP(E218,基金!$C$5:$M$55,11,0),O218*VLOOKUP(E218,基金!$C$5:$M$55,9,0)))</f>
        <v/>
      </c>
      <c r="R218" s="153" t="str">
        <f>IF($E218="","",VLOOKUP($E218,基金!$C$5:$I$50,7,0))</f>
        <v/>
      </c>
    </row>
    <row r="219" customHeight="1" spans="3:18">
      <c r="C219" s="139"/>
      <c r="D219" s="140"/>
      <c r="E219" s="120"/>
      <c r="F219" s="141"/>
      <c r="G219" s="76" t="str">
        <f>IF($E219="","",VLOOKUP($E219,基金!$C$5:$I$50,3,0))</f>
        <v/>
      </c>
      <c r="H219" s="142" t="str">
        <f>IF($E219="","",VLOOKUP($E219,基金!$C$5:$I$50,5,0))</f>
        <v/>
      </c>
      <c r="I219" s="144"/>
      <c r="J219" s="141"/>
      <c r="K219" s="145"/>
      <c r="L219" s="141"/>
      <c r="M219" s="146"/>
      <c r="N219" s="149" t="str">
        <f>IF(E219="","",K219*MFJE)</f>
        <v/>
      </c>
      <c r="O219" s="147" t="str">
        <f>IF(OR(E219="",H219="",M219="",K219="",I219=""),"",IF($H219=CN,P219*M219,K219*MFJE))</f>
        <v/>
      </c>
      <c r="P219" s="148" t="str">
        <f>IF(OR(E219="",H219="",M219="",K219="",I219=""),"",IF(H219=CN,ROUND(N219/M219,-2),(N219-Q219)/M219))</f>
        <v/>
      </c>
      <c r="Q219" s="152" t="str">
        <f>IF(OR(E219="",H219="",M219="",K219="",I219=""),"",IF(I219=MC,O219*VLOOKUP(E219,基金!$C$5:$M$55,11,0),O219*VLOOKUP(E219,基金!$C$5:$M$55,9,0)))</f>
        <v/>
      </c>
      <c r="R219" s="153" t="str">
        <f>IF($E219="","",VLOOKUP($E219,基金!$C$5:$I$50,7,0))</f>
        <v/>
      </c>
    </row>
    <row r="220" customHeight="1" spans="3:18">
      <c r="C220" s="139"/>
      <c r="D220" s="140"/>
      <c r="E220" s="120"/>
      <c r="F220" s="141"/>
      <c r="G220" s="76" t="str">
        <f>IF($E220="","",VLOOKUP($E220,基金!$C$5:$I$50,3,0))</f>
        <v/>
      </c>
      <c r="H220" s="142" t="str">
        <f>IF($E220="","",VLOOKUP($E220,基金!$C$5:$I$50,5,0))</f>
        <v/>
      </c>
      <c r="I220" s="144"/>
      <c r="J220" s="141"/>
      <c r="K220" s="145"/>
      <c r="L220" s="141"/>
      <c r="M220" s="146"/>
      <c r="N220" s="149" t="str">
        <f>IF(E220="","",K220*MFJE)</f>
        <v/>
      </c>
      <c r="O220" s="147" t="str">
        <f>IF(OR(E220="",H220="",M220="",K220="",I220=""),"",IF($H220=CN,P220*M220,K220*MFJE))</f>
        <v/>
      </c>
      <c r="P220" s="148" t="str">
        <f>IF(OR(E220="",H220="",M220="",K220="",I220=""),"",IF(H220=CN,ROUND(N220/M220,-2),(N220-Q220)/M220))</f>
        <v/>
      </c>
      <c r="Q220" s="152" t="str">
        <f>IF(OR(E220="",H220="",M220="",K220="",I220=""),"",IF(I220=MC,O220*VLOOKUP(E220,基金!$C$5:$M$55,11,0),O220*VLOOKUP(E220,基金!$C$5:$M$55,9,0)))</f>
        <v/>
      </c>
      <c r="R220" s="153" t="str">
        <f>IF($E220="","",VLOOKUP($E220,基金!$C$5:$I$50,7,0))</f>
        <v/>
      </c>
    </row>
    <row r="221" customHeight="1" spans="3:18">
      <c r="C221" s="139"/>
      <c r="D221" s="140"/>
      <c r="E221" s="120"/>
      <c r="F221" s="141"/>
      <c r="G221" s="76" t="str">
        <f>IF($E221="","",VLOOKUP($E221,基金!$C$5:$I$50,3,0))</f>
        <v/>
      </c>
      <c r="H221" s="142" t="str">
        <f>IF($E221="","",VLOOKUP($E221,基金!$C$5:$I$50,5,0))</f>
        <v/>
      </c>
      <c r="I221" s="144"/>
      <c r="J221" s="141"/>
      <c r="K221" s="145"/>
      <c r="L221" s="141"/>
      <c r="M221" s="146"/>
      <c r="N221" s="149" t="str">
        <f>IF(E221="","",K221*MFJE)</f>
        <v/>
      </c>
      <c r="O221" s="147" t="str">
        <f>IF(OR(E221="",H221="",M221="",K221="",I221=""),"",IF($H221=CN,P221*M221,K221*MFJE))</f>
        <v/>
      </c>
      <c r="P221" s="148" t="str">
        <f>IF(OR(E221="",H221="",M221="",K221="",I221=""),"",IF(H221=CN,ROUND(N221/M221,-2),(N221-Q221)/M221))</f>
        <v/>
      </c>
      <c r="Q221" s="152" t="str">
        <f>IF(OR(E221="",H221="",M221="",K221="",I221=""),"",IF(I221=MC,O221*VLOOKUP(E221,基金!$C$5:$M$55,11,0),O221*VLOOKUP(E221,基金!$C$5:$M$55,9,0)))</f>
        <v/>
      </c>
      <c r="R221" s="153" t="str">
        <f>IF($E221="","",VLOOKUP($E221,基金!$C$5:$I$50,7,0))</f>
        <v/>
      </c>
    </row>
    <row r="222" customHeight="1" spans="3:18">
      <c r="C222" s="139"/>
      <c r="D222" s="140"/>
      <c r="E222" s="120"/>
      <c r="F222" s="141"/>
      <c r="G222" s="76" t="str">
        <f>IF($E222="","",VLOOKUP($E222,基金!$C$5:$I$50,3,0))</f>
        <v/>
      </c>
      <c r="H222" s="142" t="str">
        <f>IF($E222="","",VLOOKUP($E222,基金!$C$5:$I$50,5,0))</f>
        <v/>
      </c>
      <c r="I222" s="144"/>
      <c r="J222" s="141"/>
      <c r="K222" s="145"/>
      <c r="L222" s="141"/>
      <c r="M222" s="146"/>
      <c r="N222" s="149" t="str">
        <f>IF(E222="","",K222*MFJE)</f>
        <v/>
      </c>
      <c r="O222" s="147" t="str">
        <f>IF(OR(E222="",H222="",M222="",K222="",I222=""),"",IF($H222=CN,P222*M222,K222*MFJE))</f>
        <v/>
      </c>
      <c r="P222" s="148" t="str">
        <f>IF(OR(E222="",H222="",M222="",K222="",I222=""),"",IF(H222=CN,ROUND(N222/M222,-2),(N222-Q222)/M222))</f>
        <v/>
      </c>
      <c r="Q222" s="152" t="str">
        <f>IF(OR(E222="",H222="",M222="",K222="",I222=""),"",IF(I222=MC,O222*VLOOKUP(E222,基金!$C$5:$M$55,11,0),O222*VLOOKUP(E222,基金!$C$5:$M$55,9,0)))</f>
        <v/>
      </c>
      <c r="R222" s="153" t="str">
        <f>IF($E222="","",VLOOKUP($E222,基金!$C$5:$I$50,7,0))</f>
        <v/>
      </c>
    </row>
    <row r="223" customHeight="1" spans="3:18">
      <c r="C223" s="139"/>
      <c r="D223" s="140"/>
      <c r="E223" s="120"/>
      <c r="F223" s="141"/>
      <c r="G223" s="76" t="str">
        <f>IF($E223="","",VLOOKUP($E223,基金!$C$5:$I$50,3,0))</f>
        <v/>
      </c>
      <c r="H223" s="142" t="str">
        <f>IF($E223="","",VLOOKUP($E223,基金!$C$5:$I$50,5,0))</f>
        <v/>
      </c>
      <c r="I223" s="144"/>
      <c r="J223" s="141"/>
      <c r="K223" s="145"/>
      <c r="L223" s="141"/>
      <c r="M223" s="146"/>
      <c r="N223" s="149" t="str">
        <f>IF(E223="","",K223*MFJE)</f>
        <v/>
      </c>
      <c r="O223" s="147" t="str">
        <f>IF(OR(E223="",H223="",M223="",K223="",I223=""),"",IF($H223=CN,P223*M223,K223*MFJE))</f>
        <v/>
      </c>
      <c r="P223" s="148" t="str">
        <f>IF(OR(E223="",H223="",M223="",K223="",I223=""),"",IF(H223=CN,ROUND(N223/M223,-2),(N223-Q223)/M223))</f>
        <v/>
      </c>
      <c r="Q223" s="152" t="str">
        <f>IF(OR(E223="",H223="",M223="",K223="",I223=""),"",IF(I223=MC,O223*VLOOKUP(E223,基金!$C$5:$M$55,11,0),O223*VLOOKUP(E223,基金!$C$5:$M$55,9,0)))</f>
        <v/>
      </c>
      <c r="R223" s="153" t="str">
        <f>IF($E223="","",VLOOKUP($E223,基金!$C$5:$I$50,7,0))</f>
        <v/>
      </c>
    </row>
    <row r="224" customHeight="1" spans="3:18">
      <c r="C224" s="139"/>
      <c r="D224" s="140"/>
      <c r="E224" s="120"/>
      <c r="F224" s="141"/>
      <c r="G224" s="76" t="str">
        <f>IF($E224="","",VLOOKUP($E224,基金!$C$5:$I$50,3,0))</f>
        <v/>
      </c>
      <c r="H224" s="142" t="str">
        <f>IF($E224="","",VLOOKUP($E224,基金!$C$5:$I$50,5,0))</f>
        <v/>
      </c>
      <c r="I224" s="144"/>
      <c r="J224" s="141"/>
      <c r="K224" s="145"/>
      <c r="L224" s="141"/>
      <c r="M224" s="146"/>
      <c r="N224" s="149" t="str">
        <f>IF(E224="","",K224*MFJE)</f>
        <v/>
      </c>
      <c r="O224" s="147" t="str">
        <f>IF(OR(E224="",H224="",M224="",K224="",I224=""),"",IF($H224=CN,P224*M224,K224*MFJE))</f>
        <v/>
      </c>
      <c r="P224" s="148" t="str">
        <f>IF(OR(E224="",H224="",M224="",K224="",I224=""),"",IF(H224=CN,ROUND(N224/M224,-2),(N224-Q224)/M224))</f>
        <v/>
      </c>
      <c r="Q224" s="152" t="str">
        <f>IF(OR(E224="",H224="",M224="",K224="",I224=""),"",IF(I224=MC,O224*VLOOKUP(E224,基金!$C$5:$M$55,11,0),O224*VLOOKUP(E224,基金!$C$5:$M$55,9,0)))</f>
        <v/>
      </c>
      <c r="R224" s="153" t="str">
        <f>IF($E224="","",VLOOKUP($E224,基金!$C$5:$I$50,7,0))</f>
        <v/>
      </c>
    </row>
    <row r="225" customHeight="1" spans="3:18">
      <c r="C225" s="139"/>
      <c r="D225" s="140"/>
      <c r="E225" s="120"/>
      <c r="F225" s="141"/>
      <c r="G225" s="76" t="str">
        <f>IF($E225="","",VLOOKUP($E225,基金!$C$5:$I$50,3,0))</f>
        <v/>
      </c>
      <c r="H225" s="142" t="str">
        <f>IF($E225="","",VLOOKUP($E225,基金!$C$5:$I$50,5,0))</f>
        <v/>
      </c>
      <c r="I225" s="144"/>
      <c r="J225" s="141"/>
      <c r="K225" s="145"/>
      <c r="L225" s="141"/>
      <c r="M225" s="146"/>
      <c r="N225" s="149" t="str">
        <f>IF(E225="","",K225*MFJE)</f>
        <v/>
      </c>
      <c r="O225" s="147" t="str">
        <f>IF(OR(E225="",H225="",M225="",K225="",I225=""),"",IF($H225=CN,P225*M225,K225*MFJE))</f>
        <v/>
      </c>
      <c r="P225" s="148" t="str">
        <f>IF(OR(E225="",H225="",M225="",K225="",I225=""),"",IF(H225=CN,ROUND(N225/M225,-2),(N225-Q225)/M225))</f>
        <v/>
      </c>
      <c r="Q225" s="152" t="str">
        <f>IF(OR(E225="",H225="",M225="",K225="",I225=""),"",IF(I225=MC,O225*VLOOKUP(E225,基金!$C$5:$M$55,11,0),O225*VLOOKUP(E225,基金!$C$5:$M$55,9,0)))</f>
        <v/>
      </c>
      <c r="R225" s="153" t="str">
        <f>IF($E225="","",VLOOKUP($E225,基金!$C$5:$I$50,7,0))</f>
        <v/>
      </c>
    </row>
    <row r="226" customHeight="1" spans="3:18">
      <c r="C226" s="139"/>
      <c r="D226" s="140"/>
      <c r="E226" s="120"/>
      <c r="F226" s="141"/>
      <c r="G226" s="76" t="str">
        <f>IF($E226="","",VLOOKUP($E226,基金!$C$5:$I$50,3,0))</f>
        <v/>
      </c>
      <c r="H226" s="142" t="str">
        <f>IF($E226="","",VLOOKUP($E226,基金!$C$5:$I$50,5,0))</f>
        <v/>
      </c>
      <c r="I226" s="144"/>
      <c r="J226" s="141"/>
      <c r="K226" s="145"/>
      <c r="L226" s="141"/>
      <c r="M226" s="146"/>
      <c r="N226" s="149" t="str">
        <f>IF(E226="","",K226*MFJE)</f>
        <v/>
      </c>
      <c r="O226" s="147" t="str">
        <f>IF(OR(E226="",H226="",M226="",K226="",I226=""),"",IF($H226=CN,P226*M226,K226*MFJE))</f>
        <v/>
      </c>
      <c r="P226" s="148" t="str">
        <f>IF(OR(E226="",H226="",M226="",K226="",I226=""),"",IF(H226=CN,ROUND(N226/M226,-2),(N226-Q226)/M226))</f>
        <v/>
      </c>
      <c r="Q226" s="152" t="str">
        <f>IF(OR(E226="",H226="",M226="",K226="",I226=""),"",IF(I226=MC,O226*VLOOKUP(E226,基金!$C$5:$M$55,11,0),O226*VLOOKUP(E226,基金!$C$5:$M$55,9,0)))</f>
        <v/>
      </c>
      <c r="R226" s="153" t="str">
        <f>IF($E226="","",VLOOKUP($E226,基金!$C$5:$I$50,7,0))</f>
        <v/>
      </c>
    </row>
  </sheetData>
  <sheetProtection selectLockedCells="1"/>
  <autoFilter ref="M4:R226">
    <extLst/>
  </autoFilter>
  <conditionalFormatting sqref="I5:I226">
    <cfRule type="cellIs" dxfId="0" priority="42" operator="equal">
      <formula>MC</formula>
    </cfRule>
    <cfRule type="cellIs" dxfId="1" priority="43" operator="equal">
      <formula>MR</formula>
    </cfRule>
  </conditionalFormatting>
  <conditionalFormatting sqref="K5:K226">
    <cfRule type="expression" dxfId="2" priority="41">
      <formula>I5=MC</formula>
    </cfRule>
    <cfRule type="expression" dxfId="3" priority="46">
      <formula>I5=MR</formula>
    </cfRule>
  </conditionalFormatting>
  <conditionalFormatting sqref="O5:O226">
    <cfRule type="expression" dxfId="4" priority="36">
      <formula>I5=MC</formula>
    </cfRule>
    <cfRule type="expression" dxfId="5" priority="37">
      <formula>I5=MR</formula>
    </cfRule>
  </conditionalFormatting>
  <conditionalFormatting sqref="P5:P226">
    <cfRule type="expression" dxfId="5" priority="35">
      <formula>I5=MC</formula>
    </cfRule>
    <cfRule type="expression" dxfId="4" priority="40">
      <formula>I5=MR</formula>
    </cfRule>
  </conditionalFormatting>
  <dataValidations count="8">
    <dataValidation type="whole" operator="greaterThan" allowBlank="1" showInputMessage="1" showErrorMessage="1" sqref="E5">
      <formula1>1</formula1>
    </dataValidation>
    <dataValidation type="list" showInputMessage="1" showErrorMessage="1" sqref="I5">
      <formula1>参数!$E$13:$E$14</formula1>
    </dataValidation>
    <dataValidation type="whole" operator="greaterThanOrEqual" allowBlank="1" showInputMessage="1" showErrorMessage="1" sqref="K5">
      <formula1>1</formula1>
    </dataValidation>
    <dataValidation type="decimal" operator="greaterThanOrEqual" allowBlank="1" showInputMessage="1" showErrorMessage="1" sqref="M5">
      <formula1>0.001</formula1>
    </dataValidation>
    <dataValidation type="list" allowBlank="1" showInputMessage="1" showErrorMessage="1" sqref="H14 H51 H5:H8 H9:H13 H15:H39 H40:H50 H52:H55 H56:H57 H58:H75 H76:H77 H78:H82 H83:H89 H90:H106 H107:H110 H111:H118 H119:H140 H141:H150 H151:H158 H159:H226">
      <formula1>参数!$C$13:$C$14</formula1>
    </dataValidation>
    <dataValidation type="list" allowBlank="1" showInputMessage="1" showErrorMessage="1" sqref="I14 I51 I6:I8 I9:I13 I15:I39 I40:I50 I52:I55 I56:I57 I58:I75 I76:I77 I78:I82 I83:I106 I107:I110 I111:I118 I119:I140 I141:I150 I151:I158 I159:I226">
      <formula1>参数!$E$13:$E$14</formula1>
    </dataValidation>
    <dataValidation allowBlank="1" showInputMessage="1" showErrorMessage="1" sqref="K14 N14:O14 K51 N51 O51 O62 O107 O108 K6:K8 K9:K13 K15:K39 K40:K50 K52:K55 K56:K57 K58:K75 K76:K77 K78:K82 K83:K106 K107:K110 K111:K118 K119:K140 K141:K150 K151:K158 K159:K226 N52:N55 N56:N57 N58:N75 N76:N77 N78:N82 N83:N106 N107:N110 N111:N118 N119:N140 N141:N150 N151:N158 N159:N226 O52:O55 O56:O57 O58:O61 O63:O75 O76:O77 O78:O82 O83:O106 O109:O110 O111:O118 O119:O140 O141:O150 O151:O158 O159:O226 N9:O13 N5:O8 N15:O39 N40:O50"/>
    <dataValidation type="list" allowBlank="1" showInputMessage="1" showErrorMessage="1" sqref="R14 R5:R8 R9:R13 R15:R39 R40:R49 R50:R51 R52:R55 R56:R57 R58:R75 R76:R77 R78:R82 R83:R89 R90:R106 R107:R110 R111:R118 R119:R140 R141:R150 R151:R158 R159:R226">
      <formula1>参数!$D$13:$D$14</formula1>
    </dataValidation>
  </dataValidation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55"/>
  <sheetViews>
    <sheetView showGridLines="0" showZeros="0" workbookViewId="0">
      <pane ySplit="4" topLeftCell="A26" activePane="bottomLeft" state="frozen"/>
      <selection/>
      <selection pane="bottomLeft" activeCell="I23" sqref="I23"/>
    </sheetView>
  </sheetViews>
  <sheetFormatPr defaultColWidth="9" defaultRowHeight="30" customHeight="1"/>
  <cols>
    <col min="1" max="1" width="1.625" style="31" customWidth="1"/>
    <col min="2" max="2" width="2.625" style="6" customWidth="1"/>
    <col min="3" max="3" width="7.375" style="26" customWidth="1"/>
    <col min="4" max="4" width="1.625" style="26" customWidth="1"/>
    <col min="5" max="5" width="29" style="26" customWidth="1"/>
    <col min="6" max="6" width="1.625" style="26" customWidth="1"/>
    <col min="7" max="7" width="6.25" style="26" customWidth="1"/>
    <col min="8" max="8" width="1.625" style="26" customWidth="1"/>
    <col min="9" max="9" width="8.625" style="26" customWidth="1"/>
    <col min="10" max="10" width="1.625" style="26" customWidth="1"/>
    <col min="11" max="11" width="8.125" style="111" customWidth="1"/>
    <col min="12" max="12" width="1.625" style="26" customWidth="1"/>
    <col min="13" max="13" width="7" style="111" customWidth="1"/>
    <col min="14" max="14" width="1.625" style="26" customWidth="1"/>
    <col min="15" max="15" width="6.625" style="26" customWidth="1"/>
    <col min="16" max="16" width="1.625" style="26" customWidth="1"/>
    <col min="17" max="17" width="9" style="26" customWidth="1"/>
    <col min="18" max="18" width="2.625" style="6" customWidth="1"/>
    <col min="19" max="19" width="1.625" style="31" customWidth="1"/>
    <col min="20" max="256" width="9" style="4" customWidth="1"/>
  </cols>
  <sheetData>
    <row r="1" ht="9.95" customHeight="1" spans="2:18">
      <c r="B1" s="31"/>
      <c r="C1" s="37"/>
      <c r="D1" s="37"/>
      <c r="E1" s="37"/>
      <c r="F1" s="37"/>
      <c r="G1" s="37"/>
      <c r="H1" s="37"/>
      <c r="I1" s="37"/>
      <c r="J1" s="37"/>
      <c r="K1" s="50"/>
      <c r="L1" s="37"/>
      <c r="M1" s="50"/>
      <c r="N1" s="37"/>
      <c r="O1" s="37"/>
      <c r="P1" s="37"/>
      <c r="Q1" s="37"/>
      <c r="R1" s="31"/>
    </row>
    <row r="2" s="2" customFormat="1" ht="35.1" customHeight="1" spans="1:25">
      <c r="A2" s="112"/>
      <c r="C2" s="10" t="s">
        <v>30</v>
      </c>
      <c r="D2" s="113"/>
      <c r="E2" s="114"/>
      <c r="F2" s="113"/>
      <c r="G2" s="115"/>
      <c r="H2" s="113"/>
      <c r="I2" s="115"/>
      <c r="J2" s="113"/>
      <c r="K2" s="125"/>
      <c r="L2" s="113"/>
      <c r="M2" s="125"/>
      <c r="N2" s="113"/>
      <c r="O2" s="115"/>
      <c r="P2" s="113"/>
      <c r="Q2" s="115"/>
      <c r="S2" s="130"/>
      <c r="T2" s="28"/>
      <c r="U2" s="29"/>
      <c r="V2" s="29"/>
      <c r="W2" s="28"/>
      <c r="X2" s="28"/>
      <c r="Y2" s="30"/>
    </row>
    <row r="3" s="2" customFormat="1" ht="9.95" customHeight="1" spans="1:25">
      <c r="A3" s="112"/>
      <c r="B3" s="112"/>
      <c r="C3" s="116"/>
      <c r="D3" s="116"/>
      <c r="E3" s="117"/>
      <c r="F3" s="116"/>
      <c r="G3" s="118"/>
      <c r="H3" s="116"/>
      <c r="I3" s="118"/>
      <c r="J3" s="116"/>
      <c r="K3" s="126"/>
      <c r="L3" s="116"/>
      <c r="M3" s="126"/>
      <c r="N3" s="116"/>
      <c r="O3" s="118"/>
      <c r="P3" s="116"/>
      <c r="Q3" s="118"/>
      <c r="R3" s="112"/>
      <c r="S3" s="130"/>
      <c r="T3" s="28"/>
      <c r="U3" s="29"/>
      <c r="V3" s="29"/>
      <c r="W3" s="28"/>
      <c r="X3" s="28"/>
      <c r="Y3" s="30"/>
    </row>
    <row r="4" s="66" customFormat="1" ht="35.1" customHeight="1" spans="1:19">
      <c r="A4" s="60"/>
      <c r="B4" s="62"/>
      <c r="C4" s="119" t="s">
        <v>34</v>
      </c>
      <c r="D4" s="119"/>
      <c r="E4" s="119" t="s">
        <v>45</v>
      </c>
      <c r="F4" s="119"/>
      <c r="G4" s="119" t="s">
        <v>4</v>
      </c>
      <c r="H4" s="119"/>
      <c r="I4" s="119" t="s">
        <v>5</v>
      </c>
      <c r="J4" s="119"/>
      <c r="K4" s="127" t="s">
        <v>52</v>
      </c>
      <c r="L4" s="119"/>
      <c r="M4" s="127" t="s">
        <v>53</v>
      </c>
      <c r="N4" s="119"/>
      <c r="O4" s="119" t="s">
        <v>46</v>
      </c>
      <c r="P4" s="119"/>
      <c r="Q4" s="119" t="s">
        <v>46</v>
      </c>
      <c r="R4" s="62"/>
      <c r="S4" s="60"/>
    </row>
    <row r="5" customHeight="1" spans="3:17">
      <c r="C5" s="120">
        <v>3376</v>
      </c>
      <c r="D5" s="121"/>
      <c r="E5" s="122" t="s">
        <v>54</v>
      </c>
      <c r="F5" s="121"/>
      <c r="G5" s="122" t="s">
        <v>12</v>
      </c>
      <c r="H5" s="121"/>
      <c r="I5" s="122" t="s">
        <v>18</v>
      </c>
      <c r="J5" s="121"/>
      <c r="K5" s="128">
        <v>0.0005</v>
      </c>
      <c r="L5" s="121"/>
      <c r="M5" s="128">
        <v>0.001</v>
      </c>
      <c r="N5" s="121"/>
      <c r="O5" s="122" t="s">
        <v>15</v>
      </c>
      <c r="P5" s="121"/>
      <c r="Q5" s="122" t="s">
        <v>22</v>
      </c>
    </row>
    <row r="6" customHeight="1" spans="3:17">
      <c r="C6" s="123">
        <v>100032</v>
      </c>
      <c r="D6" s="121"/>
      <c r="E6" s="124" t="s">
        <v>55</v>
      </c>
      <c r="F6" s="121"/>
      <c r="G6" s="124" t="s">
        <v>12</v>
      </c>
      <c r="H6" s="121"/>
      <c r="I6" s="124" t="s">
        <v>18</v>
      </c>
      <c r="J6" s="121"/>
      <c r="K6" s="129">
        <v>0.0015</v>
      </c>
      <c r="L6" s="121"/>
      <c r="M6" s="129"/>
      <c r="N6" s="121"/>
      <c r="O6" s="124" t="s">
        <v>10</v>
      </c>
      <c r="P6" s="121"/>
      <c r="Q6" s="124" t="s">
        <v>11</v>
      </c>
    </row>
    <row r="7" customHeight="1" spans="3:17">
      <c r="C7" s="123">
        <v>50027</v>
      </c>
      <c r="D7" s="121"/>
      <c r="E7" s="124" t="s">
        <v>56</v>
      </c>
      <c r="F7" s="121"/>
      <c r="G7" s="124" t="s">
        <v>12</v>
      </c>
      <c r="H7" s="121"/>
      <c r="I7" s="124" t="s">
        <v>18</v>
      </c>
      <c r="J7" s="121"/>
      <c r="K7" s="129">
        <v>0.0008</v>
      </c>
      <c r="L7" s="121"/>
      <c r="M7" s="129"/>
      <c r="N7" s="121"/>
      <c r="O7" s="124" t="s">
        <v>15</v>
      </c>
      <c r="P7" s="121"/>
      <c r="Q7" s="124" t="s">
        <v>22</v>
      </c>
    </row>
    <row r="8" customHeight="1" spans="3:17">
      <c r="C8" s="123">
        <v>1064</v>
      </c>
      <c r="D8" s="121"/>
      <c r="E8" s="124" t="s">
        <v>57</v>
      </c>
      <c r="F8" s="121"/>
      <c r="G8" s="124" t="s">
        <v>12</v>
      </c>
      <c r="H8" s="121"/>
      <c r="I8" s="124" t="s">
        <v>18</v>
      </c>
      <c r="J8" s="121"/>
      <c r="K8" s="129">
        <v>0.0012</v>
      </c>
      <c r="L8" s="121"/>
      <c r="M8" s="129"/>
      <c r="N8" s="121"/>
      <c r="O8" s="124" t="s">
        <v>10</v>
      </c>
      <c r="P8" s="121"/>
      <c r="Q8" s="124" t="s">
        <v>11</v>
      </c>
    </row>
    <row r="9" customHeight="1" spans="3:17">
      <c r="C9" s="123">
        <v>162411</v>
      </c>
      <c r="D9" s="121"/>
      <c r="E9" s="124" t="s">
        <v>58</v>
      </c>
      <c r="F9" s="121"/>
      <c r="G9" s="124" t="s">
        <v>17</v>
      </c>
      <c r="H9" s="121"/>
      <c r="I9" s="124" t="s">
        <v>13</v>
      </c>
      <c r="J9" s="121"/>
      <c r="K9" s="129">
        <v>0.0003</v>
      </c>
      <c r="L9" s="121"/>
      <c r="M9" s="129">
        <v>0.0003</v>
      </c>
      <c r="N9" s="121"/>
      <c r="O9" s="124" t="s">
        <v>20</v>
      </c>
      <c r="P9" s="121"/>
      <c r="Q9" s="124" t="s">
        <v>28</v>
      </c>
    </row>
    <row r="10" customHeight="1" spans="3:17">
      <c r="C10" s="123">
        <v>968</v>
      </c>
      <c r="D10" s="121"/>
      <c r="E10" s="124" t="s">
        <v>59</v>
      </c>
      <c r="F10" s="121"/>
      <c r="G10" s="124" t="s">
        <v>12</v>
      </c>
      <c r="H10" s="121"/>
      <c r="I10" s="124" t="s">
        <v>18</v>
      </c>
      <c r="J10" s="121"/>
      <c r="K10" s="129">
        <v>0.0012</v>
      </c>
      <c r="L10" s="121"/>
      <c r="M10" s="129"/>
      <c r="N10" s="121"/>
      <c r="O10" s="124" t="s">
        <v>10</v>
      </c>
      <c r="P10" s="121"/>
      <c r="Q10" s="124" t="s">
        <v>11</v>
      </c>
    </row>
    <row r="11" customHeight="1" spans="3:17">
      <c r="C11" s="123">
        <v>159938</v>
      </c>
      <c r="D11" s="121"/>
      <c r="E11" s="124" t="s">
        <v>60</v>
      </c>
      <c r="F11" s="121"/>
      <c r="G11" s="124" t="s">
        <v>17</v>
      </c>
      <c r="H11" s="121"/>
      <c r="I11" s="124" t="s">
        <v>13</v>
      </c>
      <c r="J11" s="121"/>
      <c r="K11" s="129">
        <v>0.0003</v>
      </c>
      <c r="L11" s="121"/>
      <c r="M11" s="129">
        <v>0.0003</v>
      </c>
      <c r="N11" s="121"/>
      <c r="O11" s="124" t="s">
        <v>10</v>
      </c>
      <c r="P11" s="121"/>
      <c r="Q11" s="124" t="s">
        <v>11</v>
      </c>
    </row>
    <row r="12" customHeight="1" spans="3:17">
      <c r="C12" s="123">
        <v>510500</v>
      </c>
      <c r="D12" s="121"/>
      <c r="E12" s="124" t="s">
        <v>61</v>
      </c>
      <c r="F12" s="121"/>
      <c r="G12" s="124" t="s">
        <v>17</v>
      </c>
      <c r="H12" s="121"/>
      <c r="I12" s="124" t="s">
        <v>13</v>
      </c>
      <c r="J12" s="121"/>
      <c r="K12" s="129">
        <v>0.0003</v>
      </c>
      <c r="L12" s="121"/>
      <c r="M12" s="129">
        <v>0.0003</v>
      </c>
      <c r="N12" s="121"/>
      <c r="O12" s="124" t="s">
        <v>10</v>
      </c>
      <c r="P12" s="121"/>
      <c r="Q12" s="124" t="s">
        <v>11</v>
      </c>
    </row>
    <row r="13" customHeight="1" spans="3:17">
      <c r="C13" s="123">
        <v>159915</v>
      </c>
      <c r="D13" s="121"/>
      <c r="E13" s="124" t="s">
        <v>62</v>
      </c>
      <c r="F13" s="121"/>
      <c r="G13" s="124" t="s">
        <v>17</v>
      </c>
      <c r="H13" s="121"/>
      <c r="I13" s="124" t="s">
        <v>13</v>
      </c>
      <c r="J13" s="121"/>
      <c r="K13" s="129">
        <v>0.0003</v>
      </c>
      <c r="L13" s="121"/>
      <c r="M13" s="129">
        <v>0.0003</v>
      </c>
      <c r="N13" s="121"/>
      <c r="O13" s="124" t="s">
        <v>10</v>
      </c>
      <c r="P13" s="121"/>
      <c r="Q13" s="124" t="s">
        <v>11</v>
      </c>
    </row>
    <row r="14" customHeight="1" spans="3:17">
      <c r="C14" s="123">
        <v>159952</v>
      </c>
      <c r="D14" s="121"/>
      <c r="E14" s="124" t="s">
        <v>63</v>
      </c>
      <c r="F14" s="121"/>
      <c r="G14" s="124" t="s">
        <v>17</v>
      </c>
      <c r="H14" s="121"/>
      <c r="I14" s="124" t="s">
        <v>13</v>
      </c>
      <c r="J14" s="121"/>
      <c r="K14" s="129">
        <v>0.0003</v>
      </c>
      <c r="L14" s="121"/>
      <c r="M14" s="129">
        <v>0.0003</v>
      </c>
      <c r="N14" s="121"/>
      <c r="O14" s="124" t="s">
        <v>10</v>
      </c>
      <c r="P14" s="121"/>
      <c r="Q14" s="124" t="s">
        <v>11</v>
      </c>
    </row>
    <row r="15" customHeight="1" spans="3:17">
      <c r="C15" s="123">
        <v>1061</v>
      </c>
      <c r="D15" s="121"/>
      <c r="E15" s="124" t="s">
        <v>64</v>
      </c>
      <c r="F15" s="121"/>
      <c r="G15" s="124" t="s">
        <v>12</v>
      </c>
      <c r="H15" s="121"/>
      <c r="I15" s="124" t="s">
        <v>18</v>
      </c>
      <c r="J15" s="121"/>
      <c r="K15" s="129">
        <v>0.0008</v>
      </c>
      <c r="L15" s="121"/>
      <c r="M15" s="129"/>
      <c r="N15" s="121"/>
      <c r="O15" s="124" t="s">
        <v>15</v>
      </c>
      <c r="P15" s="121"/>
      <c r="Q15" s="124" t="s">
        <v>25</v>
      </c>
    </row>
    <row r="16" customHeight="1" spans="3:17">
      <c r="C16" s="123">
        <v>478</v>
      </c>
      <c r="D16" s="121"/>
      <c r="E16" s="124" t="s">
        <v>65</v>
      </c>
      <c r="F16" s="121"/>
      <c r="G16" s="124" t="s">
        <v>12</v>
      </c>
      <c r="H16" s="121"/>
      <c r="I16" s="124" t="s">
        <v>18</v>
      </c>
      <c r="J16" s="121"/>
      <c r="K16" s="129">
        <v>0.0015</v>
      </c>
      <c r="L16" s="121"/>
      <c r="M16" s="129"/>
      <c r="N16" s="121"/>
      <c r="O16" s="124" t="s">
        <v>10</v>
      </c>
      <c r="P16" s="121"/>
      <c r="Q16" s="124" t="s">
        <v>11</v>
      </c>
    </row>
    <row r="17" customHeight="1" spans="3:17">
      <c r="C17" s="123">
        <v>216</v>
      </c>
      <c r="D17" s="121"/>
      <c r="E17" s="124" t="s">
        <v>66</v>
      </c>
      <c r="F17" s="121"/>
      <c r="G17" s="124" t="s">
        <v>12</v>
      </c>
      <c r="H17" s="121"/>
      <c r="I17" s="124" t="s">
        <v>18</v>
      </c>
      <c r="J17" s="121"/>
      <c r="K17" s="129">
        <v>0.0006</v>
      </c>
      <c r="L17" s="121"/>
      <c r="M17" s="129"/>
      <c r="N17" s="121"/>
      <c r="O17" s="124" t="s">
        <v>20</v>
      </c>
      <c r="P17" s="121"/>
      <c r="Q17" s="124" t="s">
        <v>26</v>
      </c>
    </row>
    <row r="18" customHeight="1" spans="3:17">
      <c r="C18" s="123">
        <v>270048</v>
      </c>
      <c r="D18" s="121"/>
      <c r="E18" s="124" t="s">
        <v>67</v>
      </c>
      <c r="F18" s="121"/>
      <c r="G18" s="124" t="s">
        <v>12</v>
      </c>
      <c r="H18" s="121"/>
      <c r="I18" s="124" t="s">
        <v>18</v>
      </c>
      <c r="J18" s="121"/>
      <c r="K18" s="129">
        <v>0.0008</v>
      </c>
      <c r="L18" s="121"/>
      <c r="M18" s="129">
        <v>0.0005</v>
      </c>
      <c r="N18" s="121"/>
      <c r="O18" s="124" t="s">
        <v>15</v>
      </c>
      <c r="P18" s="121"/>
      <c r="Q18" s="124" t="s">
        <v>22</v>
      </c>
    </row>
    <row r="19" customHeight="1" spans="3:17">
      <c r="C19" s="123">
        <v>510050</v>
      </c>
      <c r="D19" s="121"/>
      <c r="E19" s="124" t="s">
        <v>68</v>
      </c>
      <c r="F19" s="121"/>
      <c r="G19" s="124" t="s">
        <v>17</v>
      </c>
      <c r="H19" s="121"/>
      <c r="I19" s="124" t="s">
        <v>13</v>
      </c>
      <c r="J19" s="121"/>
      <c r="K19" s="129"/>
      <c r="L19" s="121"/>
      <c r="M19" s="129"/>
      <c r="N19" s="121"/>
      <c r="O19" s="124" t="s">
        <v>10</v>
      </c>
      <c r="P19" s="121"/>
      <c r="Q19" s="124" t="s">
        <v>11</v>
      </c>
    </row>
    <row r="20" customHeight="1" spans="3:17">
      <c r="C20" s="123">
        <v>160222</v>
      </c>
      <c r="D20" s="121"/>
      <c r="E20" s="124" t="s">
        <v>69</v>
      </c>
      <c r="F20" s="121"/>
      <c r="G20" s="124" t="s">
        <v>12</v>
      </c>
      <c r="H20" s="121"/>
      <c r="I20" s="124" t="s">
        <v>18</v>
      </c>
      <c r="J20" s="121"/>
      <c r="K20" s="129">
        <v>0.0015</v>
      </c>
      <c r="L20" s="121"/>
      <c r="M20" s="129"/>
      <c r="N20" s="121"/>
      <c r="O20" s="124" t="s">
        <v>10</v>
      </c>
      <c r="P20" s="121"/>
      <c r="Q20" s="124" t="s">
        <v>11</v>
      </c>
    </row>
    <row r="21" customHeight="1" spans="3:17">
      <c r="C21" s="123">
        <v>510180</v>
      </c>
      <c r="D21" s="121"/>
      <c r="E21" s="124" t="s">
        <v>70</v>
      </c>
      <c r="F21" s="121"/>
      <c r="G21" s="124" t="s">
        <v>17</v>
      </c>
      <c r="H21" s="121"/>
      <c r="I21" s="124" t="s">
        <v>13</v>
      </c>
      <c r="J21" s="121"/>
      <c r="K21" s="129">
        <v>0.0003</v>
      </c>
      <c r="L21" s="121"/>
      <c r="M21" s="129">
        <v>0.0003</v>
      </c>
      <c r="N21" s="121"/>
      <c r="O21" s="124" t="s">
        <v>10</v>
      </c>
      <c r="P21" s="121"/>
      <c r="Q21" s="124" t="s">
        <v>11</v>
      </c>
    </row>
    <row r="22" customHeight="1" spans="3:17">
      <c r="C22" s="123">
        <v>501018</v>
      </c>
      <c r="D22" s="121"/>
      <c r="E22" s="124" t="s">
        <v>71</v>
      </c>
      <c r="F22" s="121"/>
      <c r="G22" s="124" t="s">
        <v>17</v>
      </c>
      <c r="H22" s="121"/>
      <c r="I22" s="124" t="s">
        <v>13</v>
      </c>
      <c r="J22" s="121"/>
      <c r="K22" s="129">
        <v>0.0003</v>
      </c>
      <c r="L22" s="121"/>
      <c r="M22" s="129">
        <v>0.0003</v>
      </c>
      <c r="N22" s="121"/>
      <c r="O22" s="124" t="s">
        <v>20</v>
      </c>
      <c r="P22" s="121"/>
      <c r="Q22" s="124" t="s">
        <v>28</v>
      </c>
    </row>
    <row r="23" customHeight="1" spans="3:17">
      <c r="C23" s="123">
        <v>513030</v>
      </c>
      <c r="D23" s="121"/>
      <c r="E23" s="124" t="s">
        <v>72</v>
      </c>
      <c r="F23" s="121"/>
      <c r="G23" s="124" t="s">
        <v>17</v>
      </c>
      <c r="H23" s="121"/>
      <c r="I23" s="124" t="s">
        <v>13</v>
      </c>
      <c r="J23" s="121"/>
      <c r="K23" s="129">
        <v>0.0003</v>
      </c>
      <c r="L23" s="121"/>
      <c r="M23" s="129">
        <v>0.0003</v>
      </c>
      <c r="N23" s="121"/>
      <c r="O23" s="124" t="s">
        <v>10</v>
      </c>
      <c r="P23" s="121"/>
      <c r="Q23" s="124" t="s">
        <v>21</v>
      </c>
    </row>
    <row r="24" customHeight="1" spans="3:17">
      <c r="C24" s="123">
        <v>510300</v>
      </c>
      <c r="D24" s="121"/>
      <c r="E24" s="124" t="s">
        <v>73</v>
      </c>
      <c r="F24" s="121"/>
      <c r="G24" s="124" t="s">
        <v>17</v>
      </c>
      <c r="H24" s="121"/>
      <c r="I24" s="124" t="s">
        <v>13</v>
      </c>
      <c r="J24" s="121"/>
      <c r="K24" s="129">
        <v>0.0003</v>
      </c>
      <c r="L24" s="121"/>
      <c r="M24" s="129">
        <v>0.0003</v>
      </c>
      <c r="N24" s="121"/>
      <c r="O24" s="124" t="s">
        <v>10</v>
      </c>
      <c r="P24" s="121"/>
      <c r="Q24" s="124" t="s">
        <v>11</v>
      </c>
    </row>
    <row r="25" customHeight="1" spans="3:17">
      <c r="C25" s="123">
        <v>159920</v>
      </c>
      <c r="D25" s="121"/>
      <c r="E25" s="124" t="s">
        <v>74</v>
      </c>
      <c r="F25" s="121"/>
      <c r="G25" s="124" t="s">
        <v>17</v>
      </c>
      <c r="H25" s="121"/>
      <c r="I25" s="124" t="s">
        <v>13</v>
      </c>
      <c r="J25" s="121"/>
      <c r="K25" s="129">
        <v>0.0003</v>
      </c>
      <c r="L25" s="121"/>
      <c r="M25" s="129">
        <v>0.0003</v>
      </c>
      <c r="N25" s="121"/>
      <c r="O25" s="124" t="s">
        <v>10</v>
      </c>
      <c r="P25" s="121"/>
      <c r="Q25" s="124" t="s">
        <v>16</v>
      </c>
    </row>
    <row r="26" customHeight="1" spans="3:17">
      <c r="C26" s="123">
        <v>159901</v>
      </c>
      <c r="D26" s="121"/>
      <c r="E26" s="124" t="s">
        <v>75</v>
      </c>
      <c r="F26" s="121"/>
      <c r="G26" s="124" t="s">
        <v>17</v>
      </c>
      <c r="H26" s="121"/>
      <c r="I26" s="124" t="s">
        <v>13</v>
      </c>
      <c r="J26" s="121"/>
      <c r="K26" s="129">
        <v>0.0003</v>
      </c>
      <c r="L26" s="121"/>
      <c r="M26" s="129">
        <v>0.0003</v>
      </c>
      <c r="N26" s="121"/>
      <c r="O26" s="124" t="s">
        <v>10</v>
      </c>
      <c r="P26" s="121"/>
      <c r="Q26" s="124" t="s">
        <v>11</v>
      </c>
    </row>
    <row r="27" customHeight="1" spans="3:17">
      <c r="C27" s="123">
        <v>160416</v>
      </c>
      <c r="D27" s="121"/>
      <c r="E27" s="124" t="s">
        <v>76</v>
      </c>
      <c r="F27" s="121"/>
      <c r="G27" s="124" t="s">
        <v>17</v>
      </c>
      <c r="H27" s="121"/>
      <c r="I27" s="124" t="s">
        <v>13</v>
      </c>
      <c r="J27" s="121"/>
      <c r="K27" s="129">
        <v>0.0003</v>
      </c>
      <c r="L27" s="121"/>
      <c r="M27" s="129">
        <v>0.0003</v>
      </c>
      <c r="N27" s="121"/>
      <c r="O27" s="124" t="s">
        <v>20</v>
      </c>
      <c r="P27" s="121"/>
      <c r="Q27" s="124" t="s">
        <v>28</v>
      </c>
    </row>
    <row r="28" customHeight="1" spans="3:17">
      <c r="C28" s="123">
        <v>150235</v>
      </c>
      <c r="D28" s="121"/>
      <c r="E28" s="124" t="s">
        <v>77</v>
      </c>
      <c r="F28" s="121"/>
      <c r="G28" s="124" t="s">
        <v>17</v>
      </c>
      <c r="H28" s="121"/>
      <c r="I28" s="124" t="s">
        <v>13</v>
      </c>
      <c r="J28" s="121"/>
      <c r="K28" s="129">
        <v>0.0003</v>
      </c>
      <c r="L28" s="121"/>
      <c r="M28" s="129">
        <v>0.0003</v>
      </c>
      <c r="N28" s="121"/>
      <c r="O28" s="124" t="s">
        <v>10</v>
      </c>
      <c r="P28" s="121"/>
      <c r="Q28" s="124" t="s">
        <v>11</v>
      </c>
    </row>
    <row r="29" customHeight="1" spans="3:17">
      <c r="C29" s="123">
        <v>1180</v>
      </c>
      <c r="D29" s="121"/>
      <c r="E29" s="124" t="s">
        <v>78</v>
      </c>
      <c r="F29" s="121"/>
      <c r="G29" s="124" t="s">
        <v>12</v>
      </c>
      <c r="H29" s="121"/>
      <c r="I29" s="124" t="s">
        <v>18</v>
      </c>
      <c r="J29" s="121"/>
      <c r="K29" s="129">
        <v>0.0012</v>
      </c>
      <c r="L29" s="121"/>
      <c r="M29" s="129"/>
      <c r="N29" s="121"/>
      <c r="O29" s="124" t="s">
        <v>10</v>
      </c>
      <c r="P29" s="121"/>
      <c r="Q29" s="124" t="s">
        <v>11</v>
      </c>
    </row>
    <row r="30" customHeight="1" spans="3:17">
      <c r="C30" s="123">
        <v>512880</v>
      </c>
      <c r="D30" s="121"/>
      <c r="E30" s="124" t="s">
        <v>79</v>
      </c>
      <c r="F30" s="121"/>
      <c r="G30" s="124" t="s">
        <v>17</v>
      </c>
      <c r="H30" s="121"/>
      <c r="I30" s="124" t="str">
        <f>IF($C30="","",VLOOKUP($G30,参数!$C$13:$D$14,2,0))</f>
        <v>华泰证券</v>
      </c>
      <c r="J30" s="121"/>
      <c r="K30" s="129">
        <v>0.0003</v>
      </c>
      <c r="L30" s="121"/>
      <c r="M30" s="129">
        <v>0.0003</v>
      </c>
      <c r="N30" s="121"/>
      <c r="O30" s="124" t="s">
        <v>10</v>
      </c>
      <c r="P30" s="121"/>
      <c r="Q30" s="124" t="s">
        <v>11</v>
      </c>
    </row>
    <row r="31" customHeight="1" spans="3:17">
      <c r="C31" s="123">
        <v>512980</v>
      </c>
      <c r="D31" s="121"/>
      <c r="E31" s="124" t="s">
        <v>80</v>
      </c>
      <c r="F31" s="121"/>
      <c r="G31" s="124" t="s">
        <v>17</v>
      </c>
      <c r="H31" s="121"/>
      <c r="I31" s="124" t="str">
        <f>IF($C31="","",VLOOKUP($G31,参数!$C$13:$D$14,2,0))</f>
        <v>华泰证券</v>
      </c>
      <c r="J31" s="121"/>
      <c r="K31" s="129">
        <v>0.0003</v>
      </c>
      <c r="L31" s="121"/>
      <c r="M31" s="129">
        <v>0.0003</v>
      </c>
      <c r="N31" s="121"/>
      <c r="O31" s="124" t="s">
        <v>10</v>
      </c>
      <c r="P31" s="121"/>
      <c r="Q31" s="124" t="s">
        <v>11</v>
      </c>
    </row>
    <row r="32" customHeight="1" spans="3:17">
      <c r="C32" s="123">
        <v>512580</v>
      </c>
      <c r="D32" s="121"/>
      <c r="E32" s="124" t="s">
        <v>81</v>
      </c>
      <c r="F32" s="121"/>
      <c r="G32" s="124" t="s">
        <v>17</v>
      </c>
      <c r="H32" s="121"/>
      <c r="I32" s="124" t="str">
        <f>IF($C32="","",VLOOKUP($G32,参数!$C$13:$D$14,2,0))</f>
        <v>华泰证券</v>
      </c>
      <c r="J32" s="121"/>
      <c r="K32" s="129">
        <v>0.0003</v>
      </c>
      <c r="L32" s="121"/>
      <c r="M32" s="129"/>
      <c r="N32" s="121"/>
      <c r="O32" s="124" t="s">
        <v>10</v>
      </c>
      <c r="P32" s="121"/>
      <c r="Q32" s="124" t="s">
        <v>11</v>
      </c>
    </row>
    <row r="33" customHeight="1" spans="3:17">
      <c r="C33" s="123">
        <v>100038</v>
      </c>
      <c r="D33" s="121"/>
      <c r="E33" s="124" t="s">
        <v>82</v>
      </c>
      <c r="F33" s="121"/>
      <c r="G33" s="124" t="s">
        <v>12</v>
      </c>
      <c r="H33" s="121"/>
      <c r="I33" s="124" t="s">
        <v>13</v>
      </c>
      <c r="J33" s="121"/>
      <c r="K33" s="129">
        <v>0.0012</v>
      </c>
      <c r="L33" s="121"/>
      <c r="M33" s="129"/>
      <c r="N33" s="121"/>
      <c r="O33" s="124" t="s">
        <v>10</v>
      </c>
      <c r="P33" s="121"/>
      <c r="Q33" s="124" t="s">
        <v>11</v>
      </c>
    </row>
    <row r="34" customHeight="1" spans="3:17">
      <c r="C34" s="123">
        <v>340001</v>
      </c>
      <c r="D34" s="121"/>
      <c r="E34" s="124" t="s">
        <v>83</v>
      </c>
      <c r="F34" s="121"/>
      <c r="G34" s="124" t="s">
        <v>12</v>
      </c>
      <c r="H34" s="121"/>
      <c r="I34" s="124" t="s">
        <v>13</v>
      </c>
      <c r="J34" s="121"/>
      <c r="K34" s="129">
        <v>0.001</v>
      </c>
      <c r="L34" s="121"/>
      <c r="M34" s="129"/>
      <c r="N34" s="121"/>
      <c r="O34" s="124" t="s">
        <v>15</v>
      </c>
      <c r="P34" s="121"/>
      <c r="Q34" s="124" t="s">
        <v>22</v>
      </c>
    </row>
    <row r="35" customHeight="1" spans="3:17">
      <c r="C35" s="123">
        <v>1469</v>
      </c>
      <c r="D35" s="121"/>
      <c r="E35" s="124" t="s">
        <v>84</v>
      </c>
      <c r="F35" s="121"/>
      <c r="G35" s="124" t="s">
        <v>12</v>
      </c>
      <c r="H35" s="121"/>
      <c r="I35" s="124" t="s">
        <v>13</v>
      </c>
      <c r="J35" s="121"/>
      <c r="K35" s="129">
        <v>0.0012</v>
      </c>
      <c r="L35" s="121"/>
      <c r="M35" s="129"/>
      <c r="N35" s="121"/>
      <c r="O35" s="124" t="s">
        <v>10</v>
      </c>
      <c r="P35" s="121"/>
      <c r="Q35" s="124" t="s">
        <v>11</v>
      </c>
    </row>
    <row r="36" customHeight="1" spans="3:17">
      <c r="C36" s="123">
        <v>614</v>
      </c>
      <c r="D36" s="121"/>
      <c r="E36" s="124" t="s">
        <v>85</v>
      </c>
      <c r="F36" s="121"/>
      <c r="G36" s="124" t="s">
        <v>12</v>
      </c>
      <c r="H36" s="121"/>
      <c r="I36" s="124" t="str">
        <f>IF($C36="","",VLOOKUP($G36,参数!$C$13:$D$14,2,0))</f>
        <v>天天基金</v>
      </c>
      <c r="J36" s="121"/>
      <c r="K36" s="129">
        <v>0.0012</v>
      </c>
      <c r="L36" s="121"/>
      <c r="M36" s="129"/>
      <c r="N36" s="121"/>
      <c r="O36" s="124" t="s">
        <v>10</v>
      </c>
      <c r="P36" s="121"/>
      <c r="Q36" s="124" t="s">
        <v>21</v>
      </c>
    </row>
    <row r="37" customHeight="1" spans="3:17">
      <c r="C37" s="123">
        <v>161017</v>
      </c>
      <c r="D37" s="121"/>
      <c r="E37" s="124" t="s">
        <v>86</v>
      </c>
      <c r="F37" s="121"/>
      <c r="G37" s="124" t="s">
        <v>12</v>
      </c>
      <c r="H37" s="121"/>
      <c r="I37" s="124" t="s">
        <v>13</v>
      </c>
      <c r="J37" s="121"/>
      <c r="K37" s="129">
        <v>0.0015</v>
      </c>
      <c r="L37" s="121"/>
      <c r="M37" s="129"/>
      <c r="N37" s="121"/>
      <c r="O37" s="124" t="s">
        <v>10</v>
      </c>
      <c r="P37" s="121"/>
      <c r="Q37" s="124" t="s">
        <v>11</v>
      </c>
    </row>
    <row r="38" customHeight="1" spans="3:17">
      <c r="C38" s="123">
        <v>513050</v>
      </c>
      <c r="D38" s="121"/>
      <c r="E38" s="124" t="s">
        <v>87</v>
      </c>
      <c r="F38" s="121"/>
      <c r="G38" s="124" t="s">
        <v>17</v>
      </c>
      <c r="H38" s="121"/>
      <c r="I38" s="124" t="str">
        <f>IF($C38="","",VLOOKUP($G38,参数!$C$13:$D$14,2,0))</f>
        <v>华泰证券</v>
      </c>
      <c r="J38" s="121"/>
      <c r="K38" s="129">
        <v>0.0003</v>
      </c>
      <c r="L38" s="121"/>
      <c r="M38" s="129"/>
      <c r="N38" s="121"/>
      <c r="O38" s="124" t="s">
        <v>10</v>
      </c>
      <c r="P38" s="121"/>
      <c r="Q38" s="124" t="s">
        <v>21</v>
      </c>
    </row>
    <row r="39" customHeight="1" spans="3:17">
      <c r="C39" s="123">
        <v>110022</v>
      </c>
      <c r="D39" s="121"/>
      <c r="E39" s="124" t="s">
        <v>88</v>
      </c>
      <c r="F39" s="121"/>
      <c r="G39" s="124" t="s">
        <v>12</v>
      </c>
      <c r="H39" s="121"/>
      <c r="I39" s="124" t="s">
        <v>13</v>
      </c>
      <c r="J39" s="121"/>
      <c r="K39" s="129">
        <v>0.0015</v>
      </c>
      <c r="L39" s="121"/>
      <c r="M39" s="129"/>
      <c r="N39" s="121"/>
      <c r="O39" s="124" t="s">
        <v>10</v>
      </c>
      <c r="P39" s="121"/>
      <c r="Q39" s="124" t="s">
        <v>11</v>
      </c>
    </row>
    <row r="40" customHeight="1" spans="3:17">
      <c r="C40" s="123"/>
      <c r="D40" s="121"/>
      <c r="E40" s="124"/>
      <c r="F40" s="121"/>
      <c r="G40" s="124"/>
      <c r="H40" s="121"/>
      <c r="I40" s="124" t="str">
        <f>IF($C40="","",VLOOKUP($G40,参数!$C$13:$D$14,2,0))</f>
        <v/>
      </c>
      <c r="J40" s="121"/>
      <c r="K40" s="129"/>
      <c r="L40" s="121"/>
      <c r="M40" s="129"/>
      <c r="N40" s="121"/>
      <c r="O40" s="124" t="str">
        <f>IF($C40="","",VLOOKUP($G40,参数!$C$13:$D$14,2,0))</f>
        <v/>
      </c>
      <c r="P40" s="121"/>
      <c r="Q40" s="124" t="str">
        <f>IF($C40="","",VLOOKUP($G40,参数!$C$13:$D$14,2,0))</f>
        <v/>
      </c>
    </row>
    <row r="41" customHeight="1" spans="3:17">
      <c r="C41" s="123"/>
      <c r="D41" s="121"/>
      <c r="E41" s="124"/>
      <c r="F41" s="121"/>
      <c r="G41" s="124"/>
      <c r="H41" s="121"/>
      <c r="I41" s="124" t="str">
        <f>IF($C41="","",VLOOKUP($G41,参数!$C$13:$D$14,2,0))</f>
        <v/>
      </c>
      <c r="J41" s="121"/>
      <c r="K41" s="129"/>
      <c r="L41" s="121"/>
      <c r="M41" s="129"/>
      <c r="N41" s="121"/>
      <c r="O41" s="124" t="str">
        <f>IF($C41="","",VLOOKUP($G41,参数!$C$13:$D$14,2,0))</f>
        <v/>
      </c>
      <c r="P41" s="121"/>
      <c r="Q41" s="124" t="str">
        <f>IF($C41="","",VLOOKUP($G41,参数!$C$13:$D$14,2,0))</f>
        <v/>
      </c>
    </row>
    <row r="42" customHeight="1" spans="3:17">
      <c r="C42" s="123"/>
      <c r="D42" s="121"/>
      <c r="E42" s="124"/>
      <c r="F42" s="121"/>
      <c r="G42" s="124"/>
      <c r="H42" s="121"/>
      <c r="I42" s="124" t="str">
        <f>IF($C42="","",VLOOKUP($G42,参数!$C$13:$D$14,2,0))</f>
        <v/>
      </c>
      <c r="J42" s="121"/>
      <c r="K42" s="129"/>
      <c r="L42" s="121"/>
      <c r="M42" s="129"/>
      <c r="N42" s="121"/>
      <c r="O42" s="124" t="str">
        <f>IF($C42="","",VLOOKUP($G42,参数!$C$13:$D$14,2,0))</f>
        <v/>
      </c>
      <c r="P42" s="121"/>
      <c r="Q42" s="124" t="str">
        <f>IF($C42="","",VLOOKUP($G42,参数!$C$13:$D$14,2,0))</f>
        <v/>
      </c>
    </row>
    <row r="43" customHeight="1" spans="3:17">
      <c r="C43" s="123"/>
      <c r="D43" s="121"/>
      <c r="E43" s="124"/>
      <c r="F43" s="121"/>
      <c r="G43" s="124"/>
      <c r="H43" s="121"/>
      <c r="I43" s="124" t="str">
        <f>IF($C43="","",VLOOKUP($G43,参数!$C$13:$D$14,2,0))</f>
        <v/>
      </c>
      <c r="J43" s="121"/>
      <c r="K43" s="129"/>
      <c r="L43" s="121"/>
      <c r="M43" s="129"/>
      <c r="N43" s="121"/>
      <c r="O43" s="124" t="str">
        <f>IF($C43="","",VLOOKUP($G43,参数!$C$13:$D$14,2,0))</f>
        <v/>
      </c>
      <c r="P43" s="121"/>
      <c r="Q43" s="124" t="str">
        <f>IF($C43="","",VLOOKUP($G43,参数!$C$13:$D$14,2,0))</f>
        <v/>
      </c>
    </row>
    <row r="44" customHeight="1" spans="3:17">
      <c r="C44" s="123"/>
      <c r="D44" s="121"/>
      <c r="E44" s="124"/>
      <c r="F44" s="121"/>
      <c r="G44" s="124"/>
      <c r="H44" s="121"/>
      <c r="I44" s="124" t="str">
        <f>IF($C44="","",VLOOKUP($G44,参数!$C$13:$D$14,2,0))</f>
        <v/>
      </c>
      <c r="J44" s="121"/>
      <c r="K44" s="129"/>
      <c r="L44" s="121"/>
      <c r="M44" s="129"/>
      <c r="N44" s="121"/>
      <c r="O44" s="124" t="str">
        <f>IF($C44="","",VLOOKUP($G44,参数!$C$13:$D$14,2,0))</f>
        <v/>
      </c>
      <c r="P44" s="121"/>
      <c r="Q44" s="124" t="str">
        <f>IF($C44="","",VLOOKUP($G44,参数!$C$13:$D$14,2,0))</f>
        <v/>
      </c>
    </row>
    <row r="45" customHeight="1" spans="3:17">
      <c r="C45" s="123"/>
      <c r="D45" s="121"/>
      <c r="E45" s="124"/>
      <c r="F45" s="121"/>
      <c r="G45" s="124"/>
      <c r="H45" s="121"/>
      <c r="I45" s="124" t="str">
        <f>IF($C45="","",VLOOKUP($G45,参数!$C$13:$D$14,2,0))</f>
        <v/>
      </c>
      <c r="J45" s="121"/>
      <c r="K45" s="129"/>
      <c r="L45" s="121"/>
      <c r="M45" s="129"/>
      <c r="N45" s="121"/>
      <c r="O45" s="124" t="str">
        <f>IF($C45="","",VLOOKUP($G45,参数!$C$13:$D$14,2,0))</f>
        <v/>
      </c>
      <c r="P45" s="121"/>
      <c r="Q45" s="124" t="str">
        <f>IF($C45="","",VLOOKUP($G45,参数!$C$13:$D$14,2,0))</f>
        <v/>
      </c>
    </row>
    <row r="46" customHeight="1" spans="3:17">
      <c r="C46" s="123"/>
      <c r="D46" s="121"/>
      <c r="E46" s="124"/>
      <c r="F46" s="121"/>
      <c r="G46" s="124"/>
      <c r="H46" s="121"/>
      <c r="I46" s="124" t="str">
        <f>IF($C46="","",VLOOKUP($G46,参数!$C$13:$D$14,2,0))</f>
        <v/>
      </c>
      <c r="J46" s="121"/>
      <c r="K46" s="129"/>
      <c r="L46" s="121"/>
      <c r="M46" s="129"/>
      <c r="N46" s="121"/>
      <c r="O46" s="124" t="str">
        <f>IF($C46="","",VLOOKUP($G46,参数!$C$13:$D$14,2,0))</f>
        <v/>
      </c>
      <c r="P46" s="121"/>
      <c r="Q46" s="124" t="str">
        <f>IF($C46="","",VLOOKUP($G46,参数!$C$13:$D$14,2,0))</f>
        <v/>
      </c>
    </row>
    <row r="47" customHeight="1" spans="3:17">
      <c r="C47" s="123"/>
      <c r="D47" s="121"/>
      <c r="E47" s="124"/>
      <c r="F47" s="121"/>
      <c r="G47" s="124"/>
      <c r="H47" s="121"/>
      <c r="I47" s="124" t="str">
        <f>IF($C47="","",VLOOKUP($G47,参数!$C$13:$D$14,2,0))</f>
        <v/>
      </c>
      <c r="J47" s="121"/>
      <c r="K47" s="129"/>
      <c r="L47" s="121"/>
      <c r="M47" s="129"/>
      <c r="N47" s="121"/>
      <c r="O47" s="124" t="str">
        <f>IF($C47="","",VLOOKUP($G47,参数!$C$13:$D$14,2,0))</f>
        <v/>
      </c>
      <c r="P47" s="121"/>
      <c r="Q47" s="124" t="str">
        <f>IF($C47="","",VLOOKUP($G47,参数!$C$13:$D$14,2,0))</f>
        <v/>
      </c>
    </row>
    <row r="48" customHeight="1" spans="3:17">
      <c r="C48" s="123"/>
      <c r="D48" s="121"/>
      <c r="E48" s="124"/>
      <c r="F48" s="121"/>
      <c r="G48" s="124"/>
      <c r="H48" s="121"/>
      <c r="I48" s="124" t="str">
        <f>IF($C48="","",VLOOKUP($G48,参数!$C$13:$D$14,2,0))</f>
        <v/>
      </c>
      <c r="J48" s="121"/>
      <c r="K48" s="129"/>
      <c r="L48" s="121"/>
      <c r="M48" s="129"/>
      <c r="N48" s="121"/>
      <c r="O48" s="124" t="str">
        <f>IF($C48="","",VLOOKUP($G48,参数!$C$13:$D$14,2,0))</f>
        <v/>
      </c>
      <c r="P48" s="121"/>
      <c r="Q48" s="124" t="str">
        <f>IF($C48="","",VLOOKUP($G48,参数!$C$13:$D$14,2,0))</f>
        <v/>
      </c>
    </row>
    <row r="49" customHeight="1" spans="3:17">
      <c r="C49" s="123"/>
      <c r="D49" s="121"/>
      <c r="E49" s="124"/>
      <c r="F49" s="121"/>
      <c r="G49" s="124"/>
      <c r="H49" s="121"/>
      <c r="I49" s="124" t="str">
        <f>IF($C49="","",VLOOKUP($G49,参数!$C$13:$D$14,2,0))</f>
        <v/>
      </c>
      <c r="J49" s="121"/>
      <c r="K49" s="129"/>
      <c r="L49" s="121"/>
      <c r="M49" s="129"/>
      <c r="N49" s="121"/>
      <c r="O49" s="124" t="str">
        <f>IF($C49="","",VLOOKUP($G49,参数!$C$13:$D$14,2,0))</f>
        <v/>
      </c>
      <c r="P49" s="121"/>
      <c r="Q49" s="124" t="str">
        <f>IF($C49="","",VLOOKUP($G49,参数!$C$13:$D$14,2,0))</f>
        <v/>
      </c>
    </row>
    <row r="50" customHeight="1" spans="3:17">
      <c r="C50" s="123"/>
      <c r="D50" s="121"/>
      <c r="E50" s="124"/>
      <c r="F50" s="121"/>
      <c r="G50" s="124"/>
      <c r="H50" s="121"/>
      <c r="I50" s="124" t="str">
        <f>IF($C50="","",VLOOKUP($G50,参数!$C$13:$D$14,2,0))</f>
        <v/>
      </c>
      <c r="J50" s="121"/>
      <c r="K50" s="129"/>
      <c r="L50" s="121"/>
      <c r="M50" s="129"/>
      <c r="N50" s="121"/>
      <c r="O50" s="124" t="str">
        <f>IF($C50="","",VLOOKUP($G50,参数!$C$13:$D$14,2,0))</f>
        <v/>
      </c>
      <c r="P50" s="121"/>
      <c r="Q50" s="124" t="str">
        <f>IF($C50="","",VLOOKUP($G50,参数!$C$13:$D$14,2,0))</f>
        <v/>
      </c>
    </row>
    <row r="51" customHeight="1" spans="3:17">
      <c r="C51" s="123"/>
      <c r="D51" s="121"/>
      <c r="E51" s="124"/>
      <c r="F51" s="121"/>
      <c r="G51" s="124"/>
      <c r="H51" s="121"/>
      <c r="I51" s="124" t="str">
        <f>IF($C51="","",VLOOKUP($G51,参数!$C$13:$D$14,2,0))</f>
        <v/>
      </c>
      <c r="J51" s="121"/>
      <c r="K51" s="129"/>
      <c r="L51" s="121"/>
      <c r="M51" s="129"/>
      <c r="N51" s="121"/>
      <c r="O51" s="124" t="str">
        <f>IF($C51="","",VLOOKUP($G51,参数!$C$13:$D$14,2,0))</f>
        <v/>
      </c>
      <c r="P51" s="121"/>
      <c r="Q51" s="124" t="str">
        <f>IF($C51="","",VLOOKUP($G51,参数!$C$13:$D$14,2,0))</f>
        <v/>
      </c>
    </row>
    <row r="52" customHeight="1" spans="3:17">
      <c r="C52" s="123"/>
      <c r="D52" s="121"/>
      <c r="E52" s="124"/>
      <c r="F52" s="121"/>
      <c r="G52" s="124"/>
      <c r="H52" s="121"/>
      <c r="I52" s="124" t="str">
        <f>IF($C52="","",VLOOKUP($G52,参数!$C$13:$D$14,2,0))</f>
        <v/>
      </c>
      <c r="J52" s="121"/>
      <c r="K52" s="129"/>
      <c r="L52" s="121"/>
      <c r="M52" s="129"/>
      <c r="N52" s="121"/>
      <c r="O52" s="124" t="str">
        <f>IF($C52="","",VLOOKUP($G52,参数!$C$13:$D$14,2,0))</f>
        <v/>
      </c>
      <c r="P52" s="121"/>
      <c r="Q52" s="124" t="str">
        <f>IF($C52="","",VLOOKUP($G52,参数!$C$13:$D$14,2,0))</f>
        <v/>
      </c>
    </row>
    <row r="53" customHeight="1" spans="3:17">
      <c r="C53" s="123"/>
      <c r="D53" s="121"/>
      <c r="E53" s="124"/>
      <c r="F53" s="121"/>
      <c r="G53" s="124"/>
      <c r="H53" s="121"/>
      <c r="I53" s="124" t="str">
        <f>IF($C53="","",VLOOKUP($G53,参数!$C$13:$D$14,2,0))</f>
        <v/>
      </c>
      <c r="J53" s="121"/>
      <c r="K53" s="129"/>
      <c r="L53" s="121"/>
      <c r="M53" s="129"/>
      <c r="N53" s="121"/>
      <c r="O53" s="124" t="str">
        <f>IF($C53="","",VLOOKUP($G53,参数!$C$13:$D$14,2,0))</f>
        <v/>
      </c>
      <c r="P53" s="121"/>
      <c r="Q53" s="124" t="str">
        <f>IF($C53="","",VLOOKUP($G53,参数!$C$13:$D$14,2,0))</f>
        <v/>
      </c>
    </row>
    <row r="54" customHeight="1" spans="3:17">
      <c r="C54" s="123"/>
      <c r="D54" s="121"/>
      <c r="E54" s="124"/>
      <c r="F54" s="121"/>
      <c r="G54" s="124"/>
      <c r="H54" s="121"/>
      <c r="I54" s="124" t="str">
        <f>IF($C54="","",VLOOKUP($G54,参数!$C$13:$D$14,2,0))</f>
        <v/>
      </c>
      <c r="J54" s="121"/>
      <c r="K54" s="129"/>
      <c r="L54" s="121"/>
      <c r="M54" s="129"/>
      <c r="N54" s="121"/>
      <c r="O54" s="124" t="str">
        <f>IF($C54="","",VLOOKUP($G54,参数!$C$13:$D$14,2,0))</f>
        <v/>
      </c>
      <c r="P54" s="121"/>
      <c r="Q54" s="124" t="str">
        <f>IF($C54="","",VLOOKUP($G54,参数!$C$13:$D$14,2,0))</f>
        <v/>
      </c>
    </row>
    <row r="55" customHeight="1" spans="3:17">
      <c r="C55" s="123"/>
      <c r="D55" s="121"/>
      <c r="E55" s="124"/>
      <c r="F55" s="121"/>
      <c r="G55" s="124"/>
      <c r="H55" s="121"/>
      <c r="I55" s="124" t="str">
        <f>IF($C55="","",VLOOKUP($G55,参数!$C$13:$D$14,2,0))</f>
        <v/>
      </c>
      <c r="J55" s="121"/>
      <c r="K55" s="129"/>
      <c r="L55" s="121"/>
      <c r="M55" s="129"/>
      <c r="N55" s="121"/>
      <c r="O55" s="124" t="str">
        <f>IF($C55="","",VLOOKUP($G55,参数!$C$13:$D$14,2,0))</f>
        <v/>
      </c>
      <c r="P55" s="121"/>
      <c r="Q55" s="124" t="str">
        <f>IF($C55="","",VLOOKUP($G55,参数!$C$13:$D$14,2,0))</f>
        <v/>
      </c>
    </row>
  </sheetData>
  <sheetProtection sheet="1" selectLockedCells="1" objects="1"/>
  <dataValidations count="6">
    <dataValidation type="list" allowBlank="1" showInputMessage="1" showErrorMessage="1" sqref="G13 G14 G5:G12 G15:G18 G19:G29 G30:G55">
      <formula1>参数!$C$13:$C$14</formula1>
    </dataValidation>
    <dataValidation type="list" showErrorMessage="1" sqref="I13 I14 I7:I12 I15:I18 I19:I29 I30:I55">
      <formula1>参数!$D$13:$D$14</formula1>
    </dataValidation>
    <dataValidation type="decimal" operator="between" allowBlank="1" showInputMessage="1" showErrorMessage="1" sqref="K13 M13 K14 M14 K5:K12 K15:K18 K19:K29 K30:K55 M5:M12 M15:M18 M19:M29 M30:M55">
      <formula1>0.0001</formula1>
      <formula2>0.03</formula2>
    </dataValidation>
    <dataValidation type="list" allowBlank="1" showInputMessage="1" showErrorMessage="1" sqref="I5:I6">
      <formula1>参数!$D$13:$D$14</formula1>
    </dataValidation>
    <dataValidation type="list" allowBlank="1" showInputMessage="1" showErrorMessage="1" sqref="O5:O55">
      <formula1>参数!$G$13:$G$15</formula1>
    </dataValidation>
    <dataValidation type="list" allowBlank="1" showInputMessage="1" showErrorMessage="1" sqref="Q5:Q55">
      <formula1>参数!$F$13:$F$19</formula1>
    </dataValidation>
  </dataValidation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V47"/>
  <sheetViews>
    <sheetView showGridLines="0" zoomScale="107" zoomScaleNormal="107" workbookViewId="0">
      <pane ySplit="4" topLeftCell="A13" activePane="bottomLeft" state="frozen"/>
      <selection/>
      <selection pane="bottomLeft" activeCell="J19" sqref="J19"/>
    </sheetView>
  </sheetViews>
  <sheetFormatPr defaultColWidth="9" defaultRowHeight="30" customHeight="1"/>
  <cols>
    <col min="1" max="1" width="1.625" style="60" customWidth="1"/>
    <col min="2" max="2" width="2.625" style="62" customWidth="1"/>
    <col min="3" max="3" width="11.75" style="63" customWidth="1"/>
    <col min="4" max="4" width="9.375" style="64" customWidth="1"/>
    <col min="5" max="5" width="25.5" style="65" customWidth="1"/>
    <col min="6" max="6" width="6.875" style="65" customWidth="1"/>
    <col min="7" max="7" width="8.625" style="65" customWidth="1"/>
    <col min="8" max="8" width="30.25" style="65" customWidth="1"/>
    <col min="9" max="9" width="6" style="62" customWidth="1"/>
    <col min="10" max="10" width="6.375" style="62" customWidth="1"/>
    <col min="11" max="11" width="2.625" style="62" customWidth="1"/>
    <col min="12" max="12" width="1.625" style="60" customWidth="1"/>
    <col min="13" max="256" width="9" style="66" customWidth="1"/>
  </cols>
  <sheetData>
    <row r="1" ht="9.95" customHeight="1" spans="2:11">
      <c r="B1" s="60"/>
      <c r="C1" s="67"/>
      <c r="D1" s="68"/>
      <c r="E1" s="69"/>
      <c r="F1" s="69"/>
      <c r="G1" s="69"/>
      <c r="H1" s="69"/>
      <c r="I1" s="60"/>
      <c r="J1" s="60"/>
      <c r="K1" s="60"/>
    </row>
    <row r="2" ht="35.1" customHeight="1" spans="2:11">
      <c r="B2" s="70"/>
      <c r="C2" s="71" t="s">
        <v>89</v>
      </c>
      <c r="D2" s="72"/>
      <c r="E2" s="73"/>
      <c r="F2" s="73"/>
      <c r="G2" s="73"/>
      <c r="H2" s="73"/>
      <c r="I2" s="98"/>
      <c r="J2" s="98"/>
      <c r="K2" s="70"/>
    </row>
    <row r="3" s="60" customFormat="1" ht="9.95" customHeight="1" spans="3:256">
      <c r="C3" s="67"/>
      <c r="D3" s="68"/>
      <c r="E3" s="69"/>
      <c r="F3" s="69"/>
      <c r="G3" s="69"/>
      <c r="H3" s="69"/>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6"/>
      <c r="BA3" s="66"/>
      <c r="BB3" s="66"/>
      <c r="BC3" s="66"/>
      <c r="BD3" s="66"/>
      <c r="BE3" s="66"/>
      <c r="BF3" s="66"/>
      <c r="BG3" s="66"/>
      <c r="BH3" s="66"/>
      <c r="BI3" s="66"/>
      <c r="BJ3" s="66"/>
      <c r="BK3" s="66"/>
      <c r="BL3" s="66"/>
      <c r="BM3" s="66"/>
      <c r="BN3" s="66"/>
      <c r="BO3" s="66"/>
      <c r="BP3" s="66"/>
      <c r="BQ3" s="66"/>
      <c r="BR3" s="66"/>
      <c r="BS3" s="66"/>
      <c r="BT3" s="66"/>
      <c r="BU3" s="66"/>
      <c r="BV3" s="66"/>
      <c r="BW3" s="66"/>
      <c r="BX3" s="66"/>
      <c r="BY3" s="66"/>
      <c r="BZ3" s="66"/>
      <c r="CA3" s="66"/>
      <c r="CB3" s="66"/>
      <c r="CC3" s="66"/>
      <c r="CD3" s="66"/>
      <c r="CE3" s="66"/>
      <c r="CF3" s="66"/>
      <c r="CG3" s="66"/>
      <c r="CH3" s="66"/>
      <c r="CI3" s="66"/>
      <c r="CJ3" s="66"/>
      <c r="CK3" s="66"/>
      <c r="CL3" s="66"/>
      <c r="CM3" s="66"/>
      <c r="CN3" s="66"/>
      <c r="CO3" s="66"/>
      <c r="CP3" s="66"/>
      <c r="CQ3" s="66"/>
      <c r="CR3" s="66"/>
      <c r="CS3" s="66"/>
      <c r="CT3" s="66"/>
      <c r="CU3" s="66"/>
      <c r="CV3" s="66"/>
      <c r="CW3" s="66"/>
      <c r="CX3" s="66"/>
      <c r="CY3" s="66"/>
      <c r="CZ3" s="66"/>
      <c r="DA3" s="66"/>
      <c r="DB3" s="66"/>
      <c r="DC3" s="66"/>
      <c r="DD3" s="66"/>
      <c r="DE3" s="66"/>
      <c r="DF3" s="66"/>
      <c r="DG3" s="66"/>
      <c r="DH3" s="66"/>
      <c r="DI3" s="66"/>
      <c r="DJ3" s="66"/>
      <c r="DK3" s="66"/>
      <c r="DL3" s="66"/>
      <c r="DM3" s="66"/>
      <c r="DN3" s="66"/>
      <c r="DO3" s="66"/>
      <c r="DP3" s="66"/>
      <c r="DQ3" s="66"/>
      <c r="DR3" s="66"/>
      <c r="DS3" s="66"/>
      <c r="DT3" s="66"/>
      <c r="DU3" s="66"/>
      <c r="DV3" s="66"/>
      <c r="DW3" s="66"/>
      <c r="DX3" s="66"/>
      <c r="DY3" s="66"/>
      <c r="DZ3" s="66"/>
      <c r="EA3" s="66"/>
      <c r="EB3" s="66"/>
      <c r="EC3" s="66"/>
      <c r="ED3" s="66"/>
      <c r="EE3" s="66"/>
      <c r="EF3" s="66"/>
      <c r="EG3" s="66"/>
      <c r="EH3" s="66"/>
      <c r="EI3" s="66"/>
      <c r="EJ3" s="66"/>
      <c r="EK3" s="66"/>
      <c r="EL3" s="66"/>
      <c r="EM3" s="66"/>
      <c r="EN3" s="66"/>
      <c r="EO3" s="66"/>
      <c r="EP3" s="66"/>
      <c r="EQ3" s="66"/>
      <c r="ER3" s="66"/>
      <c r="ES3" s="66"/>
      <c r="ET3" s="66"/>
      <c r="EU3" s="66"/>
      <c r="EV3" s="66"/>
      <c r="EW3" s="66"/>
      <c r="EX3" s="66"/>
      <c r="EY3" s="66"/>
      <c r="EZ3" s="66"/>
      <c r="FA3" s="66"/>
      <c r="FB3" s="66"/>
      <c r="FC3" s="66"/>
      <c r="FD3" s="66"/>
      <c r="FE3" s="66"/>
      <c r="FF3" s="66"/>
      <c r="FG3" s="66"/>
      <c r="FH3" s="66"/>
      <c r="FI3" s="66"/>
      <c r="FJ3" s="66"/>
      <c r="FK3" s="66"/>
      <c r="FL3" s="66"/>
      <c r="FM3" s="66"/>
      <c r="FN3" s="66"/>
      <c r="FO3" s="66"/>
      <c r="FP3" s="66"/>
      <c r="FQ3" s="66"/>
      <c r="FR3" s="66"/>
      <c r="FS3" s="66"/>
      <c r="FT3" s="66"/>
      <c r="FU3" s="66"/>
      <c r="FV3" s="66"/>
      <c r="FW3" s="66"/>
      <c r="FX3" s="66"/>
      <c r="FY3" s="66"/>
      <c r="FZ3" s="66"/>
      <c r="GA3" s="66"/>
      <c r="GB3" s="66"/>
      <c r="GC3" s="66"/>
      <c r="GD3" s="66"/>
      <c r="GE3" s="66"/>
      <c r="GF3" s="66"/>
      <c r="GG3" s="66"/>
      <c r="GH3" s="66"/>
      <c r="GI3" s="66"/>
      <c r="GJ3" s="66"/>
      <c r="GK3" s="66"/>
      <c r="GL3" s="66"/>
      <c r="GM3" s="66"/>
      <c r="GN3" s="66"/>
      <c r="GO3" s="66"/>
      <c r="GP3" s="66"/>
      <c r="GQ3" s="66"/>
      <c r="GR3" s="66"/>
      <c r="GS3" s="66"/>
      <c r="GT3" s="66"/>
      <c r="GU3" s="66"/>
      <c r="GV3" s="66"/>
      <c r="GW3" s="66"/>
      <c r="GX3" s="66"/>
      <c r="GY3" s="66"/>
      <c r="GZ3" s="66"/>
      <c r="HA3" s="66"/>
      <c r="HB3" s="66"/>
      <c r="HC3" s="66"/>
      <c r="HD3" s="66"/>
      <c r="HE3" s="66"/>
      <c r="HF3" s="66"/>
      <c r="HG3" s="66"/>
      <c r="HH3" s="66"/>
      <c r="HI3" s="66"/>
      <c r="HJ3" s="66"/>
      <c r="HK3" s="66"/>
      <c r="HL3" s="66"/>
      <c r="HM3" s="66"/>
      <c r="HN3" s="66"/>
      <c r="HO3" s="66"/>
      <c r="HP3" s="66"/>
      <c r="HQ3" s="66"/>
      <c r="HR3" s="66"/>
      <c r="HS3" s="66"/>
      <c r="HT3" s="66"/>
      <c r="HU3" s="66"/>
      <c r="HV3" s="66"/>
      <c r="HW3" s="66"/>
      <c r="HX3" s="66"/>
      <c r="HY3" s="66"/>
      <c r="HZ3" s="66"/>
      <c r="IA3" s="66"/>
      <c r="IB3" s="66"/>
      <c r="IC3" s="66"/>
      <c r="ID3" s="66"/>
      <c r="IE3" s="66"/>
      <c r="IF3" s="66"/>
      <c r="IG3" s="66"/>
      <c r="IH3" s="66"/>
      <c r="II3" s="66"/>
      <c r="IJ3" s="66"/>
      <c r="IK3" s="66"/>
      <c r="IL3" s="66"/>
      <c r="IM3" s="66"/>
      <c r="IN3" s="66"/>
      <c r="IO3" s="66"/>
      <c r="IP3" s="66"/>
      <c r="IQ3" s="66"/>
      <c r="IR3" s="66"/>
      <c r="IS3" s="66"/>
      <c r="IT3" s="66"/>
      <c r="IU3" s="66"/>
      <c r="IV3" s="66"/>
    </row>
    <row r="4" customHeight="1" spans="3:10">
      <c r="C4" s="74" t="s">
        <v>90</v>
      </c>
      <c r="D4" s="75" t="s">
        <v>44</v>
      </c>
      <c r="E4" s="76" t="s">
        <v>45</v>
      </c>
      <c r="F4" s="76" t="s">
        <v>46</v>
      </c>
      <c r="G4" s="76" t="s">
        <v>91</v>
      </c>
      <c r="H4" s="76" t="s">
        <v>92</v>
      </c>
      <c r="I4" s="99" t="s">
        <v>38</v>
      </c>
      <c r="J4" s="99" t="s">
        <v>47</v>
      </c>
    </row>
    <row r="5" hidden="1" customHeight="1" spans="3:10">
      <c r="C5" s="77">
        <v>42760</v>
      </c>
      <c r="D5" s="78">
        <v>968</v>
      </c>
      <c r="E5" s="79" t="s">
        <v>59</v>
      </c>
      <c r="F5" s="80" t="s">
        <v>12</v>
      </c>
      <c r="G5" s="81">
        <v>0.9595</v>
      </c>
      <c r="H5" s="79"/>
      <c r="I5" s="100">
        <v>1</v>
      </c>
      <c r="J5" s="101" t="s">
        <v>32</v>
      </c>
    </row>
    <row r="6" hidden="1" customHeight="1" spans="3:10">
      <c r="C6" s="82">
        <v>42748</v>
      </c>
      <c r="D6" s="83">
        <v>1180</v>
      </c>
      <c r="E6" s="84" t="s">
        <v>78</v>
      </c>
      <c r="F6" s="85" t="s">
        <v>12</v>
      </c>
      <c r="G6" s="86">
        <v>0.7815</v>
      </c>
      <c r="H6" s="84" t="s">
        <v>93</v>
      </c>
      <c r="I6" s="102">
        <v>1</v>
      </c>
      <c r="J6" s="103" t="s">
        <v>32</v>
      </c>
    </row>
    <row r="7" hidden="1" customHeight="1" spans="3:10">
      <c r="C7" s="82">
        <v>42733</v>
      </c>
      <c r="D7" s="83">
        <v>100032</v>
      </c>
      <c r="E7" s="84" t="s">
        <v>55</v>
      </c>
      <c r="F7" s="85" t="s">
        <v>12</v>
      </c>
      <c r="G7" s="86">
        <v>1.369</v>
      </c>
      <c r="H7" s="84"/>
      <c r="I7" s="102">
        <v>1</v>
      </c>
      <c r="J7" s="103" t="s">
        <v>32</v>
      </c>
    </row>
    <row r="8" hidden="1" customHeight="1" spans="3:10">
      <c r="C8" s="82">
        <v>42718</v>
      </c>
      <c r="D8" s="83">
        <v>1180</v>
      </c>
      <c r="E8" s="84" t="s">
        <v>78</v>
      </c>
      <c r="F8" s="85" t="s">
        <v>12</v>
      </c>
      <c r="G8" s="86">
        <v>0.7895</v>
      </c>
      <c r="H8" s="84" t="s">
        <v>94</v>
      </c>
      <c r="I8" s="102">
        <v>1</v>
      </c>
      <c r="J8" s="103" t="s">
        <v>32</v>
      </c>
    </row>
    <row r="9" hidden="1" customHeight="1" spans="3:10">
      <c r="C9" s="82">
        <v>42718</v>
      </c>
      <c r="D9" s="83">
        <v>100032</v>
      </c>
      <c r="E9" s="84" t="s">
        <v>55</v>
      </c>
      <c r="F9" s="85" t="s">
        <v>12</v>
      </c>
      <c r="G9" s="86">
        <v>1.39</v>
      </c>
      <c r="H9" s="84"/>
      <c r="I9" s="102">
        <v>1</v>
      </c>
      <c r="J9" s="103" t="s">
        <v>32</v>
      </c>
    </row>
    <row r="10" s="61" customFormat="1" hidden="1" customHeight="1" spans="1:256">
      <c r="A10" s="60"/>
      <c r="B10" s="62"/>
      <c r="C10" s="87">
        <v>42718</v>
      </c>
      <c r="D10" s="88">
        <v>510050</v>
      </c>
      <c r="E10" s="89" t="s">
        <v>68</v>
      </c>
      <c r="F10" s="89" t="s">
        <v>17</v>
      </c>
      <c r="G10" s="90"/>
      <c r="H10" s="89"/>
      <c r="I10" s="104">
        <v>1</v>
      </c>
      <c r="J10" s="105" t="s">
        <v>33</v>
      </c>
      <c r="K10" s="62"/>
      <c r="L10" s="60"/>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c r="BA10" s="66"/>
      <c r="BB10" s="66"/>
      <c r="BC10" s="66"/>
      <c r="BD10" s="66"/>
      <c r="BE10" s="66"/>
      <c r="BF10" s="66"/>
      <c r="BG10" s="66"/>
      <c r="BH10" s="66"/>
      <c r="BI10" s="66"/>
      <c r="BJ10" s="66"/>
      <c r="BK10" s="66"/>
      <c r="BL10" s="66"/>
      <c r="BM10" s="66"/>
      <c r="BN10" s="66"/>
      <c r="BO10" s="66"/>
      <c r="BP10" s="66"/>
      <c r="BQ10" s="66"/>
      <c r="BR10" s="66"/>
      <c r="BS10" s="66"/>
      <c r="BT10" s="66"/>
      <c r="BU10" s="66"/>
      <c r="BV10" s="66"/>
      <c r="BW10" s="66"/>
      <c r="BX10" s="66"/>
      <c r="BY10" s="66"/>
      <c r="BZ10" s="66"/>
      <c r="CA10" s="66"/>
      <c r="CB10" s="66"/>
      <c r="CC10" s="66"/>
      <c r="CD10" s="66"/>
      <c r="CE10" s="66"/>
      <c r="CF10" s="66"/>
      <c r="CG10" s="66"/>
      <c r="CH10" s="66"/>
      <c r="CI10" s="66"/>
      <c r="CJ10" s="66"/>
      <c r="CK10" s="66"/>
      <c r="CL10" s="66"/>
      <c r="CM10" s="66"/>
      <c r="CN10" s="66"/>
      <c r="CO10" s="66"/>
      <c r="CP10" s="66"/>
      <c r="CQ10" s="66"/>
      <c r="CR10" s="66"/>
      <c r="CS10" s="66"/>
      <c r="CT10" s="66"/>
      <c r="CU10" s="66"/>
      <c r="CV10" s="66"/>
      <c r="CW10" s="66"/>
      <c r="CX10" s="66"/>
      <c r="CY10" s="66"/>
      <c r="CZ10" s="66"/>
      <c r="DA10" s="66"/>
      <c r="DB10" s="66"/>
      <c r="DC10" s="66"/>
      <c r="DD10" s="66"/>
      <c r="DE10" s="66"/>
      <c r="DF10" s="66"/>
      <c r="DG10" s="66"/>
      <c r="DH10" s="66"/>
      <c r="DI10" s="66"/>
      <c r="DJ10" s="66"/>
      <c r="DK10" s="66"/>
      <c r="DL10" s="66"/>
      <c r="DM10" s="66"/>
      <c r="DN10" s="66"/>
      <c r="DO10" s="66"/>
      <c r="DP10" s="66"/>
      <c r="DQ10" s="66"/>
      <c r="DR10" s="66"/>
      <c r="DS10" s="66"/>
      <c r="DT10" s="66"/>
      <c r="DU10" s="66"/>
      <c r="DV10" s="66"/>
      <c r="DW10" s="66"/>
      <c r="DX10" s="66"/>
      <c r="DY10" s="66"/>
      <c r="DZ10" s="66"/>
      <c r="EA10" s="66"/>
      <c r="EB10" s="66"/>
      <c r="EC10" s="66"/>
      <c r="ED10" s="66"/>
      <c r="EE10" s="66"/>
      <c r="EF10" s="66"/>
      <c r="EG10" s="66"/>
      <c r="EH10" s="66"/>
      <c r="EI10" s="66"/>
      <c r="EJ10" s="66"/>
      <c r="EK10" s="66"/>
      <c r="EL10" s="66"/>
      <c r="EM10" s="66"/>
      <c r="EN10" s="66"/>
      <c r="EO10" s="66"/>
      <c r="EP10" s="66"/>
      <c r="EQ10" s="66"/>
      <c r="ER10" s="66"/>
      <c r="ES10" s="66"/>
      <c r="ET10" s="66"/>
      <c r="EU10" s="66"/>
      <c r="EV10" s="66"/>
      <c r="EW10" s="66"/>
      <c r="EX10" s="66"/>
      <c r="EY10" s="66"/>
      <c r="EZ10" s="66"/>
      <c r="FA10" s="66"/>
      <c r="FB10" s="66"/>
      <c r="FC10" s="66"/>
      <c r="FD10" s="66"/>
      <c r="FE10" s="66"/>
      <c r="FF10" s="66"/>
      <c r="FG10" s="66"/>
      <c r="FH10" s="66"/>
      <c r="FI10" s="66"/>
      <c r="FJ10" s="66"/>
      <c r="FK10" s="66"/>
      <c r="FL10" s="66"/>
      <c r="FM10" s="66"/>
      <c r="FN10" s="66"/>
      <c r="FO10" s="66"/>
      <c r="FP10" s="66"/>
      <c r="FQ10" s="66"/>
      <c r="FR10" s="66"/>
      <c r="FS10" s="66"/>
      <c r="FT10" s="66"/>
      <c r="FU10" s="66"/>
      <c r="FV10" s="66"/>
      <c r="FW10" s="66"/>
      <c r="FX10" s="66"/>
      <c r="FY10" s="66"/>
      <c r="FZ10" s="66"/>
      <c r="GA10" s="66"/>
      <c r="GB10" s="66"/>
      <c r="GC10" s="66"/>
      <c r="GD10" s="66"/>
      <c r="GE10" s="66"/>
      <c r="GF10" s="66"/>
      <c r="GG10" s="66"/>
      <c r="GH10" s="66"/>
      <c r="GI10" s="66"/>
      <c r="GJ10" s="66"/>
      <c r="GK10" s="66"/>
      <c r="GL10" s="66"/>
      <c r="GM10" s="66"/>
      <c r="GN10" s="66"/>
      <c r="GO10" s="66"/>
      <c r="GP10" s="66"/>
      <c r="GQ10" s="66"/>
      <c r="GR10" s="66"/>
      <c r="GS10" s="66"/>
      <c r="GT10" s="66"/>
      <c r="GU10" s="66"/>
      <c r="GV10" s="66"/>
      <c r="GW10" s="66"/>
      <c r="GX10" s="66"/>
      <c r="GY10" s="66"/>
      <c r="GZ10" s="66"/>
      <c r="HA10" s="66"/>
      <c r="HB10" s="66"/>
      <c r="HC10" s="66"/>
      <c r="HD10" s="66"/>
      <c r="HE10" s="66"/>
      <c r="HF10" s="66"/>
      <c r="HG10" s="66"/>
      <c r="HH10" s="66"/>
      <c r="HI10" s="66"/>
      <c r="HJ10" s="66"/>
      <c r="HK10" s="66"/>
      <c r="HL10" s="66"/>
      <c r="HM10" s="66"/>
      <c r="HN10" s="66"/>
      <c r="HO10" s="66"/>
      <c r="HP10" s="66"/>
      <c r="HQ10" s="66"/>
      <c r="HR10" s="66"/>
      <c r="HS10" s="66"/>
      <c r="HT10" s="66"/>
      <c r="HU10" s="66"/>
      <c r="HV10" s="66"/>
      <c r="HW10" s="66"/>
      <c r="HX10" s="66"/>
      <c r="HY10" s="66"/>
      <c r="HZ10" s="66"/>
      <c r="IA10" s="66"/>
      <c r="IB10" s="66"/>
      <c r="IC10" s="66"/>
      <c r="ID10" s="66"/>
      <c r="IE10" s="66"/>
      <c r="IF10" s="66"/>
      <c r="IG10" s="66"/>
      <c r="IH10" s="66"/>
      <c r="II10" s="66"/>
      <c r="IJ10" s="66"/>
      <c r="IK10" s="66"/>
      <c r="IL10" s="66"/>
      <c r="IM10" s="66"/>
      <c r="IN10" s="66"/>
      <c r="IO10" s="66"/>
      <c r="IP10" s="66"/>
      <c r="IQ10" s="66"/>
      <c r="IR10" s="66"/>
      <c r="IS10" s="66"/>
      <c r="IT10" s="66"/>
      <c r="IU10" s="66"/>
      <c r="IV10" s="66"/>
    </row>
    <row r="11" hidden="1" customHeight="1" spans="3:10">
      <c r="C11" s="82">
        <v>42704</v>
      </c>
      <c r="D11" s="83">
        <v>50027</v>
      </c>
      <c r="E11" s="84" t="s">
        <v>56</v>
      </c>
      <c r="F11" s="85" t="s">
        <v>12</v>
      </c>
      <c r="G11" s="86">
        <v>1.089</v>
      </c>
      <c r="H11" s="84"/>
      <c r="I11" s="102">
        <v>1</v>
      </c>
      <c r="J11" s="103" t="s">
        <v>32</v>
      </c>
    </row>
    <row r="12" hidden="1" customHeight="1" spans="3:10">
      <c r="C12" s="82">
        <v>42675</v>
      </c>
      <c r="D12" s="83">
        <v>1064</v>
      </c>
      <c r="E12" s="84" t="s">
        <v>57</v>
      </c>
      <c r="F12" s="85" t="s">
        <v>12</v>
      </c>
      <c r="G12" s="86">
        <v>0.7816</v>
      </c>
      <c r="H12" s="84" t="s">
        <v>95</v>
      </c>
      <c r="I12" s="102">
        <v>1</v>
      </c>
      <c r="J12" s="103" t="s">
        <v>32</v>
      </c>
    </row>
    <row r="13" customHeight="1" spans="3:10">
      <c r="C13" s="91">
        <v>42642</v>
      </c>
      <c r="D13" s="92">
        <v>160222</v>
      </c>
      <c r="E13" s="93" t="s">
        <v>69</v>
      </c>
      <c r="F13" s="94" t="s">
        <v>12</v>
      </c>
      <c r="G13" s="95">
        <v>0.8315</v>
      </c>
      <c r="H13" s="93" t="s">
        <v>96</v>
      </c>
      <c r="I13" s="106">
        <v>1</v>
      </c>
      <c r="J13" s="107"/>
    </row>
    <row r="14" customHeight="1" spans="3:10">
      <c r="C14" s="74">
        <v>42642</v>
      </c>
      <c r="D14" s="96">
        <v>510180</v>
      </c>
      <c r="E14" s="96" t="s">
        <v>70</v>
      </c>
      <c r="F14" s="76" t="s">
        <v>17</v>
      </c>
      <c r="G14" s="97">
        <v>2.84</v>
      </c>
      <c r="H14" s="76" t="s">
        <v>97</v>
      </c>
      <c r="I14" s="108">
        <v>1</v>
      </c>
      <c r="J14" s="109"/>
    </row>
    <row r="15" s="61" customFormat="1" hidden="1" customHeight="1" spans="1:256">
      <c r="A15" s="60"/>
      <c r="B15" s="62"/>
      <c r="C15" s="82">
        <v>42642</v>
      </c>
      <c r="D15" s="83">
        <v>501018</v>
      </c>
      <c r="E15" s="84" t="s">
        <v>71</v>
      </c>
      <c r="F15" s="84" t="s">
        <v>17</v>
      </c>
      <c r="G15" s="86"/>
      <c r="H15" s="84"/>
      <c r="I15" s="102">
        <v>1</v>
      </c>
      <c r="J15" s="103" t="s">
        <v>33</v>
      </c>
      <c r="K15" s="62"/>
      <c r="L15" s="60"/>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66"/>
      <c r="AQ15" s="66"/>
      <c r="AR15" s="66"/>
      <c r="AS15" s="66"/>
      <c r="AT15" s="66"/>
      <c r="AU15" s="66"/>
      <c r="AV15" s="66"/>
      <c r="AW15" s="66"/>
      <c r="AX15" s="66"/>
      <c r="AY15" s="66"/>
      <c r="AZ15" s="66"/>
      <c r="BA15" s="66"/>
      <c r="BB15" s="66"/>
      <c r="BC15" s="66"/>
      <c r="BD15" s="66"/>
      <c r="BE15" s="66"/>
      <c r="BF15" s="66"/>
      <c r="BG15" s="66"/>
      <c r="BH15" s="66"/>
      <c r="BI15" s="66"/>
      <c r="BJ15" s="66"/>
      <c r="BK15" s="66"/>
      <c r="BL15" s="66"/>
      <c r="BM15" s="66"/>
      <c r="BN15" s="66"/>
      <c r="BO15" s="66"/>
      <c r="BP15" s="66"/>
      <c r="BQ15" s="66"/>
      <c r="BR15" s="66"/>
      <c r="BS15" s="66"/>
      <c r="BT15" s="66"/>
      <c r="BU15" s="66"/>
      <c r="BV15" s="66"/>
      <c r="BW15" s="66"/>
      <c r="BX15" s="66"/>
      <c r="BY15" s="66"/>
      <c r="BZ15" s="66"/>
      <c r="CA15" s="66"/>
      <c r="CB15" s="66"/>
      <c r="CC15" s="66"/>
      <c r="CD15" s="66"/>
      <c r="CE15" s="66"/>
      <c r="CF15" s="66"/>
      <c r="CG15" s="66"/>
      <c r="CH15" s="66"/>
      <c r="CI15" s="66"/>
      <c r="CJ15" s="66"/>
      <c r="CK15" s="66"/>
      <c r="CL15" s="66"/>
      <c r="CM15" s="66"/>
      <c r="CN15" s="66"/>
      <c r="CO15" s="66"/>
      <c r="CP15" s="66"/>
      <c r="CQ15" s="66"/>
      <c r="CR15" s="66"/>
      <c r="CS15" s="66"/>
      <c r="CT15" s="66"/>
      <c r="CU15" s="66"/>
      <c r="CV15" s="66"/>
      <c r="CW15" s="66"/>
      <c r="CX15" s="66"/>
      <c r="CY15" s="66"/>
      <c r="CZ15" s="66"/>
      <c r="DA15" s="66"/>
      <c r="DB15" s="66"/>
      <c r="DC15" s="66"/>
      <c r="DD15" s="66"/>
      <c r="DE15" s="66"/>
      <c r="DF15" s="66"/>
      <c r="DG15" s="66"/>
      <c r="DH15" s="66"/>
      <c r="DI15" s="66"/>
      <c r="DJ15" s="66"/>
      <c r="DK15" s="66"/>
      <c r="DL15" s="66"/>
      <c r="DM15" s="66"/>
      <c r="DN15" s="66"/>
      <c r="DO15" s="66"/>
      <c r="DP15" s="66"/>
      <c r="DQ15" s="66"/>
      <c r="DR15" s="66"/>
      <c r="DS15" s="66"/>
      <c r="DT15" s="66"/>
      <c r="DU15" s="66"/>
      <c r="DV15" s="66"/>
      <c r="DW15" s="66"/>
      <c r="DX15" s="66"/>
      <c r="DY15" s="66"/>
      <c r="DZ15" s="66"/>
      <c r="EA15" s="66"/>
      <c r="EB15" s="66"/>
      <c r="EC15" s="66"/>
      <c r="ED15" s="66"/>
      <c r="EE15" s="66"/>
      <c r="EF15" s="66"/>
      <c r="EG15" s="66"/>
      <c r="EH15" s="66"/>
      <c r="EI15" s="66"/>
      <c r="EJ15" s="66"/>
      <c r="EK15" s="66"/>
      <c r="EL15" s="66"/>
      <c r="EM15" s="66"/>
      <c r="EN15" s="66"/>
      <c r="EO15" s="66"/>
      <c r="EP15" s="66"/>
      <c r="EQ15" s="66"/>
      <c r="ER15" s="66"/>
      <c r="ES15" s="66"/>
      <c r="ET15" s="66"/>
      <c r="EU15" s="66"/>
      <c r="EV15" s="66"/>
      <c r="EW15" s="66"/>
      <c r="EX15" s="66"/>
      <c r="EY15" s="66"/>
      <c r="EZ15" s="66"/>
      <c r="FA15" s="66"/>
      <c r="FB15" s="66"/>
      <c r="FC15" s="66"/>
      <c r="FD15" s="66"/>
      <c r="FE15" s="66"/>
      <c r="FF15" s="66"/>
      <c r="FG15" s="66"/>
      <c r="FH15" s="66"/>
      <c r="FI15" s="66"/>
      <c r="FJ15" s="66"/>
      <c r="FK15" s="66"/>
      <c r="FL15" s="66"/>
      <c r="FM15" s="66"/>
      <c r="FN15" s="66"/>
      <c r="FO15" s="66"/>
      <c r="FP15" s="66"/>
      <c r="FQ15" s="66"/>
      <c r="FR15" s="66"/>
      <c r="FS15" s="66"/>
      <c r="FT15" s="66"/>
      <c r="FU15" s="66"/>
      <c r="FV15" s="66"/>
      <c r="FW15" s="66"/>
      <c r="FX15" s="66"/>
      <c r="FY15" s="66"/>
      <c r="FZ15" s="66"/>
      <c r="GA15" s="66"/>
      <c r="GB15" s="66"/>
      <c r="GC15" s="66"/>
      <c r="GD15" s="66"/>
      <c r="GE15" s="66"/>
      <c r="GF15" s="66"/>
      <c r="GG15" s="66"/>
      <c r="GH15" s="66"/>
      <c r="GI15" s="66"/>
      <c r="GJ15" s="66"/>
      <c r="GK15" s="66"/>
      <c r="GL15" s="66"/>
      <c r="GM15" s="66"/>
      <c r="GN15" s="66"/>
      <c r="GO15" s="66"/>
      <c r="GP15" s="66"/>
      <c r="GQ15" s="66"/>
      <c r="GR15" s="66"/>
      <c r="GS15" s="66"/>
      <c r="GT15" s="66"/>
      <c r="GU15" s="66"/>
      <c r="GV15" s="66"/>
      <c r="GW15" s="66"/>
      <c r="GX15" s="66"/>
      <c r="GY15" s="66"/>
      <c r="GZ15" s="66"/>
      <c r="HA15" s="66"/>
      <c r="HB15" s="66"/>
      <c r="HC15" s="66"/>
      <c r="HD15" s="66"/>
      <c r="HE15" s="66"/>
      <c r="HF15" s="66"/>
      <c r="HG15" s="66"/>
      <c r="HH15" s="66"/>
      <c r="HI15" s="66"/>
      <c r="HJ15" s="66"/>
      <c r="HK15" s="66"/>
      <c r="HL15" s="66"/>
      <c r="HM15" s="66"/>
      <c r="HN15" s="66"/>
      <c r="HO15" s="66"/>
      <c r="HP15" s="66"/>
      <c r="HQ15" s="66"/>
      <c r="HR15" s="66"/>
      <c r="HS15" s="66"/>
      <c r="HT15" s="66"/>
      <c r="HU15" s="66"/>
      <c r="HV15" s="66"/>
      <c r="HW15" s="66"/>
      <c r="HX15" s="66"/>
      <c r="HY15" s="66"/>
      <c r="HZ15" s="66"/>
      <c r="IA15" s="66"/>
      <c r="IB15" s="66"/>
      <c r="IC15" s="66"/>
      <c r="ID15" s="66"/>
      <c r="IE15" s="66"/>
      <c r="IF15" s="66"/>
      <c r="IG15" s="66"/>
      <c r="IH15" s="66"/>
      <c r="II15" s="66"/>
      <c r="IJ15" s="66"/>
      <c r="IK15" s="66"/>
      <c r="IL15" s="66"/>
      <c r="IM15" s="66"/>
      <c r="IN15" s="66"/>
      <c r="IO15" s="66"/>
      <c r="IP15" s="66"/>
      <c r="IQ15" s="66"/>
      <c r="IR15" s="66"/>
      <c r="IS15" s="66"/>
      <c r="IT15" s="66"/>
      <c r="IU15" s="66"/>
      <c r="IV15" s="66"/>
    </row>
    <row r="16" customHeight="1" spans="3:10">
      <c r="C16" s="74">
        <v>42626</v>
      </c>
      <c r="D16" s="96">
        <v>513030</v>
      </c>
      <c r="E16" s="76" t="s">
        <v>72</v>
      </c>
      <c r="F16" s="76" t="s">
        <v>17</v>
      </c>
      <c r="G16" s="97">
        <v>0.926</v>
      </c>
      <c r="H16" s="76" t="s">
        <v>98</v>
      </c>
      <c r="I16" s="108">
        <v>1</v>
      </c>
      <c r="J16" s="109"/>
    </row>
    <row r="17" customHeight="1" spans="3:10">
      <c r="C17" s="74">
        <v>42581</v>
      </c>
      <c r="D17" s="96">
        <v>513030</v>
      </c>
      <c r="E17" s="76" t="s">
        <v>72</v>
      </c>
      <c r="F17" s="76" t="s">
        <v>17</v>
      </c>
      <c r="G17" s="97">
        <v>0.88</v>
      </c>
      <c r="H17" s="76" t="s">
        <v>99</v>
      </c>
      <c r="I17" s="108">
        <v>1</v>
      </c>
      <c r="J17" s="109"/>
    </row>
    <row r="18" hidden="1" customHeight="1" spans="3:10">
      <c r="C18" s="82">
        <v>42581</v>
      </c>
      <c r="D18" s="83">
        <v>501018</v>
      </c>
      <c r="E18" s="84" t="s">
        <v>71</v>
      </c>
      <c r="F18" s="84" t="s">
        <v>17</v>
      </c>
      <c r="G18" s="86">
        <v>0.91</v>
      </c>
      <c r="H18" s="84" t="s">
        <v>100</v>
      </c>
      <c r="I18" s="102">
        <v>1</v>
      </c>
      <c r="J18" s="103" t="s">
        <v>33</v>
      </c>
    </row>
    <row r="19" customHeight="1" spans="3:10">
      <c r="C19" s="74">
        <v>42581</v>
      </c>
      <c r="D19" s="96">
        <v>510050</v>
      </c>
      <c r="E19" s="76" t="s">
        <v>68</v>
      </c>
      <c r="F19" s="76" t="s">
        <v>17</v>
      </c>
      <c r="G19" s="97">
        <v>2.17</v>
      </c>
      <c r="H19" s="76" t="s">
        <v>101</v>
      </c>
      <c r="I19" s="108">
        <v>1</v>
      </c>
      <c r="J19" s="109"/>
    </row>
    <row r="20" hidden="1" customHeight="1" spans="3:10">
      <c r="C20" s="77">
        <v>42520</v>
      </c>
      <c r="D20" s="78">
        <v>1064</v>
      </c>
      <c r="E20" s="79" t="s">
        <v>57</v>
      </c>
      <c r="F20" s="80" t="s">
        <v>12</v>
      </c>
      <c r="G20" s="81">
        <v>0.6781</v>
      </c>
      <c r="H20" s="79" t="s">
        <v>102</v>
      </c>
      <c r="I20" s="100">
        <v>1</v>
      </c>
      <c r="J20" s="101" t="s">
        <v>32</v>
      </c>
    </row>
    <row r="21" customHeight="1" spans="3:10">
      <c r="C21" s="74">
        <v>42520</v>
      </c>
      <c r="D21" s="96">
        <v>510050</v>
      </c>
      <c r="E21" s="76" t="s">
        <v>68</v>
      </c>
      <c r="F21" s="76" t="s">
        <v>17</v>
      </c>
      <c r="G21" s="97">
        <v>2.08</v>
      </c>
      <c r="H21" s="76" t="s">
        <v>103</v>
      </c>
      <c r="I21" s="108">
        <v>1</v>
      </c>
      <c r="J21" s="109"/>
    </row>
    <row r="22" customHeight="1" spans="3:10">
      <c r="C22" s="74">
        <v>42520</v>
      </c>
      <c r="D22" s="96">
        <v>510300</v>
      </c>
      <c r="E22" s="76" t="s">
        <v>73</v>
      </c>
      <c r="F22" s="76" t="s">
        <v>17</v>
      </c>
      <c r="G22" s="97">
        <v>3.04</v>
      </c>
      <c r="H22" s="76" t="s">
        <v>104</v>
      </c>
      <c r="I22" s="108">
        <v>1</v>
      </c>
      <c r="J22" s="109"/>
    </row>
    <row r="23" s="61" customFormat="1" hidden="1" customHeight="1" spans="1:256">
      <c r="A23" s="60"/>
      <c r="B23" s="62"/>
      <c r="C23" s="82">
        <v>42488</v>
      </c>
      <c r="D23" s="83">
        <v>1064</v>
      </c>
      <c r="E23" s="84" t="s">
        <v>57</v>
      </c>
      <c r="F23" s="85" t="s">
        <v>12</v>
      </c>
      <c r="G23" s="86">
        <v>0.7083</v>
      </c>
      <c r="H23" s="84" t="s">
        <v>105</v>
      </c>
      <c r="I23" s="102">
        <v>1</v>
      </c>
      <c r="J23" s="103" t="s">
        <v>32</v>
      </c>
      <c r="K23" s="62"/>
      <c r="L23" s="60"/>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c r="BL23" s="66"/>
      <c r="BM23" s="66"/>
      <c r="BN23" s="66"/>
      <c r="BO23" s="66"/>
      <c r="BP23" s="66"/>
      <c r="BQ23" s="66"/>
      <c r="BR23" s="66"/>
      <c r="BS23" s="66"/>
      <c r="BT23" s="66"/>
      <c r="BU23" s="66"/>
      <c r="BV23" s="66"/>
      <c r="BW23" s="66"/>
      <c r="BX23" s="66"/>
      <c r="BY23" s="66"/>
      <c r="BZ23" s="66"/>
      <c r="CA23" s="66"/>
      <c r="CB23" s="66"/>
      <c r="CC23" s="66"/>
      <c r="CD23" s="66"/>
      <c r="CE23" s="66"/>
      <c r="CF23" s="66"/>
      <c r="CG23" s="66"/>
      <c r="CH23" s="66"/>
      <c r="CI23" s="66"/>
      <c r="CJ23" s="66"/>
      <c r="CK23" s="66"/>
      <c r="CL23" s="66"/>
      <c r="CM23" s="66"/>
      <c r="CN23" s="66"/>
      <c r="CO23" s="66"/>
      <c r="CP23" s="66"/>
      <c r="CQ23" s="66"/>
      <c r="CR23" s="66"/>
      <c r="CS23" s="66"/>
      <c r="CT23" s="66"/>
      <c r="CU23" s="66"/>
      <c r="CV23" s="66"/>
      <c r="CW23" s="66"/>
      <c r="CX23" s="66"/>
      <c r="CY23" s="66"/>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c r="EN23" s="66"/>
      <c r="EO23" s="66"/>
      <c r="EP23" s="66"/>
      <c r="EQ23" s="66"/>
      <c r="ER23" s="66"/>
      <c r="ES23" s="66"/>
      <c r="ET23" s="66"/>
      <c r="EU23" s="66"/>
      <c r="EV23" s="66"/>
      <c r="EW23" s="66"/>
      <c r="EX23" s="66"/>
      <c r="EY23" s="66"/>
      <c r="EZ23" s="66"/>
      <c r="FA23" s="66"/>
      <c r="FB23" s="66"/>
      <c r="FC23" s="66"/>
      <c r="FD23" s="66"/>
      <c r="FE23" s="66"/>
      <c r="FF23" s="66"/>
      <c r="FG23" s="66"/>
      <c r="FH23" s="66"/>
      <c r="FI23" s="66"/>
      <c r="FJ23" s="66"/>
      <c r="FK23" s="66"/>
      <c r="FL23" s="66"/>
      <c r="FM23" s="66"/>
      <c r="FN23" s="66"/>
      <c r="FO23" s="66"/>
      <c r="FP23" s="66"/>
      <c r="FQ23" s="66"/>
      <c r="FR23" s="66"/>
      <c r="FS23" s="66"/>
      <c r="FT23" s="66"/>
      <c r="FU23" s="66"/>
      <c r="FV23" s="66"/>
      <c r="FW23" s="66"/>
      <c r="FX23" s="66"/>
      <c r="FY23" s="66"/>
      <c r="FZ23" s="66"/>
      <c r="GA23" s="66"/>
      <c r="GB23" s="66"/>
      <c r="GC23" s="66"/>
      <c r="GD23" s="66"/>
      <c r="GE23" s="66"/>
      <c r="GF23" s="66"/>
      <c r="GG23" s="66"/>
      <c r="GH23" s="66"/>
      <c r="GI23" s="66"/>
      <c r="GJ23" s="66"/>
      <c r="GK23" s="66"/>
      <c r="GL23" s="66"/>
      <c r="GM23" s="66"/>
      <c r="GN23" s="66"/>
      <c r="GO23" s="66"/>
      <c r="GP23" s="66"/>
      <c r="GQ23" s="66"/>
      <c r="GR23" s="66"/>
      <c r="GS23" s="66"/>
      <c r="GT23" s="66"/>
      <c r="GU23" s="66"/>
      <c r="GV23" s="66"/>
      <c r="GW23" s="66"/>
      <c r="GX23" s="66"/>
      <c r="GY23" s="66"/>
      <c r="GZ23" s="66"/>
      <c r="HA23" s="66"/>
      <c r="HB23" s="66"/>
      <c r="HC23" s="66"/>
      <c r="HD23" s="66"/>
      <c r="HE23" s="66"/>
      <c r="HF23" s="66"/>
      <c r="HG23" s="66"/>
      <c r="HH23" s="66"/>
      <c r="HI23" s="66"/>
      <c r="HJ23" s="66"/>
      <c r="HK23" s="66"/>
      <c r="HL23" s="66"/>
      <c r="HM23" s="66"/>
      <c r="HN23" s="66"/>
      <c r="HO23" s="66"/>
      <c r="HP23" s="66"/>
      <c r="HQ23" s="66"/>
      <c r="HR23" s="66"/>
      <c r="HS23" s="66"/>
      <c r="HT23" s="66"/>
      <c r="HU23" s="66"/>
      <c r="HV23" s="66"/>
      <c r="HW23" s="66"/>
      <c r="HX23" s="66"/>
      <c r="HY23" s="66"/>
      <c r="HZ23" s="66"/>
      <c r="IA23" s="66"/>
      <c r="IB23" s="66"/>
      <c r="IC23" s="66"/>
      <c r="ID23" s="66"/>
      <c r="IE23" s="66"/>
      <c r="IF23" s="66"/>
      <c r="IG23" s="66"/>
      <c r="IH23" s="66"/>
      <c r="II23" s="66"/>
      <c r="IJ23" s="66"/>
      <c r="IK23" s="66"/>
      <c r="IL23" s="66"/>
      <c r="IM23" s="66"/>
      <c r="IN23" s="66"/>
      <c r="IO23" s="66"/>
      <c r="IP23" s="66"/>
      <c r="IQ23" s="66"/>
      <c r="IR23" s="66"/>
      <c r="IS23" s="66"/>
      <c r="IT23" s="66"/>
      <c r="IU23" s="66"/>
      <c r="IV23" s="66"/>
    </row>
    <row r="24" s="61" customFormat="1" customHeight="1" spans="1:256">
      <c r="A24" s="60"/>
      <c r="B24" s="62"/>
      <c r="C24" s="74">
        <v>42488</v>
      </c>
      <c r="D24" s="96">
        <v>510050</v>
      </c>
      <c r="E24" s="76" t="s">
        <v>68</v>
      </c>
      <c r="F24" s="76" t="s">
        <v>17</v>
      </c>
      <c r="G24" s="97">
        <v>2.14</v>
      </c>
      <c r="H24" s="76" t="s">
        <v>106</v>
      </c>
      <c r="I24" s="108">
        <v>1</v>
      </c>
      <c r="J24" s="109"/>
      <c r="K24" s="62"/>
      <c r="L24" s="60"/>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c r="BM24" s="66"/>
      <c r="BN24" s="66"/>
      <c r="BO24" s="66"/>
      <c r="BP24" s="66"/>
      <c r="BQ24" s="66"/>
      <c r="BR24" s="66"/>
      <c r="BS24" s="66"/>
      <c r="BT24" s="66"/>
      <c r="BU24" s="66"/>
      <c r="BV24" s="66"/>
      <c r="BW24" s="66"/>
      <c r="BX24" s="66"/>
      <c r="BY24" s="66"/>
      <c r="BZ24" s="66"/>
      <c r="CA24" s="66"/>
      <c r="CB24" s="66"/>
      <c r="CC24" s="66"/>
      <c r="CD24" s="66"/>
      <c r="CE24" s="66"/>
      <c r="CF24" s="66"/>
      <c r="CG24" s="66"/>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c r="EN24" s="66"/>
      <c r="EO24" s="66"/>
      <c r="EP24" s="66"/>
      <c r="EQ24" s="66"/>
      <c r="ER24" s="66"/>
      <c r="ES24" s="66"/>
      <c r="ET24" s="66"/>
      <c r="EU24" s="66"/>
      <c r="EV24" s="66"/>
      <c r="EW24" s="66"/>
      <c r="EX24" s="66"/>
      <c r="EY24" s="66"/>
      <c r="EZ24" s="66"/>
      <c r="FA24" s="66"/>
      <c r="FB24" s="66"/>
      <c r="FC24" s="66"/>
      <c r="FD24" s="66"/>
      <c r="FE24" s="66"/>
      <c r="FF24" s="66"/>
      <c r="FG24" s="66"/>
      <c r="FH24" s="66"/>
      <c r="FI24" s="66"/>
      <c r="FJ24" s="66"/>
      <c r="FK24" s="66"/>
      <c r="FL24" s="66"/>
      <c r="FM24" s="66"/>
      <c r="FN24" s="66"/>
      <c r="FO24" s="66"/>
      <c r="FP24" s="66"/>
      <c r="FQ24" s="66"/>
      <c r="FR24" s="66"/>
      <c r="FS24" s="66"/>
      <c r="FT24" s="66"/>
      <c r="FU24" s="66"/>
      <c r="FV24" s="66"/>
      <c r="FW24" s="66"/>
      <c r="FX24" s="66"/>
      <c r="FY24" s="66"/>
      <c r="FZ24" s="66"/>
      <c r="GA24" s="66"/>
      <c r="GB24" s="66"/>
      <c r="GC24" s="66"/>
      <c r="GD24" s="66"/>
      <c r="GE24" s="66"/>
      <c r="GF24" s="66"/>
      <c r="GG24" s="66"/>
      <c r="GH24" s="66"/>
      <c r="GI24" s="66"/>
      <c r="GJ24" s="66"/>
      <c r="GK24" s="66"/>
      <c r="GL24" s="66"/>
      <c r="GM24" s="66"/>
      <c r="GN24" s="66"/>
      <c r="GO24" s="66"/>
      <c r="GP24" s="66"/>
      <c r="GQ24" s="66"/>
      <c r="GR24" s="66"/>
      <c r="GS24" s="66"/>
      <c r="GT24" s="66"/>
      <c r="GU24" s="66"/>
      <c r="GV24" s="66"/>
      <c r="GW24" s="66"/>
      <c r="GX24" s="66"/>
      <c r="GY24" s="66"/>
      <c r="GZ24" s="66"/>
      <c r="HA24" s="66"/>
      <c r="HB24" s="66"/>
      <c r="HC24" s="66"/>
      <c r="HD24" s="66"/>
      <c r="HE24" s="66"/>
      <c r="HF24" s="66"/>
      <c r="HG24" s="66"/>
      <c r="HH24" s="66"/>
      <c r="HI24" s="66"/>
      <c r="HJ24" s="66"/>
      <c r="HK24" s="66"/>
      <c r="HL24" s="66"/>
      <c r="HM24" s="66"/>
      <c r="HN24" s="66"/>
      <c r="HO24" s="66"/>
      <c r="HP24" s="66"/>
      <c r="HQ24" s="66"/>
      <c r="HR24" s="66"/>
      <c r="HS24" s="66"/>
      <c r="HT24" s="66"/>
      <c r="HU24" s="66"/>
      <c r="HV24" s="66"/>
      <c r="HW24" s="66"/>
      <c r="HX24" s="66"/>
      <c r="HY24" s="66"/>
      <c r="HZ24" s="66"/>
      <c r="IA24" s="66"/>
      <c r="IB24" s="66"/>
      <c r="IC24" s="66"/>
      <c r="ID24" s="66"/>
      <c r="IE24" s="66"/>
      <c r="IF24" s="66"/>
      <c r="IG24" s="66"/>
      <c r="IH24" s="66"/>
      <c r="II24" s="66"/>
      <c r="IJ24" s="66"/>
      <c r="IK24" s="66"/>
      <c r="IL24" s="66"/>
      <c r="IM24" s="66"/>
      <c r="IN24" s="66"/>
      <c r="IO24" s="66"/>
      <c r="IP24" s="66"/>
      <c r="IQ24" s="66"/>
      <c r="IR24" s="66"/>
      <c r="IS24" s="66"/>
      <c r="IT24" s="66"/>
      <c r="IU24" s="66"/>
      <c r="IV24" s="66"/>
    </row>
    <row r="25" s="61" customFormat="1" customHeight="1" spans="1:256">
      <c r="A25" s="60"/>
      <c r="B25" s="62"/>
      <c r="C25" s="74">
        <v>42460</v>
      </c>
      <c r="D25" s="96">
        <v>159920</v>
      </c>
      <c r="E25" s="76" t="s">
        <v>74</v>
      </c>
      <c r="F25" s="76" t="s">
        <v>17</v>
      </c>
      <c r="G25" s="97">
        <v>1.042</v>
      </c>
      <c r="H25" s="76" t="s">
        <v>107</v>
      </c>
      <c r="I25" s="108">
        <v>1</v>
      </c>
      <c r="J25" s="109"/>
      <c r="K25" s="62"/>
      <c r="L25" s="60"/>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c r="BM25" s="66"/>
      <c r="BN25" s="66"/>
      <c r="BO25" s="66"/>
      <c r="BP25" s="66"/>
      <c r="BQ25" s="66"/>
      <c r="BR25" s="66"/>
      <c r="BS25" s="66"/>
      <c r="BT25" s="66"/>
      <c r="BU25" s="66"/>
      <c r="BV25" s="66"/>
      <c r="BW25" s="66"/>
      <c r="BX25" s="66"/>
      <c r="BY25" s="66"/>
      <c r="BZ25" s="66"/>
      <c r="CA25" s="66"/>
      <c r="CB25" s="66"/>
      <c r="CC25" s="66"/>
      <c r="CD25" s="66"/>
      <c r="CE25" s="66"/>
      <c r="CF25" s="66"/>
      <c r="CG25" s="66"/>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c r="EN25" s="66"/>
      <c r="EO25" s="66"/>
      <c r="EP25" s="66"/>
      <c r="EQ25" s="66"/>
      <c r="ER25" s="66"/>
      <c r="ES25" s="66"/>
      <c r="ET25" s="66"/>
      <c r="EU25" s="66"/>
      <c r="EV25" s="66"/>
      <c r="EW25" s="66"/>
      <c r="EX25" s="66"/>
      <c r="EY25" s="66"/>
      <c r="EZ25" s="66"/>
      <c r="FA25" s="66"/>
      <c r="FB25" s="66"/>
      <c r="FC25" s="66"/>
      <c r="FD25" s="66"/>
      <c r="FE25" s="66"/>
      <c r="FF25" s="66"/>
      <c r="FG25" s="66"/>
      <c r="FH25" s="66"/>
      <c r="FI25" s="66"/>
      <c r="FJ25" s="66"/>
      <c r="FK25" s="66"/>
      <c r="FL25" s="66"/>
      <c r="FM25" s="66"/>
      <c r="FN25" s="66"/>
      <c r="FO25" s="66"/>
      <c r="FP25" s="66"/>
      <c r="FQ25" s="66"/>
      <c r="FR25" s="66"/>
      <c r="FS25" s="66"/>
      <c r="FT25" s="66"/>
      <c r="FU25" s="66"/>
      <c r="FV25" s="66"/>
      <c r="FW25" s="66"/>
      <c r="FX25" s="66"/>
      <c r="FY25" s="66"/>
      <c r="FZ25" s="66"/>
      <c r="GA25" s="66"/>
      <c r="GB25" s="66"/>
      <c r="GC25" s="66"/>
      <c r="GD25" s="66"/>
      <c r="GE25" s="66"/>
      <c r="GF25" s="66"/>
      <c r="GG25" s="66"/>
      <c r="GH25" s="66"/>
      <c r="GI25" s="66"/>
      <c r="GJ25" s="66"/>
      <c r="GK25" s="66"/>
      <c r="GL25" s="66"/>
      <c r="GM25" s="66"/>
      <c r="GN25" s="66"/>
      <c r="GO25" s="66"/>
      <c r="GP25" s="66"/>
      <c r="GQ25" s="66"/>
      <c r="GR25" s="66"/>
      <c r="GS25" s="66"/>
      <c r="GT25" s="66"/>
      <c r="GU25" s="66"/>
      <c r="GV25" s="66"/>
      <c r="GW25" s="66"/>
      <c r="GX25" s="66"/>
      <c r="GY25" s="66"/>
      <c r="GZ25" s="66"/>
      <c r="HA25" s="66"/>
      <c r="HB25" s="66"/>
      <c r="HC25" s="66"/>
      <c r="HD25" s="66"/>
      <c r="HE25" s="66"/>
      <c r="HF25" s="66"/>
      <c r="HG25" s="66"/>
      <c r="HH25" s="66"/>
      <c r="HI25" s="66"/>
      <c r="HJ25" s="66"/>
      <c r="HK25" s="66"/>
      <c r="HL25" s="66"/>
      <c r="HM25" s="66"/>
      <c r="HN25" s="66"/>
      <c r="HO25" s="66"/>
      <c r="HP25" s="66"/>
      <c r="HQ25" s="66"/>
      <c r="HR25" s="66"/>
      <c r="HS25" s="66"/>
      <c r="HT25" s="66"/>
      <c r="HU25" s="66"/>
      <c r="HV25" s="66"/>
      <c r="HW25" s="66"/>
      <c r="HX25" s="66"/>
      <c r="HY25" s="66"/>
      <c r="HZ25" s="66"/>
      <c r="IA25" s="66"/>
      <c r="IB25" s="66"/>
      <c r="IC25" s="66"/>
      <c r="ID25" s="66"/>
      <c r="IE25" s="66"/>
      <c r="IF25" s="66"/>
      <c r="IG25" s="66"/>
      <c r="IH25" s="66"/>
      <c r="II25" s="66"/>
      <c r="IJ25" s="66"/>
      <c r="IK25" s="66"/>
      <c r="IL25" s="66"/>
      <c r="IM25" s="66"/>
      <c r="IN25" s="66"/>
      <c r="IO25" s="66"/>
      <c r="IP25" s="66"/>
      <c r="IQ25" s="66"/>
      <c r="IR25" s="66"/>
      <c r="IS25" s="66"/>
      <c r="IT25" s="66"/>
      <c r="IU25" s="66"/>
      <c r="IV25" s="66"/>
    </row>
    <row r="26" s="61" customFormat="1" customHeight="1" spans="1:256">
      <c r="A26" s="60"/>
      <c r="B26" s="62"/>
      <c r="C26" s="74">
        <v>42460</v>
      </c>
      <c r="D26" s="96">
        <v>510050</v>
      </c>
      <c r="E26" s="76" t="s">
        <v>68</v>
      </c>
      <c r="F26" s="76" t="s">
        <v>17</v>
      </c>
      <c r="G26" s="97">
        <v>2.158</v>
      </c>
      <c r="H26" s="76" t="s">
        <v>108</v>
      </c>
      <c r="I26" s="108">
        <v>1</v>
      </c>
      <c r="J26" s="109"/>
      <c r="K26" s="62"/>
      <c r="L26" s="60"/>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6"/>
      <c r="AU26" s="66"/>
      <c r="AV26" s="66"/>
      <c r="AW26" s="66"/>
      <c r="AX26" s="66"/>
      <c r="AY26" s="66"/>
      <c r="AZ26" s="66"/>
      <c r="BA26" s="66"/>
      <c r="BB26" s="66"/>
      <c r="BC26" s="66"/>
      <c r="BD26" s="66"/>
      <c r="BE26" s="66"/>
      <c r="BF26" s="66"/>
      <c r="BG26" s="66"/>
      <c r="BH26" s="66"/>
      <c r="BI26" s="66"/>
      <c r="BJ26" s="66"/>
      <c r="BK26" s="66"/>
      <c r="BL26" s="66"/>
      <c r="BM26" s="66"/>
      <c r="BN26" s="66"/>
      <c r="BO26" s="66"/>
      <c r="BP26" s="66"/>
      <c r="BQ26" s="66"/>
      <c r="BR26" s="66"/>
      <c r="BS26" s="66"/>
      <c r="BT26" s="66"/>
      <c r="BU26" s="66"/>
      <c r="BV26" s="66"/>
      <c r="BW26" s="66"/>
      <c r="BX26" s="66"/>
      <c r="BY26" s="66"/>
      <c r="BZ26" s="66"/>
      <c r="CA26" s="66"/>
      <c r="CB26" s="66"/>
      <c r="CC26" s="66"/>
      <c r="CD26" s="66"/>
      <c r="CE26" s="66"/>
      <c r="CF26" s="66"/>
      <c r="CG26" s="66"/>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c r="EN26" s="66"/>
      <c r="EO26" s="66"/>
      <c r="EP26" s="66"/>
      <c r="EQ26" s="66"/>
      <c r="ER26" s="66"/>
      <c r="ES26" s="66"/>
      <c r="ET26" s="66"/>
      <c r="EU26" s="66"/>
      <c r="EV26" s="66"/>
      <c r="EW26" s="66"/>
      <c r="EX26" s="66"/>
      <c r="EY26" s="66"/>
      <c r="EZ26" s="66"/>
      <c r="FA26" s="66"/>
      <c r="FB26" s="66"/>
      <c r="FC26" s="66"/>
      <c r="FD26" s="66"/>
      <c r="FE26" s="66"/>
      <c r="FF26" s="66"/>
      <c r="FG26" s="66"/>
      <c r="FH26" s="66"/>
      <c r="FI26" s="66"/>
      <c r="FJ26" s="66"/>
      <c r="FK26" s="66"/>
      <c r="FL26" s="66"/>
      <c r="FM26" s="66"/>
      <c r="FN26" s="66"/>
      <c r="FO26" s="66"/>
      <c r="FP26" s="66"/>
      <c r="FQ26" s="66"/>
      <c r="FR26" s="66"/>
      <c r="FS26" s="66"/>
      <c r="FT26" s="66"/>
      <c r="FU26" s="66"/>
      <c r="FV26" s="66"/>
      <c r="FW26" s="66"/>
      <c r="FX26" s="66"/>
      <c r="FY26" s="66"/>
      <c r="FZ26" s="66"/>
      <c r="GA26" s="66"/>
      <c r="GB26" s="66"/>
      <c r="GC26" s="66"/>
      <c r="GD26" s="66"/>
      <c r="GE26" s="66"/>
      <c r="GF26" s="66"/>
      <c r="GG26" s="66"/>
      <c r="GH26" s="66"/>
      <c r="GI26" s="66"/>
      <c r="GJ26" s="66"/>
      <c r="GK26" s="66"/>
      <c r="GL26" s="66"/>
      <c r="GM26" s="66"/>
      <c r="GN26" s="66"/>
      <c r="GO26" s="66"/>
      <c r="GP26" s="66"/>
      <c r="GQ26" s="66"/>
      <c r="GR26" s="66"/>
      <c r="GS26" s="66"/>
      <c r="GT26" s="66"/>
      <c r="GU26" s="66"/>
      <c r="GV26" s="66"/>
      <c r="GW26" s="66"/>
      <c r="GX26" s="66"/>
      <c r="GY26" s="66"/>
      <c r="GZ26" s="66"/>
      <c r="HA26" s="66"/>
      <c r="HB26" s="66"/>
      <c r="HC26" s="66"/>
      <c r="HD26" s="66"/>
      <c r="HE26" s="66"/>
      <c r="HF26" s="66"/>
      <c r="HG26" s="66"/>
      <c r="HH26" s="66"/>
      <c r="HI26" s="66"/>
      <c r="HJ26" s="66"/>
      <c r="HK26" s="66"/>
      <c r="HL26" s="66"/>
      <c r="HM26" s="66"/>
      <c r="HN26" s="66"/>
      <c r="HO26" s="66"/>
      <c r="HP26" s="66"/>
      <c r="HQ26" s="66"/>
      <c r="HR26" s="66"/>
      <c r="HS26" s="66"/>
      <c r="HT26" s="66"/>
      <c r="HU26" s="66"/>
      <c r="HV26" s="66"/>
      <c r="HW26" s="66"/>
      <c r="HX26" s="66"/>
      <c r="HY26" s="66"/>
      <c r="HZ26" s="66"/>
      <c r="IA26" s="66"/>
      <c r="IB26" s="66"/>
      <c r="IC26" s="66"/>
      <c r="ID26" s="66"/>
      <c r="IE26" s="66"/>
      <c r="IF26" s="66"/>
      <c r="IG26" s="66"/>
      <c r="IH26" s="66"/>
      <c r="II26" s="66"/>
      <c r="IJ26" s="66"/>
      <c r="IK26" s="66"/>
      <c r="IL26" s="66"/>
      <c r="IM26" s="66"/>
      <c r="IN26" s="66"/>
      <c r="IO26" s="66"/>
      <c r="IP26" s="66"/>
      <c r="IQ26" s="66"/>
      <c r="IR26" s="66"/>
      <c r="IS26" s="66"/>
      <c r="IT26" s="66"/>
      <c r="IU26" s="66"/>
      <c r="IV26" s="66"/>
    </row>
    <row r="27" s="61" customFormat="1" customHeight="1" spans="1:256">
      <c r="A27" s="60"/>
      <c r="B27" s="62"/>
      <c r="C27" s="74">
        <v>42429</v>
      </c>
      <c r="D27" s="96">
        <v>159920</v>
      </c>
      <c r="E27" s="76" t="s">
        <v>74</v>
      </c>
      <c r="F27" s="76" t="s">
        <v>17</v>
      </c>
      <c r="G27" s="97">
        <v>0.98</v>
      </c>
      <c r="H27" s="76" t="s">
        <v>109</v>
      </c>
      <c r="I27" s="108">
        <v>1</v>
      </c>
      <c r="J27" s="109"/>
      <c r="K27" s="62"/>
      <c r="L27" s="60"/>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66"/>
      <c r="BA27" s="66"/>
      <c r="BB27" s="66"/>
      <c r="BC27" s="66"/>
      <c r="BD27" s="66"/>
      <c r="BE27" s="66"/>
      <c r="BF27" s="66"/>
      <c r="BG27" s="66"/>
      <c r="BH27" s="66"/>
      <c r="BI27" s="66"/>
      <c r="BJ27" s="66"/>
      <c r="BK27" s="66"/>
      <c r="BL27" s="66"/>
      <c r="BM27" s="66"/>
      <c r="BN27" s="66"/>
      <c r="BO27" s="66"/>
      <c r="BP27" s="66"/>
      <c r="BQ27" s="66"/>
      <c r="BR27" s="66"/>
      <c r="BS27" s="66"/>
      <c r="BT27" s="66"/>
      <c r="BU27" s="66"/>
      <c r="BV27" s="66"/>
      <c r="BW27" s="66"/>
      <c r="BX27" s="66"/>
      <c r="BY27" s="66"/>
      <c r="BZ27" s="66"/>
      <c r="CA27" s="66"/>
      <c r="CB27" s="66"/>
      <c r="CC27" s="66"/>
      <c r="CD27" s="66"/>
      <c r="CE27" s="66"/>
      <c r="CF27" s="66"/>
      <c r="CG27" s="66"/>
      <c r="CH27" s="66"/>
      <c r="CI27" s="66"/>
      <c r="CJ27" s="66"/>
      <c r="CK27" s="66"/>
      <c r="CL27" s="66"/>
      <c r="CM27" s="66"/>
      <c r="CN27" s="66"/>
      <c r="CO27" s="66"/>
      <c r="CP27" s="66"/>
      <c r="CQ27" s="66"/>
      <c r="CR27" s="66"/>
      <c r="CS27" s="66"/>
      <c r="CT27" s="66"/>
      <c r="CU27" s="66"/>
      <c r="CV27" s="66"/>
      <c r="CW27" s="66"/>
      <c r="CX27" s="66"/>
      <c r="CY27" s="66"/>
      <c r="CZ27" s="66"/>
      <c r="DA27" s="66"/>
      <c r="DB27" s="66"/>
      <c r="DC27" s="66"/>
      <c r="DD27" s="66"/>
      <c r="DE27" s="66"/>
      <c r="DF27" s="66"/>
      <c r="DG27" s="66"/>
      <c r="DH27" s="66"/>
      <c r="DI27" s="66"/>
      <c r="DJ27" s="66"/>
      <c r="DK27" s="66"/>
      <c r="DL27" s="66"/>
      <c r="DM27" s="66"/>
      <c r="DN27" s="66"/>
      <c r="DO27" s="66"/>
      <c r="DP27" s="66"/>
      <c r="DQ27" s="66"/>
      <c r="DR27" s="66"/>
      <c r="DS27" s="66"/>
      <c r="DT27" s="66"/>
      <c r="DU27" s="66"/>
      <c r="DV27" s="66"/>
      <c r="DW27" s="66"/>
      <c r="DX27" s="66"/>
      <c r="DY27" s="66"/>
      <c r="DZ27" s="66"/>
      <c r="EA27" s="66"/>
      <c r="EB27" s="66"/>
      <c r="EC27" s="66"/>
      <c r="ED27" s="66"/>
      <c r="EE27" s="66"/>
      <c r="EF27" s="66"/>
      <c r="EG27" s="66"/>
      <c r="EH27" s="66"/>
      <c r="EI27" s="66"/>
      <c r="EJ27" s="66"/>
      <c r="EK27" s="66"/>
      <c r="EL27" s="66"/>
      <c r="EM27" s="66"/>
      <c r="EN27" s="66"/>
      <c r="EO27" s="66"/>
      <c r="EP27" s="66"/>
      <c r="EQ27" s="66"/>
      <c r="ER27" s="66"/>
      <c r="ES27" s="66"/>
      <c r="ET27" s="66"/>
      <c r="EU27" s="66"/>
      <c r="EV27" s="66"/>
      <c r="EW27" s="66"/>
      <c r="EX27" s="66"/>
      <c r="EY27" s="66"/>
      <c r="EZ27" s="66"/>
      <c r="FA27" s="66"/>
      <c r="FB27" s="66"/>
      <c r="FC27" s="66"/>
      <c r="FD27" s="66"/>
      <c r="FE27" s="66"/>
      <c r="FF27" s="66"/>
      <c r="FG27" s="66"/>
      <c r="FH27" s="66"/>
      <c r="FI27" s="66"/>
      <c r="FJ27" s="66"/>
      <c r="FK27" s="66"/>
      <c r="FL27" s="66"/>
      <c r="FM27" s="66"/>
      <c r="FN27" s="66"/>
      <c r="FO27" s="66"/>
      <c r="FP27" s="66"/>
      <c r="FQ27" s="66"/>
      <c r="FR27" s="66"/>
      <c r="FS27" s="66"/>
      <c r="FT27" s="66"/>
      <c r="FU27" s="66"/>
      <c r="FV27" s="66"/>
      <c r="FW27" s="66"/>
      <c r="FX27" s="66"/>
      <c r="FY27" s="66"/>
      <c r="FZ27" s="66"/>
      <c r="GA27" s="66"/>
      <c r="GB27" s="66"/>
      <c r="GC27" s="66"/>
      <c r="GD27" s="66"/>
      <c r="GE27" s="66"/>
      <c r="GF27" s="66"/>
      <c r="GG27" s="66"/>
      <c r="GH27" s="66"/>
      <c r="GI27" s="66"/>
      <c r="GJ27" s="66"/>
      <c r="GK27" s="66"/>
      <c r="GL27" s="66"/>
      <c r="GM27" s="66"/>
      <c r="GN27" s="66"/>
      <c r="GO27" s="66"/>
      <c r="GP27" s="66"/>
      <c r="GQ27" s="66"/>
      <c r="GR27" s="66"/>
      <c r="GS27" s="66"/>
      <c r="GT27" s="66"/>
      <c r="GU27" s="66"/>
      <c r="GV27" s="66"/>
      <c r="GW27" s="66"/>
      <c r="GX27" s="66"/>
      <c r="GY27" s="66"/>
      <c r="GZ27" s="66"/>
      <c r="HA27" s="66"/>
      <c r="HB27" s="66"/>
      <c r="HC27" s="66"/>
      <c r="HD27" s="66"/>
      <c r="HE27" s="66"/>
      <c r="HF27" s="66"/>
      <c r="HG27" s="66"/>
      <c r="HH27" s="66"/>
      <c r="HI27" s="66"/>
      <c r="HJ27" s="66"/>
      <c r="HK27" s="66"/>
      <c r="HL27" s="66"/>
      <c r="HM27" s="66"/>
      <c r="HN27" s="66"/>
      <c r="HO27" s="66"/>
      <c r="HP27" s="66"/>
      <c r="HQ27" s="66"/>
      <c r="HR27" s="66"/>
      <c r="HS27" s="66"/>
      <c r="HT27" s="66"/>
      <c r="HU27" s="66"/>
      <c r="HV27" s="66"/>
      <c r="HW27" s="66"/>
      <c r="HX27" s="66"/>
      <c r="HY27" s="66"/>
      <c r="HZ27" s="66"/>
      <c r="IA27" s="66"/>
      <c r="IB27" s="66"/>
      <c r="IC27" s="66"/>
      <c r="ID27" s="66"/>
      <c r="IE27" s="66"/>
      <c r="IF27" s="66"/>
      <c r="IG27" s="66"/>
      <c r="IH27" s="66"/>
      <c r="II27" s="66"/>
      <c r="IJ27" s="66"/>
      <c r="IK27" s="66"/>
      <c r="IL27" s="66"/>
      <c r="IM27" s="66"/>
      <c r="IN27" s="66"/>
      <c r="IO27" s="66"/>
      <c r="IP27" s="66"/>
      <c r="IQ27" s="66"/>
      <c r="IR27" s="66"/>
      <c r="IS27" s="66"/>
      <c r="IT27" s="66"/>
      <c r="IU27" s="66"/>
      <c r="IV27" s="66"/>
    </row>
    <row r="28" s="61" customFormat="1" customHeight="1" spans="1:256">
      <c r="A28" s="60"/>
      <c r="B28" s="62"/>
      <c r="C28" s="74">
        <v>42429</v>
      </c>
      <c r="D28" s="96">
        <v>510050</v>
      </c>
      <c r="E28" s="76" t="s">
        <v>68</v>
      </c>
      <c r="F28" s="76" t="s">
        <v>17</v>
      </c>
      <c r="G28" s="97">
        <v>1.965</v>
      </c>
      <c r="H28" s="76" t="s">
        <v>110</v>
      </c>
      <c r="I28" s="108">
        <v>1</v>
      </c>
      <c r="J28" s="109"/>
      <c r="K28" s="62"/>
      <c r="L28" s="60"/>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6"/>
      <c r="AQ28" s="66"/>
      <c r="AR28" s="66"/>
      <c r="AS28" s="66"/>
      <c r="AT28" s="66"/>
      <c r="AU28" s="66"/>
      <c r="AV28" s="66"/>
      <c r="AW28" s="66"/>
      <c r="AX28" s="66"/>
      <c r="AY28" s="66"/>
      <c r="AZ28" s="66"/>
      <c r="BA28" s="66"/>
      <c r="BB28" s="66"/>
      <c r="BC28" s="66"/>
      <c r="BD28" s="66"/>
      <c r="BE28" s="66"/>
      <c r="BF28" s="66"/>
      <c r="BG28" s="66"/>
      <c r="BH28" s="66"/>
      <c r="BI28" s="66"/>
      <c r="BJ28" s="66"/>
      <c r="BK28" s="66"/>
      <c r="BL28" s="66"/>
      <c r="BM28" s="66"/>
      <c r="BN28" s="66"/>
      <c r="BO28" s="66"/>
      <c r="BP28" s="66"/>
      <c r="BQ28" s="66"/>
      <c r="BR28" s="66"/>
      <c r="BS28" s="66"/>
      <c r="BT28" s="66"/>
      <c r="BU28" s="66"/>
      <c r="BV28" s="66"/>
      <c r="BW28" s="66"/>
      <c r="BX28" s="66"/>
      <c r="BY28" s="66"/>
      <c r="BZ28" s="66"/>
      <c r="CA28" s="66"/>
      <c r="CB28" s="66"/>
      <c r="CC28" s="66"/>
      <c r="CD28" s="66"/>
      <c r="CE28" s="66"/>
      <c r="CF28" s="66"/>
      <c r="CG28" s="66"/>
      <c r="CH28" s="66"/>
      <c r="CI28" s="66"/>
      <c r="CJ28" s="66"/>
      <c r="CK28" s="66"/>
      <c r="CL28" s="66"/>
      <c r="CM28" s="66"/>
      <c r="CN28" s="66"/>
      <c r="CO28" s="66"/>
      <c r="CP28" s="66"/>
      <c r="CQ28" s="66"/>
      <c r="CR28" s="66"/>
      <c r="CS28" s="66"/>
      <c r="CT28" s="66"/>
      <c r="CU28" s="66"/>
      <c r="CV28" s="66"/>
      <c r="CW28" s="66"/>
      <c r="CX28" s="66"/>
      <c r="CY28" s="66"/>
      <c r="CZ28" s="66"/>
      <c r="DA28" s="66"/>
      <c r="DB28" s="66"/>
      <c r="DC28" s="66"/>
      <c r="DD28" s="66"/>
      <c r="DE28" s="66"/>
      <c r="DF28" s="66"/>
      <c r="DG28" s="66"/>
      <c r="DH28" s="66"/>
      <c r="DI28" s="66"/>
      <c r="DJ28" s="66"/>
      <c r="DK28" s="66"/>
      <c r="DL28" s="66"/>
      <c r="DM28" s="66"/>
      <c r="DN28" s="66"/>
      <c r="DO28" s="66"/>
      <c r="DP28" s="66"/>
      <c r="DQ28" s="66"/>
      <c r="DR28" s="66"/>
      <c r="DS28" s="66"/>
      <c r="DT28" s="66"/>
      <c r="DU28" s="66"/>
      <c r="DV28" s="66"/>
      <c r="DW28" s="66"/>
      <c r="DX28" s="66"/>
      <c r="DY28" s="66"/>
      <c r="DZ28" s="66"/>
      <c r="EA28" s="66"/>
      <c r="EB28" s="66"/>
      <c r="EC28" s="66"/>
      <c r="ED28" s="66"/>
      <c r="EE28" s="66"/>
      <c r="EF28" s="66"/>
      <c r="EG28" s="66"/>
      <c r="EH28" s="66"/>
      <c r="EI28" s="66"/>
      <c r="EJ28" s="66"/>
      <c r="EK28" s="66"/>
      <c r="EL28" s="66"/>
      <c r="EM28" s="66"/>
      <c r="EN28" s="66"/>
      <c r="EO28" s="66"/>
      <c r="EP28" s="66"/>
      <c r="EQ28" s="66"/>
      <c r="ER28" s="66"/>
      <c r="ES28" s="66"/>
      <c r="ET28" s="66"/>
      <c r="EU28" s="66"/>
      <c r="EV28" s="66"/>
      <c r="EW28" s="66"/>
      <c r="EX28" s="66"/>
      <c r="EY28" s="66"/>
      <c r="EZ28" s="66"/>
      <c r="FA28" s="66"/>
      <c r="FB28" s="66"/>
      <c r="FC28" s="66"/>
      <c r="FD28" s="66"/>
      <c r="FE28" s="66"/>
      <c r="FF28" s="66"/>
      <c r="FG28" s="66"/>
      <c r="FH28" s="66"/>
      <c r="FI28" s="66"/>
      <c r="FJ28" s="66"/>
      <c r="FK28" s="66"/>
      <c r="FL28" s="66"/>
      <c r="FM28" s="66"/>
      <c r="FN28" s="66"/>
      <c r="FO28" s="66"/>
      <c r="FP28" s="66"/>
      <c r="FQ28" s="66"/>
      <c r="FR28" s="66"/>
      <c r="FS28" s="66"/>
      <c r="FT28" s="66"/>
      <c r="FU28" s="66"/>
      <c r="FV28" s="66"/>
      <c r="FW28" s="66"/>
      <c r="FX28" s="66"/>
      <c r="FY28" s="66"/>
      <c r="FZ28" s="66"/>
      <c r="GA28" s="66"/>
      <c r="GB28" s="66"/>
      <c r="GC28" s="66"/>
      <c r="GD28" s="66"/>
      <c r="GE28" s="66"/>
      <c r="GF28" s="66"/>
      <c r="GG28" s="66"/>
      <c r="GH28" s="66"/>
      <c r="GI28" s="66"/>
      <c r="GJ28" s="66"/>
      <c r="GK28" s="66"/>
      <c r="GL28" s="66"/>
      <c r="GM28" s="66"/>
      <c r="GN28" s="66"/>
      <c r="GO28" s="66"/>
      <c r="GP28" s="66"/>
      <c r="GQ28" s="66"/>
      <c r="GR28" s="66"/>
      <c r="GS28" s="66"/>
      <c r="GT28" s="66"/>
      <c r="GU28" s="66"/>
      <c r="GV28" s="66"/>
      <c r="GW28" s="66"/>
      <c r="GX28" s="66"/>
      <c r="GY28" s="66"/>
      <c r="GZ28" s="66"/>
      <c r="HA28" s="66"/>
      <c r="HB28" s="66"/>
      <c r="HC28" s="66"/>
      <c r="HD28" s="66"/>
      <c r="HE28" s="66"/>
      <c r="HF28" s="66"/>
      <c r="HG28" s="66"/>
      <c r="HH28" s="66"/>
      <c r="HI28" s="66"/>
      <c r="HJ28" s="66"/>
      <c r="HK28" s="66"/>
      <c r="HL28" s="66"/>
      <c r="HM28" s="66"/>
      <c r="HN28" s="66"/>
      <c r="HO28" s="66"/>
      <c r="HP28" s="66"/>
      <c r="HQ28" s="66"/>
      <c r="HR28" s="66"/>
      <c r="HS28" s="66"/>
      <c r="HT28" s="66"/>
      <c r="HU28" s="66"/>
      <c r="HV28" s="66"/>
      <c r="HW28" s="66"/>
      <c r="HX28" s="66"/>
      <c r="HY28" s="66"/>
      <c r="HZ28" s="66"/>
      <c r="IA28" s="66"/>
      <c r="IB28" s="66"/>
      <c r="IC28" s="66"/>
      <c r="ID28" s="66"/>
      <c r="IE28" s="66"/>
      <c r="IF28" s="66"/>
      <c r="IG28" s="66"/>
      <c r="IH28" s="66"/>
      <c r="II28" s="66"/>
      <c r="IJ28" s="66"/>
      <c r="IK28" s="66"/>
      <c r="IL28" s="66"/>
      <c r="IM28" s="66"/>
      <c r="IN28" s="66"/>
      <c r="IO28" s="66"/>
      <c r="IP28" s="66"/>
      <c r="IQ28" s="66"/>
      <c r="IR28" s="66"/>
      <c r="IS28" s="66"/>
      <c r="IT28" s="66"/>
      <c r="IU28" s="66"/>
      <c r="IV28" s="66"/>
    </row>
    <row r="29" s="61" customFormat="1" hidden="1" customHeight="1" spans="1:256">
      <c r="A29" s="60"/>
      <c r="B29" s="62"/>
      <c r="C29" s="77">
        <v>42429</v>
      </c>
      <c r="D29" s="78">
        <v>510500</v>
      </c>
      <c r="E29" s="79" t="s">
        <v>61</v>
      </c>
      <c r="F29" s="79" t="s">
        <v>17</v>
      </c>
      <c r="G29" s="81">
        <v>5.5</v>
      </c>
      <c r="H29" s="79" t="s">
        <v>111</v>
      </c>
      <c r="I29" s="100">
        <v>1</v>
      </c>
      <c r="J29" s="101" t="s">
        <v>32</v>
      </c>
      <c r="K29" s="62"/>
      <c r="L29" s="60"/>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66"/>
      <c r="AU29" s="66"/>
      <c r="AV29" s="66"/>
      <c r="AW29" s="66"/>
      <c r="AX29" s="66"/>
      <c r="AY29" s="66"/>
      <c r="AZ29" s="66"/>
      <c r="BA29" s="66"/>
      <c r="BB29" s="66"/>
      <c r="BC29" s="66"/>
      <c r="BD29" s="66"/>
      <c r="BE29" s="66"/>
      <c r="BF29" s="66"/>
      <c r="BG29" s="66"/>
      <c r="BH29" s="66"/>
      <c r="BI29" s="66"/>
      <c r="BJ29" s="66"/>
      <c r="BK29" s="66"/>
      <c r="BL29" s="66"/>
      <c r="BM29" s="66"/>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6"/>
      <c r="CV29" s="66"/>
      <c r="CW29" s="66"/>
      <c r="CX29" s="66"/>
      <c r="CY29" s="66"/>
      <c r="CZ29" s="66"/>
      <c r="DA29" s="66"/>
      <c r="DB29" s="66"/>
      <c r="DC29" s="66"/>
      <c r="DD29" s="66"/>
      <c r="DE29" s="66"/>
      <c r="DF29" s="66"/>
      <c r="DG29" s="66"/>
      <c r="DH29" s="66"/>
      <c r="DI29" s="66"/>
      <c r="DJ29" s="66"/>
      <c r="DK29" s="66"/>
      <c r="DL29" s="66"/>
      <c r="DM29" s="66"/>
      <c r="DN29" s="66"/>
      <c r="DO29" s="66"/>
      <c r="DP29" s="66"/>
      <c r="DQ29" s="66"/>
      <c r="DR29" s="66"/>
      <c r="DS29" s="66"/>
      <c r="DT29" s="66"/>
      <c r="DU29" s="66"/>
      <c r="DV29" s="66"/>
      <c r="DW29" s="66"/>
      <c r="DX29" s="66"/>
      <c r="DY29" s="66"/>
      <c r="DZ29" s="66"/>
      <c r="EA29" s="66"/>
      <c r="EB29" s="66"/>
      <c r="EC29" s="66"/>
      <c r="ED29" s="66"/>
      <c r="EE29" s="66"/>
      <c r="EF29" s="66"/>
      <c r="EG29" s="66"/>
      <c r="EH29" s="66"/>
      <c r="EI29" s="66"/>
      <c r="EJ29" s="66"/>
      <c r="EK29" s="66"/>
      <c r="EL29" s="66"/>
      <c r="EM29" s="66"/>
      <c r="EN29" s="66"/>
      <c r="EO29" s="66"/>
      <c r="EP29" s="66"/>
      <c r="EQ29" s="66"/>
      <c r="ER29" s="66"/>
      <c r="ES29" s="66"/>
      <c r="ET29" s="66"/>
      <c r="EU29" s="66"/>
      <c r="EV29" s="66"/>
      <c r="EW29" s="66"/>
      <c r="EX29" s="66"/>
      <c r="EY29" s="66"/>
      <c r="EZ29" s="66"/>
      <c r="FA29" s="66"/>
      <c r="FB29" s="66"/>
      <c r="FC29" s="66"/>
      <c r="FD29" s="66"/>
      <c r="FE29" s="66"/>
      <c r="FF29" s="66"/>
      <c r="FG29" s="66"/>
      <c r="FH29" s="66"/>
      <c r="FI29" s="66"/>
      <c r="FJ29" s="66"/>
      <c r="FK29" s="66"/>
      <c r="FL29" s="66"/>
      <c r="FM29" s="66"/>
      <c r="FN29" s="66"/>
      <c r="FO29" s="66"/>
      <c r="FP29" s="66"/>
      <c r="FQ29" s="66"/>
      <c r="FR29" s="66"/>
      <c r="FS29" s="66"/>
      <c r="FT29" s="66"/>
      <c r="FU29" s="66"/>
      <c r="FV29" s="66"/>
      <c r="FW29" s="66"/>
      <c r="FX29" s="66"/>
      <c r="FY29" s="66"/>
      <c r="FZ29" s="66"/>
      <c r="GA29" s="66"/>
      <c r="GB29" s="66"/>
      <c r="GC29" s="66"/>
      <c r="GD29" s="66"/>
      <c r="GE29" s="66"/>
      <c r="GF29" s="66"/>
      <c r="GG29" s="66"/>
      <c r="GH29" s="66"/>
      <c r="GI29" s="66"/>
      <c r="GJ29" s="66"/>
      <c r="GK29" s="66"/>
      <c r="GL29" s="66"/>
      <c r="GM29" s="66"/>
      <c r="GN29" s="66"/>
      <c r="GO29" s="66"/>
      <c r="GP29" s="66"/>
      <c r="GQ29" s="66"/>
      <c r="GR29" s="66"/>
      <c r="GS29" s="66"/>
      <c r="GT29" s="66"/>
      <c r="GU29" s="66"/>
      <c r="GV29" s="66"/>
      <c r="GW29" s="66"/>
      <c r="GX29" s="66"/>
      <c r="GY29" s="66"/>
      <c r="GZ29" s="66"/>
      <c r="HA29" s="66"/>
      <c r="HB29" s="66"/>
      <c r="HC29" s="66"/>
      <c r="HD29" s="66"/>
      <c r="HE29" s="66"/>
      <c r="HF29" s="66"/>
      <c r="HG29" s="66"/>
      <c r="HH29" s="66"/>
      <c r="HI29" s="66"/>
      <c r="HJ29" s="66"/>
      <c r="HK29" s="66"/>
      <c r="HL29" s="66"/>
      <c r="HM29" s="66"/>
      <c r="HN29" s="66"/>
      <c r="HO29" s="66"/>
      <c r="HP29" s="66"/>
      <c r="HQ29" s="66"/>
      <c r="HR29" s="66"/>
      <c r="HS29" s="66"/>
      <c r="HT29" s="66"/>
      <c r="HU29" s="66"/>
      <c r="HV29" s="66"/>
      <c r="HW29" s="66"/>
      <c r="HX29" s="66"/>
      <c r="HY29" s="66"/>
      <c r="HZ29" s="66"/>
      <c r="IA29" s="66"/>
      <c r="IB29" s="66"/>
      <c r="IC29" s="66"/>
      <c r="ID29" s="66"/>
      <c r="IE29" s="66"/>
      <c r="IF29" s="66"/>
      <c r="IG29" s="66"/>
      <c r="IH29" s="66"/>
      <c r="II29" s="66"/>
      <c r="IJ29" s="66"/>
      <c r="IK29" s="66"/>
      <c r="IL29" s="66"/>
      <c r="IM29" s="66"/>
      <c r="IN29" s="66"/>
      <c r="IO29" s="66"/>
      <c r="IP29" s="66"/>
      <c r="IQ29" s="66"/>
      <c r="IR29" s="66"/>
      <c r="IS29" s="66"/>
      <c r="IT29" s="66"/>
      <c r="IU29" s="66"/>
      <c r="IV29" s="66"/>
    </row>
    <row r="30" s="61" customFormat="1" customHeight="1" spans="1:256">
      <c r="A30" s="60"/>
      <c r="B30" s="62"/>
      <c r="C30" s="74">
        <v>42395</v>
      </c>
      <c r="D30" s="96">
        <v>159920</v>
      </c>
      <c r="E30" s="76" t="s">
        <v>74</v>
      </c>
      <c r="F30" s="76" t="s">
        <v>17</v>
      </c>
      <c r="G30" s="97">
        <v>0.96</v>
      </c>
      <c r="H30" s="76" t="s">
        <v>112</v>
      </c>
      <c r="I30" s="108">
        <v>1</v>
      </c>
      <c r="J30" s="109"/>
      <c r="K30" s="62"/>
      <c r="L30" s="60"/>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66"/>
      <c r="AU30" s="66"/>
      <c r="AV30" s="66"/>
      <c r="AW30" s="66"/>
      <c r="AX30" s="66"/>
      <c r="AY30" s="66"/>
      <c r="AZ30" s="66"/>
      <c r="BA30" s="66"/>
      <c r="BB30" s="66"/>
      <c r="BC30" s="66"/>
      <c r="BD30" s="66"/>
      <c r="BE30" s="66"/>
      <c r="BF30" s="66"/>
      <c r="BG30" s="66"/>
      <c r="BH30" s="66"/>
      <c r="BI30" s="66"/>
      <c r="BJ30" s="66"/>
      <c r="BK30" s="66"/>
      <c r="BL30" s="66"/>
      <c r="BM30" s="66"/>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6"/>
      <c r="CV30" s="66"/>
      <c r="CW30" s="66"/>
      <c r="CX30" s="66"/>
      <c r="CY30" s="66"/>
      <c r="CZ30" s="66"/>
      <c r="DA30" s="66"/>
      <c r="DB30" s="66"/>
      <c r="DC30" s="66"/>
      <c r="DD30" s="66"/>
      <c r="DE30" s="66"/>
      <c r="DF30" s="66"/>
      <c r="DG30" s="66"/>
      <c r="DH30" s="66"/>
      <c r="DI30" s="66"/>
      <c r="DJ30" s="66"/>
      <c r="DK30" s="66"/>
      <c r="DL30" s="66"/>
      <c r="DM30" s="66"/>
      <c r="DN30" s="66"/>
      <c r="DO30" s="66"/>
      <c r="DP30" s="66"/>
      <c r="DQ30" s="66"/>
      <c r="DR30" s="66"/>
      <c r="DS30" s="66"/>
      <c r="DT30" s="66"/>
      <c r="DU30" s="66"/>
      <c r="DV30" s="66"/>
      <c r="DW30" s="66"/>
      <c r="DX30" s="66"/>
      <c r="DY30" s="66"/>
      <c r="DZ30" s="66"/>
      <c r="EA30" s="66"/>
      <c r="EB30" s="66"/>
      <c r="EC30" s="66"/>
      <c r="ED30" s="66"/>
      <c r="EE30" s="66"/>
      <c r="EF30" s="66"/>
      <c r="EG30" s="66"/>
      <c r="EH30" s="66"/>
      <c r="EI30" s="66"/>
      <c r="EJ30" s="66"/>
      <c r="EK30" s="66"/>
      <c r="EL30" s="66"/>
      <c r="EM30" s="66"/>
      <c r="EN30" s="66"/>
      <c r="EO30" s="66"/>
      <c r="EP30" s="66"/>
      <c r="EQ30" s="66"/>
      <c r="ER30" s="66"/>
      <c r="ES30" s="66"/>
      <c r="ET30" s="66"/>
      <c r="EU30" s="66"/>
      <c r="EV30" s="66"/>
      <c r="EW30" s="66"/>
      <c r="EX30" s="66"/>
      <c r="EY30" s="66"/>
      <c r="EZ30" s="66"/>
      <c r="FA30" s="66"/>
      <c r="FB30" s="66"/>
      <c r="FC30" s="66"/>
      <c r="FD30" s="66"/>
      <c r="FE30" s="66"/>
      <c r="FF30" s="66"/>
      <c r="FG30" s="66"/>
      <c r="FH30" s="66"/>
      <c r="FI30" s="66"/>
      <c r="FJ30" s="66"/>
      <c r="FK30" s="66"/>
      <c r="FL30" s="66"/>
      <c r="FM30" s="66"/>
      <c r="FN30" s="66"/>
      <c r="FO30" s="66"/>
      <c r="FP30" s="66"/>
      <c r="FQ30" s="66"/>
      <c r="FR30" s="66"/>
      <c r="FS30" s="66"/>
      <c r="FT30" s="66"/>
      <c r="FU30" s="66"/>
      <c r="FV30" s="66"/>
      <c r="FW30" s="66"/>
      <c r="FX30" s="66"/>
      <c r="FY30" s="66"/>
      <c r="FZ30" s="66"/>
      <c r="GA30" s="66"/>
      <c r="GB30" s="66"/>
      <c r="GC30" s="66"/>
      <c r="GD30" s="66"/>
      <c r="GE30" s="66"/>
      <c r="GF30" s="66"/>
      <c r="GG30" s="66"/>
      <c r="GH30" s="66"/>
      <c r="GI30" s="66"/>
      <c r="GJ30" s="66"/>
      <c r="GK30" s="66"/>
      <c r="GL30" s="66"/>
      <c r="GM30" s="66"/>
      <c r="GN30" s="66"/>
      <c r="GO30" s="66"/>
      <c r="GP30" s="66"/>
      <c r="GQ30" s="66"/>
      <c r="GR30" s="66"/>
      <c r="GS30" s="66"/>
      <c r="GT30" s="66"/>
      <c r="GU30" s="66"/>
      <c r="GV30" s="66"/>
      <c r="GW30" s="66"/>
      <c r="GX30" s="66"/>
      <c r="GY30" s="66"/>
      <c r="GZ30" s="66"/>
      <c r="HA30" s="66"/>
      <c r="HB30" s="66"/>
      <c r="HC30" s="66"/>
      <c r="HD30" s="66"/>
      <c r="HE30" s="66"/>
      <c r="HF30" s="66"/>
      <c r="HG30" s="66"/>
      <c r="HH30" s="66"/>
      <c r="HI30" s="66"/>
      <c r="HJ30" s="66"/>
      <c r="HK30" s="66"/>
      <c r="HL30" s="66"/>
      <c r="HM30" s="66"/>
      <c r="HN30" s="66"/>
      <c r="HO30" s="66"/>
      <c r="HP30" s="66"/>
      <c r="HQ30" s="66"/>
      <c r="HR30" s="66"/>
      <c r="HS30" s="66"/>
      <c r="HT30" s="66"/>
      <c r="HU30" s="66"/>
      <c r="HV30" s="66"/>
      <c r="HW30" s="66"/>
      <c r="HX30" s="66"/>
      <c r="HY30" s="66"/>
      <c r="HZ30" s="66"/>
      <c r="IA30" s="66"/>
      <c r="IB30" s="66"/>
      <c r="IC30" s="66"/>
      <c r="ID30" s="66"/>
      <c r="IE30" s="66"/>
      <c r="IF30" s="66"/>
      <c r="IG30" s="66"/>
      <c r="IH30" s="66"/>
      <c r="II30" s="66"/>
      <c r="IJ30" s="66"/>
      <c r="IK30" s="66"/>
      <c r="IL30" s="66"/>
      <c r="IM30" s="66"/>
      <c r="IN30" s="66"/>
      <c r="IO30" s="66"/>
      <c r="IP30" s="66"/>
      <c r="IQ30" s="66"/>
      <c r="IR30" s="66"/>
      <c r="IS30" s="66"/>
      <c r="IT30" s="66"/>
      <c r="IU30" s="66"/>
      <c r="IV30" s="66"/>
    </row>
    <row r="31" s="61" customFormat="1" customHeight="1" spans="1:256">
      <c r="A31" s="60"/>
      <c r="B31" s="62"/>
      <c r="C31" s="74">
        <v>42395</v>
      </c>
      <c r="D31" s="96">
        <v>510050</v>
      </c>
      <c r="E31" s="76" t="s">
        <v>68</v>
      </c>
      <c r="F31" s="76" t="s">
        <v>17</v>
      </c>
      <c r="G31" s="97">
        <v>1.98</v>
      </c>
      <c r="H31" s="76" t="s">
        <v>113</v>
      </c>
      <c r="I31" s="108">
        <v>1</v>
      </c>
      <c r="J31" s="109"/>
      <c r="K31" s="62"/>
      <c r="L31" s="60"/>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c r="BE31" s="66"/>
      <c r="BF31" s="66"/>
      <c r="BG31" s="66"/>
      <c r="BH31" s="66"/>
      <c r="BI31" s="66"/>
      <c r="BJ31" s="66"/>
      <c r="BK31" s="66"/>
      <c r="BL31" s="66"/>
      <c r="BM31" s="66"/>
      <c r="BN31" s="66"/>
      <c r="BO31" s="66"/>
      <c r="BP31" s="66"/>
      <c r="BQ31" s="66"/>
      <c r="BR31" s="66"/>
      <c r="BS31" s="66"/>
      <c r="BT31" s="66"/>
      <c r="BU31" s="66"/>
      <c r="BV31" s="66"/>
      <c r="BW31" s="66"/>
      <c r="BX31" s="66"/>
      <c r="BY31" s="66"/>
      <c r="BZ31" s="66"/>
      <c r="CA31" s="66"/>
      <c r="CB31" s="66"/>
      <c r="CC31" s="66"/>
      <c r="CD31" s="66"/>
      <c r="CE31" s="66"/>
      <c r="CF31" s="66"/>
      <c r="CG31" s="66"/>
      <c r="CH31" s="66"/>
      <c r="CI31" s="66"/>
      <c r="CJ31" s="66"/>
      <c r="CK31" s="66"/>
      <c r="CL31" s="66"/>
      <c r="CM31" s="66"/>
      <c r="CN31" s="66"/>
      <c r="CO31" s="66"/>
      <c r="CP31" s="66"/>
      <c r="CQ31" s="66"/>
      <c r="CR31" s="66"/>
      <c r="CS31" s="66"/>
      <c r="CT31" s="66"/>
      <c r="CU31" s="66"/>
      <c r="CV31" s="66"/>
      <c r="CW31" s="66"/>
      <c r="CX31" s="66"/>
      <c r="CY31" s="66"/>
      <c r="CZ31" s="66"/>
      <c r="DA31" s="66"/>
      <c r="DB31" s="66"/>
      <c r="DC31" s="66"/>
      <c r="DD31" s="66"/>
      <c r="DE31" s="66"/>
      <c r="DF31" s="66"/>
      <c r="DG31" s="66"/>
      <c r="DH31" s="66"/>
      <c r="DI31" s="66"/>
      <c r="DJ31" s="66"/>
      <c r="DK31" s="66"/>
      <c r="DL31" s="66"/>
      <c r="DM31" s="66"/>
      <c r="DN31" s="66"/>
      <c r="DO31" s="66"/>
      <c r="DP31" s="66"/>
      <c r="DQ31" s="66"/>
      <c r="DR31" s="66"/>
      <c r="DS31" s="66"/>
      <c r="DT31" s="66"/>
      <c r="DU31" s="66"/>
      <c r="DV31" s="66"/>
      <c r="DW31" s="66"/>
      <c r="DX31" s="66"/>
      <c r="DY31" s="66"/>
      <c r="DZ31" s="66"/>
      <c r="EA31" s="66"/>
      <c r="EB31" s="66"/>
      <c r="EC31" s="66"/>
      <c r="ED31" s="66"/>
      <c r="EE31" s="66"/>
      <c r="EF31" s="66"/>
      <c r="EG31" s="66"/>
      <c r="EH31" s="66"/>
      <c r="EI31" s="66"/>
      <c r="EJ31" s="66"/>
      <c r="EK31" s="66"/>
      <c r="EL31" s="66"/>
      <c r="EM31" s="66"/>
      <c r="EN31" s="66"/>
      <c r="EO31" s="66"/>
      <c r="EP31" s="66"/>
      <c r="EQ31" s="66"/>
      <c r="ER31" s="66"/>
      <c r="ES31" s="66"/>
      <c r="ET31" s="66"/>
      <c r="EU31" s="66"/>
      <c r="EV31" s="66"/>
      <c r="EW31" s="66"/>
      <c r="EX31" s="66"/>
      <c r="EY31" s="66"/>
      <c r="EZ31" s="66"/>
      <c r="FA31" s="66"/>
      <c r="FB31" s="66"/>
      <c r="FC31" s="66"/>
      <c r="FD31" s="66"/>
      <c r="FE31" s="66"/>
      <c r="FF31" s="66"/>
      <c r="FG31" s="66"/>
      <c r="FH31" s="66"/>
      <c r="FI31" s="66"/>
      <c r="FJ31" s="66"/>
      <c r="FK31" s="66"/>
      <c r="FL31" s="66"/>
      <c r="FM31" s="66"/>
      <c r="FN31" s="66"/>
      <c r="FO31" s="66"/>
      <c r="FP31" s="66"/>
      <c r="FQ31" s="66"/>
      <c r="FR31" s="66"/>
      <c r="FS31" s="66"/>
      <c r="FT31" s="66"/>
      <c r="FU31" s="66"/>
      <c r="FV31" s="66"/>
      <c r="FW31" s="66"/>
      <c r="FX31" s="66"/>
      <c r="FY31" s="66"/>
      <c r="FZ31" s="66"/>
      <c r="GA31" s="66"/>
      <c r="GB31" s="66"/>
      <c r="GC31" s="66"/>
      <c r="GD31" s="66"/>
      <c r="GE31" s="66"/>
      <c r="GF31" s="66"/>
      <c r="GG31" s="66"/>
      <c r="GH31" s="66"/>
      <c r="GI31" s="66"/>
      <c r="GJ31" s="66"/>
      <c r="GK31" s="66"/>
      <c r="GL31" s="66"/>
      <c r="GM31" s="66"/>
      <c r="GN31" s="66"/>
      <c r="GO31" s="66"/>
      <c r="GP31" s="66"/>
      <c r="GQ31" s="66"/>
      <c r="GR31" s="66"/>
      <c r="GS31" s="66"/>
      <c r="GT31" s="66"/>
      <c r="GU31" s="66"/>
      <c r="GV31" s="66"/>
      <c r="GW31" s="66"/>
      <c r="GX31" s="66"/>
      <c r="GY31" s="66"/>
      <c r="GZ31" s="66"/>
      <c r="HA31" s="66"/>
      <c r="HB31" s="66"/>
      <c r="HC31" s="66"/>
      <c r="HD31" s="66"/>
      <c r="HE31" s="66"/>
      <c r="HF31" s="66"/>
      <c r="HG31" s="66"/>
      <c r="HH31" s="66"/>
      <c r="HI31" s="66"/>
      <c r="HJ31" s="66"/>
      <c r="HK31" s="66"/>
      <c r="HL31" s="66"/>
      <c r="HM31" s="66"/>
      <c r="HN31" s="66"/>
      <c r="HO31" s="66"/>
      <c r="HP31" s="66"/>
      <c r="HQ31" s="66"/>
      <c r="HR31" s="66"/>
      <c r="HS31" s="66"/>
      <c r="HT31" s="66"/>
      <c r="HU31" s="66"/>
      <c r="HV31" s="66"/>
      <c r="HW31" s="66"/>
      <c r="HX31" s="66"/>
      <c r="HY31" s="66"/>
      <c r="HZ31" s="66"/>
      <c r="IA31" s="66"/>
      <c r="IB31" s="66"/>
      <c r="IC31" s="66"/>
      <c r="ID31" s="66"/>
      <c r="IE31" s="66"/>
      <c r="IF31" s="66"/>
      <c r="IG31" s="66"/>
      <c r="IH31" s="66"/>
      <c r="II31" s="66"/>
      <c r="IJ31" s="66"/>
      <c r="IK31" s="66"/>
      <c r="IL31" s="66"/>
      <c r="IM31" s="66"/>
      <c r="IN31" s="66"/>
      <c r="IO31" s="66"/>
      <c r="IP31" s="66"/>
      <c r="IQ31" s="66"/>
      <c r="IR31" s="66"/>
      <c r="IS31" s="66"/>
      <c r="IT31" s="66"/>
      <c r="IU31" s="66"/>
      <c r="IV31" s="66"/>
    </row>
    <row r="32" s="61" customFormat="1" hidden="1" customHeight="1" spans="1:256">
      <c r="A32" s="60"/>
      <c r="B32" s="62"/>
      <c r="C32" s="77">
        <v>42395</v>
      </c>
      <c r="D32" s="78">
        <v>968</v>
      </c>
      <c r="E32" s="79" t="s">
        <v>59</v>
      </c>
      <c r="F32" s="80" t="s">
        <v>12</v>
      </c>
      <c r="G32" s="81">
        <v>0.8507</v>
      </c>
      <c r="H32" s="79" t="s">
        <v>114</v>
      </c>
      <c r="I32" s="100">
        <v>1</v>
      </c>
      <c r="J32" s="101" t="s">
        <v>32</v>
      </c>
      <c r="K32" s="62"/>
      <c r="L32" s="60"/>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66"/>
      <c r="AU32" s="66"/>
      <c r="AV32" s="66"/>
      <c r="AW32" s="66"/>
      <c r="AX32" s="66"/>
      <c r="AY32" s="66"/>
      <c r="AZ32" s="66"/>
      <c r="BA32" s="66"/>
      <c r="BB32" s="66"/>
      <c r="BC32" s="66"/>
      <c r="BD32" s="66"/>
      <c r="BE32" s="66"/>
      <c r="BF32" s="66"/>
      <c r="BG32" s="66"/>
      <c r="BH32" s="66"/>
      <c r="BI32" s="66"/>
      <c r="BJ32" s="66"/>
      <c r="BK32" s="66"/>
      <c r="BL32" s="66"/>
      <c r="BM32" s="66"/>
      <c r="BN32" s="66"/>
      <c r="BO32" s="66"/>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6"/>
      <c r="CV32" s="66"/>
      <c r="CW32" s="66"/>
      <c r="CX32" s="66"/>
      <c r="CY32" s="66"/>
      <c r="CZ32" s="66"/>
      <c r="DA32" s="66"/>
      <c r="DB32" s="66"/>
      <c r="DC32" s="66"/>
      <c r="DD32" s="66"/>
      <c r="DE32" s="66"/>
      <c r="DF32" s="66"/>
      <c r="DG32" s="66"/>
      <c r="DH32" s="66"/>
      <c r="DI32" s="66"/>
      <c r="DJ32" s="66"/>
      <c r="DK32" s="66"/>
      <c r="DL32" s="66"/>
      <c r="DM32" s="66"/>
      <c r="DN32" s="66"/>
      <c r="DO32" s="66"/>
      <c r="DP32" s="66"/>
      <c r="DQ32" s="66"/>
      <c r="DR32" s="66"/>
      <c r="DS32" s="66"/>
      <c r="DT32" s="66"/>
      <c r="DU32" s="66"/>
      <c r="DV32" s="66"/>
      <c r="DW32" s="66"/>
      <c r="DX32" s="66"/>
      <c r="DY32" s="66"/>
      <c r="DZ32" s="66"/>
      <c r="EA32" s="66"/>
      <c r="EB32" s="66"/>
      <c r="EC32" s="66"/>
      <c r="ED32" s="66"/>
      <c r="EE32" s="66"/>
      <c r="EF32" s="66"/>
      <c r="EG32" s="66"/>
      <c r="EH32" s="66"/>
      <c r="EI32" s="66"/>
      <c r="EJ32" s="66"/>
      <c r="EK32" s="66"/>
      <c r="EL32" s="66"/>
      <c r="EM32" s="66"/>
      <c r="EN32" s="66"/>
      <c r="EO32" s="66"/>
      <c r="EP32" s="66"/>
      <c r="EQ32" s="66"/>
      <c r="ER32" s="66"/>
      <c r="ES32" s="66"/>
      <c r="ET32" s="66"/>
      <c r="EU32" s="66"/>
      <c r="EV32" s="66"/>
      <c r="EW32" s="66"/>
      <c r="EX32" s="66"/>
      <c r="EY32" s="66"/>
      <c r="EZ32" s="66"/>
      <c r="FA32" s="66"/>
      <c r="FB32" s="66"/>
      <c r="FC32" s="66"/>
      <c r="FD32" s="66"/>
      <c r="FE32" s="66"/>
      <c r="FF32" s="66"/>
      <c r="FG32" s="66"/>
      <c r="FH32" s="66"/>
      <c r="FI32" s="66"/>
      <c r="FJ32" s="66"/>
      <c r="FK32" s="66"/>
      <c r="FL32" s="66"/>
      <c r="FM32" s="66"/>
      <c r="FN32" s="66"/>
      <c r="FO32" s="66"/>
      <c r="FP32" s="66"/>
      <c r="FQ32" s="66"/>
      <c r="FR32" s="66"/>
      <c r="FS32" s="66"/>
      <c r="FT32" s="66"/>
      <c r="FU32" s="66"/>
      <c r="FV32" s="66"/>
      <c r="FW32" s="66"/>
      <c r="FX32" s="66"/>
      <c r="FY32" s="66"/>
      <c r="FZ32" s="66"/>
      <c r="GA32" s="66"/>
      <c r="GB32" s="66"/>
      <c r="GC32" s="66"/>
      <c r="GD32" s="66"/>
      <c r="GE32" s="66"/>
      <c r="GF32" s="66"/>
      <c r="GG32" s="66"/>
      <c r="GH32" s="66"/>
      <c r="GI32" s="66"/>
      <c r="GJ32" s="66"/>
      <c r="GK32" s="66"/>
      <c r="GL32" s="66"/>
      <c r="GM32" s="66"/>
      <c r="GN32" s="66"/>
      <c r="GO32" s="66"/>
      <c r="GP32" s="66"/>
      <c r="GQ32" s="66"/>
      <c r="GR32" s="66"/>
      <c r="GS32" s="66"/>
      <c r="GT32" s="66"/>
      <c r="GU32" s="66"/>
      <c r="GV32" s="66"/>
      <c r="GW32" s="66"/>
      <c r="GX32" s="66"/>
      <c r="GY32" s="66"/>
      <c r="GZ32" s="66"/>
      <c r="HA32" s="66"/>
      <c r="HB32" s="66"/>
      <c r="HC32" s="66"/>
      <c r="HD32" s="66"/>
      <c r="HE32" s="66"/>
      <c r="HF32" s="66"/>
      <c r="HG32" s="66"/>
      <c r="HH32" s="66"/>
      <c r="HI32" s="66"/>
      <c r="HJ32" s="66"/>
      <c r="HK32" s="66"/>
      <c r="HL32" s="66"/>
      <c r="HM32" s="66"/>
      <c r="HN32" s="66"/>
      <c r="HO32" s="66"/>
      <c r="HP32" s="66"/>
      <c r="HQ32" s="66"/>
      <c r="HR32" s="66"/>
      <c r="HS32" s="66"/>
      <c r="HT32" s="66"/>
      <c r="HU32" s="66"/>
      <c r="HV32" s="66"/>
      <c r="HW32" s="66"/>
      <c r="HX32" s="66"/>
      <c r="HY32" s="66"/>
      <c r="HZ32" s="66"/>
      <c r="IA32" s="66"/>
      <c r="IB32" s="66"/>
      <c r="IC32" s="66"/>
      <c r="ID32" s="66"/>
      <c r="IE32" s="66"/>
      <c r="IF32" s="66"/>
      <c r="IG32" s="66"/>
      <c r="IH32" s="66"/>
      <c r="II32" s="66"/>
      <c r="IJ32" s="66"/>
      <c r="IK32" s="66"/>
      <c r="IL32" s="66"/>
      <c r="IM32" s="66"/>
      <c r="IN32" s="66"/>
      <c r="IO32" s="66"/>
      <c r="IP32" s="66"/>
      <c r="IQ32" s="66"/>
      <c r="IR32" s="66"/>
      <c r="IS32" s="66"/>
      <c r="IT32" s="66"/>
      <c r="IU32" s="66"/>
      <c r="IV32" s="66"/>
    </row>
    <row r="33" s="61" customFormat="1" customHeight="1" spans="1:256">
      <c r="A33" s="60"/>
      <c r="B33" s="62"/>
      <c r="C33" s="74">
        <v>42395</v>
      </c>
      <c r="D33" s="96">
        <v>159920</v>
      </c>
      <c r="E33" s="76" t="s">
        <v>74</v>
      </c>
      <c r="F33" s="76" t="s">
        <v>17</v>
      </c>
      <c r="G33" s="97">
        <v>0.96</v>
      </c>
      <c r="H33" s="76" t="s">
        <v>112</v>
      </c>
      <c r="I33" s="108">
        <v>1</v>
      </c>
      <c r="J33" s="109"/>
      <c r="K33" s="62"/>
      <c r="L33" s="60"/>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6"/>
      <c r="AU33" s="66"/>
      <c r="AV33" s="66"/>
      <c r="AW33" s="66"/>
      <c r="AX33" s="66"/>
      <c r="AY33" s="66"/>
      <c r="AZ33" s="66"/>
      <c r="BA33" s="66"/>
      <c r="BB33" s="66"/>
      <c r="BC33" s="66"/>
      <c r="BD33" s="66"/>
      <c r="BE33" s="66"/>
      <c r="BF33" s="66"/>
      <c r="BG33" s="66"/>
      <c r="BH33" s="66"/>
      <c r="BI33" s="66"/>
      <c r="BJ33" s="66"/>
      <c r="BK33" s="66"/>
      <c r="BL33" s="66"/>
      <c r="BM33" s="66"/>
      <c r="BN33" s="66"/>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6"/>
      <c r="CV33" s="66"/>
      <c r="CW33" s="66"/>
      <c r="CX33" s="66"/>
      <c r="CY33" s="66"/>
      <c r="CZ33" s="66"/>
      <c r="DA33" s="66"/>
      <c r="DB33" s="66"/>
      <c r="DC33" s="66"/>
      <c r="DD33" s="66"/>
      <c r="DE33" s="66"/>
      <c r="DF33" s="66"/>
      <c r="DG33" s="66"/>
      <c r="DH33" s="66"/>
      <c r="DI33" s="66"/>
      <c r="DJ33" s="66"/>
      <c r="DK33" s="66"/>
      <c r="DL33" s="66"/>
      <c r="DM33" s="66"/>
      <c r="DN33" s="66"/>
      <c r="DO33" s="66"/>
      <c r="DP33" s="66"/>
      <c r="DQ33" s="66"/>
      <c r="DR33" s="66"/>
      <c r="DS33" s="66"/>
      <c r="DT33" s="66"/>
      <c r="DU33" s="66"/>
      <c r="DV33" s="66"/>
      <c r="DW33" s="66"/>
      <c r="DX33" s="66"/>
      <c r="DY33" s="66"/>
      <c r="DZ33" s="66"/>
      <c r="EA33" s="66"/>
      <c r="EB33" s="66"/>
      <c r="EC33" s="66"/>
      <c r="ED33" s="66"/>
      <c r="EE33" s="66"/>
      <c r="EF33" s="66"/>
      <c r="EG33" s="66"/>
      <c r="EH33" s="66"/>
      <c r="EI33" s="66"/>
      <c r="EJ33" s="66"/>
      <c r="EK33" s="66"/>
      <c r="EL33" s="66"/>
      <c r="EM33" s="66"/>
      <c r="EN33" s="66"/>
      <c r="EO33" s="66"/>
      <c r="EP33" s="66"/>
      <c r="EQ33" s="66"/>
      <c r="ER33" s="66"/>
      <c r="ES33" s="66"/>
      <c r="ET33" s="66"/>
      <c r="EU33" s="66"/>
      <c r="EV33" s="66"/>
      <c r="EW33" s="66"/>
      <c r="EX33" s="66"/>
      <c r="EY33" s="66"/>
      <c r="EZ33" s="66"/>
      <c r="FA33" s="66"/>
      <c r="FB33" s="66"/>
      <c r="FC33" s="66"/>
      <c r="FD33" s="66"/>
      <c r="FE33" s="66"/>
      <c r="FF33" s="66"/>
      <c r="FG33" s="66"/>
      <c r="FH33" s="66"/>
      <c r="FI33" s="66"/>
      <c r="FJ33" s="66"/>
      <c r="FK33" s="66"/>
      <c r="FL33" s="66"/>
      <c r="FM33" s="66"/>
      <c r="FN33" s="66"/>
      <c r="FO33" s="66"/>
      <c r="FP33" s="66"/>
      <c r="FQ33" s="66"/>
      <c r="FR33" s="66"/>
      <c r="FS33" s="66"/>
      <c r="FT33" s="66"/>
      <c r="FU33" s="66"/>
      <c r="FV33" s="66"/>
      <c r="FW33" s="66"/>
      <c r="FX33" s="66"/>
      <c r="FY33" s="66"/>
      <c r="FZ33" s="66"/>
      <c r="GA33" s="66"/>
      <c r="GB33" s="66"/>
      <c r="GC33" s="66"/>
      <c r="GD33" s="66"/>
      <c r="GE33" s="66"/>
      <c r="GF33" s="66"/>
      <c r="GG33" s="66"/>
      <c r="GH33" s="66"/>
      <c r="GI33" s="66"/>
      <c r="GJ33" s="66"/>
      <c r="GK33" s="66"/>
      <c r="GL33" s="66"/>
      <c r="GM33" s="66"/>
      <c r="GN33" s="66"/>
      <c r="GO33" s="66"/>
      <c r="GP33" s="66"/>
      <c r="GQ33" s="66"/>
      <c r="GR33" s="66"/>
      <c r="GS33" s="66"/>
      <c r="GT33" s="66"/>
      <c r="GU33" s="66"/>
      <c r="GV33" s="66"/>
      <c r="GW33" s="66"/>
      <c r="GX33" s="66"/>
      <c r="GY33" s="66"/>
      <c r="GZ33" s="66"/>
      <c r="HA33" s="66"/>
      <c r="HB33" s="66"/>
      <c r="HC33" s="66"/>
      <c r="HD33" s="66"/>
      <c r="HE33" s="66"/>
      <c r="HF33" s="66"/>
      <c r="HG33" s="66"/>
      <c r="HH33" s="66"/>
      <c r="HI33" s="66"/>
      <c r="HJ33" s="66"/>
      <c r="HK33" s="66"/>
      <c r="HL33" s="66"/>
      <c r="HM33" s="66"/>
      <c r="HN33" s="66"/>
      <c r="HO33" s="66"/>
      <c r="HP33" s="66"/>
      <c r="HQ33" s="66"/>
      <c r="HR33" s="66"/>
      <c r="HS33" s="66"/>
      <c r="HT33" s="66"/>
      <c r="HU33" s="66"/>
      <c r="HV33" s="66"/>
      <c r="HW33" s="66"/>
      <c r="HX33" s="66"/>
      <c r="HY33" s="66"/>
      <c r="HZ33" s="66"/>
      <c r="IA33" s="66"/>
      <c r="IB33" s="66"/>
      <c r="IC33" s="66"/>
      <c r="ID33" s="66"/>
      <c r="IE33" s="66"/>
      <c r="IF33" s="66"/>
      <c r="IG33" s="66"/>
      <c r="IH33" s="66"/>
      <c r="II33" s="66"/>
      <c r="IJ33" s="66"/>
      <c r="IK33" s="66"/>
      <c r="IL33" s="66"/>
      <c r="IM33" s="66"/>
      <c r="IN33" s="66"/>
      <c r="IO33" s="66"/>
      <c r="IP33" s="66"/>
      <c r="IQ33" s="66"/>
      <c r="IR33" s="66"/>
      <c r="IS33" s="66"/>
      <c r="IT33" s="66"/>
      <c r="IU33" s="66"/>
      <c r="IV33" s="66"/>
    </row>
    <row r="34" s="61" customFormat="1" hidden="1" customHeight="1" spans="1:256">
      <c r="A34" s="60"/>
      <c r="B34" s="62"/>
      <c r="C34" s="82">
        <v>42367</v>
      </c>
      <c r="D34" s="83">
        <v>159901</v>
      </c>
      <c r="E34" s="84" t="s">
        <v>75</v>
      </c>
      <c r="F34" s="84" t="s">
        <v>17</v>
      </c>
      <c r="G34" s="86"/>
      <c r="H34" s="84"/>
      <c r="I34" s="102">
        <v>1</v>
      </c>
      <c r="J34" s="103" t="s">
        <v>33</v>
      </c>
      <c r="K34" s="62"/>
      <c r="L34" s="60"/>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c r="AR34" s="66"/>
      <c r="AS34" s="66"/>
      <c r="AT34" s="66"/>
      <c r="AU34" s="66"/>
      <c r="AV34" s="66"/>
      <c r="AW34" s="66"/>
      <c r="AX34" s="66"/>
      <c r="AY34" s="66"/>
      <c r="AZ34" s="66"/>
      <c r="BA34" s="66"/>
      <c r="BB34" s="66"/>
      <c r="BC34" s="66"/>
      <c r="BD34" s="66"/>
      <c r="BE34" s="66"/>
      <c r="BF34" s="66"/>
      <c r="BG34" s="66"/>
      <c r="BH34" s="66"/>
      <c r="BI34" s="66"/>
      <c r="BJ34" s="66"/>
      <c r="BK34" s="66"/>
      <c r="BL34" s="66"/>
      <c r="BM34" s="66"/>
      <c r="BN34" s="66"/>
      <c r="BO34" s="66"/>
      <c r="BP34" s="66"/>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6"/>
      <c r="CV34" s="66"/>
      <c r="CW34" s="66"/>
      <c r="CX34" s="66"/>
      <c r="CY34" s="66"/>
      <c r="CZ34" s="66"/>
      <c r="DA34" s="66"/>
      <c r="DB34" s="66"/>
      <c r="DC34" s="66"/>
      <c r="DD34" s="66"/>
      <c r="DE34" s="66"/>
      <c r="DF34" s="66"/>
      <c r="DG34" s="66"/>
      <c r="DH34" s="66"/>
      <c r="DI34" s="66"/>
      <c r="DJ34" s="66"/>
      <c r="DK34" s="66"/>
      <c r="DL34" s="66"/>
      <c r="DM34" s="66"/>
      <c r="DN34" s="66"/>
      <c r="DO34" s="66"/>
      <c r="DP34" s="66"/>
      <c r="DQ34" s="66"/>
      <c r="DR34" s="66"/>
      <c r="DS34" s="66"/>
      <c r="DT34" s="66"/>
      <c r="DU34" s="66"/>
      <c r="DV34" s="66"/>
      <c r="DW34" s="66"/>
      <c r="DX34" s="66"/>
      <c r="DY34" s="66"/>
      <c r="DZ34" s="66"/>
      <c r="EA34" s="66"/>
      <c r="EB34" s="66"/>
      <c r="EC34" s="66"/>
      <c r="ED34" s="66"/>
      <c r="EE34" s="66"/>
      <c r="EF34" s="66"/>
      <c r="EG34" s="66"/>
      <c r="EH34" s="66"/>
      <c r="EI34" s="66"/>
      <c r="EJ34" s="66"/>
      <c r="EK34" s="66"/>
      <c r="EL34" s="66"/>
      <c r="EM34" s="66"/>
      <c r="EN34" s="66"/>
      <c r="EO34" s="66"/>
      <c r="EP34" s="66"/>
      <c r="EQ34" s="66"/>
      <c r="ER34" s="66"/>
      <c r="ES34" s="66"/>
      <c r="ET34" s="66"/>
      <c r="EU34" s="66"/>
      <c r="EV34" s="66"/>
      <c r="EW34" s="66"/>
      <c r="EX34" s="66"/>
      <c r="EY34" s="66"/>
      <c r="EZ34" s="66"/>
      <c r="FA34" s="66"/>
      <c r="FB34" s="66"/>
      <c r="FC34" s="66"/>
      <c r="FD34" s="66"/>
      <c r="FE34" s="66"/>
      <c r="FF34" s="66"/>
      <c r="FG34" s="66"/>
      <c r="FH34" s="66"/>
      <c r="FI34" s="66"/>
      <c r="FJ34" s="66"/>
      <c r="FK34" s="66"/>
      <c r="FL34" s="66"/>
      <c r="FM34" s="66"/>
      <c r="FN34" s="66"/>
      <c r="FO34" s="66"/>
      <c r="FP34" s="66"/>
      <c r="FQ34" s="66"/>
      <c r="FR34" s="66"/>
      <c r="FS34" s="66"/>
      <c r="FT34" s="66"/>
      <c r="FU34" s="66"/>
      <c r="FV34" s="66"/>
      <c r="FW34" s="66"/>
      <c r="FX34" s="66"/>
      <c r="FY34" s="66"/>
      <c r="FZ34" s="66"/>
      <c r="GA34" s="66"/>
      <c r="GB34" s="66"/>
      <c r="GC34" s="66"/>
      <c r="GD34" s="66"/>
      <c r="GE34" s="66"/>
      <c r="GF34" s="66"/>
      <c r="GG34" s="66"/>
      <c r="GH34" s="66"/>
      <c r="GI34" s="66"/>
      <c r="GJ34" s="66"/>
      <c r="GK34" s="66"/>
      <c r="GL34" s="66"/>
      <c r="GM34" s="66"/>
      <c r="GN34" s="66"/>
      <c r="GO34" s="66"/>
      <c r="GP34" s="66"/>
      <c r="GQ34" s="66"/>
      <c r="GR34" s="66"/>
      <c r="GS34" s="66"/>
      <c r="GT34" s="66"/>
      <c r="GU34" s="66"/>
      <c r="GV34" s="66"/>
      <c r="GW34" s="66"/>
      <c r="GX34" s="66"/>
      <c r="GY34" s="66"/>
      <c r="GZ34" s="66"/>
      <c r="HA34" s="66"/>
      <c r="HB34" s="66"/>
      <c r="HC34" s="66"/>
      <c r="HD34" s="66"/>
      <c r="HE34" s="66"/>
      <c r="HF34" s="66"/>
      <c r="HG34" s="66"/>
      <c r="HH34" s="66"/>
      <c r="HI34" s="66"/>
      <c r="HJ34" s="66"/>
      <c r="HK34" s="66"/>
      <c r="HL34" s="66"/>
      <c r="HM34" s="66"/>
      <c r="HN34" s="66"/>
      <c r="HO34" s="66"/>
      <c r="HP34" s="66"/>
      <c r="HQ34" s="66"/>
      <c r="HR34" s="66"/>
      <c r="HS34" s="66"/>
      <c r="HT34" s="66"/>
      <c r="HU34" s="66"/>
      <c r="HV34" s="66"/>
      <c r="HW34" s="66"/>
      <c r="HX34" s="66"/>
      <c r="HY34" s="66"/>
      <c r="HZ34" s="66"/>
      <c r="IA34" s="66"/>
      <c r="IB34" s="66"/>
      <c r="IC34" s="66"/>
      <c r="ID34" s="66"/>
      <c r="IE34" s="66"/>
      <c r="IF34" s="66"/>
      <c r="IG34" s="66"/>
      <c r="IH34" s="66"/>
      <c r="II34" s="66"/>
      <c r="IJ34" s="66"/>
      <c r="IK34" s="66"/>
      <c r="IL34" s="66"/>
      <c r="IM34" s="66"/>
      <c r="IN34" s="66"/>
      <c r="IO34" s="66"/>
      <c r="IP34" s="66"/>
      <c r="IQ34" s="66"/>
      <c r="IR34" s="66"/>
      <c r="IS34" s="66"/>
      <c r="IT34" s="66"/>
      <c r="IU34" s="66"/>
      <c r="IV34" s="66"/>
    </row>
    <row r="35" s="61" customFormat="1" customHeight="1" spans="1:256">
      <c r="A35" s="60"/>
      <c r="B35" s="62"/>
      <c r="C35" s="74">
        <v>42367</v>
      </c>
      <c r="D35" s="96">
        <v>159920</v>
      </c>
      <c r="E35" s="76" t="s">
        <v>74</v>
      </c>
      <c r="F35" s="76" t="s">
        <v>17</v>
      </c>
      <c r="G35" s="97">
        <v>1.12</v>
      </c>
      <c r="H35" s="76" t="s">
        <v>115</v>
      </c>
      <c r="I35" s="108">
        <v>1</v>
      </c>
      <c r="J35" s="109"/>
      <c r="K35" s="62"/>
      <c r="L35" s="60"/>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6"/>
      <c r="AS35" s="66"/>
      <c r="AT35" s="66"/>
      <c r="AU35" s="66"/>
      <c r="AV35" s="66"/>
      <c r="AW35" s="66"/>
      <c r="AX35" s="66"/>
      <c r="AY35" s="66"/>
      <c r="AZ35" s="66"/>
      <c r="BA35" s="66"/>
      <c r="BB35" s="66"/>
      <c r="BC35" s="66"/>
      <c r="BD35" s="66"/>
      <c r="BE35" s="66"/>
      <c r="BF35" s="66"/>
      <c r="BG35" s="66"/>
      <c r="BH35" s="66"/>
      <c r="BI35" s="66"/>
      <c r="BJ35" s="66"/>
      <c r="BK35" s="66"/>
      <c r="BL35" s="66"/>
      <c r="BM35" s="66"/>
      <c r="BN35" s="66"/>
      <c r="BO35" s="66"/>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66"/>
      <c r="CV35" s="66"/>
      <c r="CW35" s="66"/>
      <c r="CX35" s="66"/>
      <c r="CY35" s="66"/>
      <c r="CZ35" s="66"/>
      <c r="DA35" s="66"/>
      <c r="DB35" s="66"/>
      <c r="DC35" s="66"/>
      <c r="DD35" s="66"/>
      <c r="DE35" s="66"/>
      <c r="DF35" s="66"/>
      <c r="DG35" s="66"/>
      <c r="DH35" s="66"/>
      <c r="DI35" s="66"/>
      <c r="DJ35" s="66"/>
      <c r="DK35" s="66"/>
      <c r="DL35" s="66"/>
      <c r="DM35" s="66"/>
      <c r="DN35" s="66"/>
      <c r="DO35" s="66"/>
      <c r="DP35" s="66"/>
      <c r="DQ35" s="66"/>
      <c r="DR35" s="66"/>
      <c r="DS35" s="66"/>
      <c r="DT35" s="66"/>
      <c r="DU35" s="66"/>
      <c r="DV35" s="66"/>
      <c r="DW35" s="66"/>
      <c r="DX35" s="66"/>
      <c r="DY35" s="66"/>
      <c r="DZ35" s="66"/>
      <c r="EA35" s="66"/>
      <c r="EB35" s="66"/>
      <c r="EC35" s="66"/>
      <c r="ED35" s="66"/>
      <c r="EE35" s="66"/>
      <c r="EF35" s="66"/>
      <c r="EG35" s="66"/>
      <c r="EH35" s="66"/>
      <c r="EI35" s="66"/>
      <c r="EJ35" s="66"/>
      <c r="EK35" s="66"/>
      <c r="EL35" s="66"/>
      <c r="EM35" s="66"/>
      <c r="EN35" s="66"/>
      <c r="EO35" s="66"/>
      <c r="EP35" s="66"/>
      <c r="EQ35" s="66"/>
      <c r="ER35" s="66"/>
      <c r="ES35" s="66"/>
      <c r="ET35" s="66"/>
      <c r="EU35" s="66"/>
      <c r="EV35" s="66"/>
      <c r="EW35" s="66"/>
      <c r="EX35" s="66"/>
      <c r="EY35" s="66"/>
      <c r="EZ35" s="66"/>
      <c r="FA35" s="66"/>
      <c r="FB35" s="66"/>
      <c r="FC35" s="66"/>
      <c r="FD35" s="66"/>
      <c r="FE35" s="66"/>
      <c r="FF35" s="66"/>
      <c r="FG35" s="66"/>
      <c r="FH35" s="66"/>
      <c r="FI35" s="66"/>
      <c r="FJ35" s="66"/>
      <c r="FK35" s="66"/>
      <c r="FL35" s="66"/>
      <c r="FM35" s="66"/>
      <c r="FN35" s="66"/>
      <c r="FO35" s="66"/>
      <c r="FP35" s="66"/>
      <c r="FQ35" s="66"/>
      <c r="FR35" s="66"/>
      <c r="FS35" s="66"/>
      <c r="FT35" s="66"/>
      <c r="FU35" s="66"/>
      <c r="FV35" s="66"/>
      <c r="FW35" s="66"/>
      <c r="FX35" s="66"/>
      <c r="FY35" s="66"/>
      <c r="FZ35" s="66"/>
      <c r="GA35" s="66"/>
      <c r="GB35" s="66"/>
      <c r="GC35" s="66"/>
      <c r="GD35" s="66"/>
      <c r="GE35" s="66"/>
      <c r="GF35" s="66"/>
      <c r="GG35" s="66"/>
      <c r="GH35" s="66"/>
      <c r="GI35" s="66"/>
      <c r="GJ35" s="66"/>
      <c r="GK35" s="66"/>
      <c r="GL35" s="66"/>
      <c r="GM35" s="66"/>
      <c r="GN35" s="66"/>
      <c r="GO35" s="66"/>
      <c r="GP35" s="66"/>
      <c r="GQ35" s="66"/>
      <c r="GR35" s="66"/>
      <c r="GS35" s="66"/>
      <c r="GT35" s="66"/>
      <c r="GU35" s="66"/>
      <c r="GV35" s="66"/>
      <c r="GW35" s="66"/>
      <c r="GX35" s="66"/>
      <c r="GY35" s="66"/>
      <c r="GZ35" s="66"/>
      <c r="HA35" s="66"/>
      <c r="HB35" s="66"/>
      <c r="HC35" s="66"/>
      <c r="HD35" s="66"/>
      <c r="HE35" s="66"/>
      <c r="HF35" s="66"/>
      <c r="HG35" s="66"/>
      <c r="HH35" s="66"/>
      <c r="HI35" s="66"/>
      <c r="HJ35" s="66"/>
      <c r="HK35" s="66"/>
      <c r="HL35" s="66"/>
      <c r="HM35" s="66"/>
      <c r="HN35" s="66"/>
      <c r="HO35" s="66"/>
      <c r="HP35" s="66"/>
      <c r="HQ35" s="66"/>
      <c r="HR35" s="66"/>
      <c r="HS35" s="66"/>
      <c r="HT35" s="66"/>
      <c r="HU35" s="66"/>
      <c r="HV35" s="66"/>
      <c r="HW35" s="66"/>
      <c r="HX35" s="66"/>
      <c r="HY35" s="66"/>
      <c r="HZ35" s="66"/>
      <c r="IA35" s="66"/>
      <c r="IB35" s="66"/>
      <c r="IC35" s="66"/>
      <c r="ID35" s="66"/>
      <c r="IE35" s="66"/>
      <c r="IF35" s="66"/>
      <c r="IG35" s="66"/>
      <c r="IH35" s="66"/>
      <c r="II35" s="66"/>
      <c r="IJ35" s="66"/>
      <c r="IK35" s="66"/>
      <c r="IL35" s="66"/>
      <c r="IM35" s="66"/>
      <c r="IN35" s="66"/>
      <c r="IO35" s="66"/>
      <c r="IP35" s="66"/>
      <c r="IQ35" s="66"/>
      <c r="IR35" s="66"/>
      <c r="IS35" s="66"/>
      <c r="IT35" s="66"/>
      <c r="IU35" s="66"/>
      <c r="IV35" s="66"/>
    </row>
    <row r="36" s="61" customFormat="1" customHeight="1" spans="1:256">
      <c r="A36" s="60"/>
      <c r="B36" s="62"/>
      <c r="C36" s="74">
        <v>42367</v>
      </c>
      <c r="D36" s="96">
        <v>159920</v>
      </c>
      <c r="E36" s="76" t="s">
        <v>74</v>
      </c>
      <c r="F36" s="76" t="s">
        <v>17</v>
      </c>
      <c r="G36" s="97">
        <v>1.12</v>
      </c>
      <c r="H36" s="76" t="s">
        <v>115</v>
      </c>
      <c r="I36" s="108">
        <v>1</v>
      </c>
      <c r="J36" s="109"/>
      <c r="K36" s="62"/>
      <c r="L36" s="60"/>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66"/>
      <c r="AU36" s="66"/>
      <c r="AV36" s="66"/>
      <c r="AW36" s="66"/>
      <c r="AX36" s="66"/>
      <c r="AY36" s="66"/>
      <c r="AZ36" s="66"/>
      <c r="BA36" s="66"/>
      <c r="BB36" s="66"/>
      <c r="BC36" s="66"/>
      <c r="BD36" s="66"/>
      <c r="BE36" s="66"/>
      <c r="BF36" s="66"/>
      <c r="BG36" s="66"/>
      <c r="BH36" s="66"/>
      <c r="BI36" s="66"/>
      <c r="BJ36" s="66"/>
      <c r="BK36" s="66"/>
      <c r="BL36" s="66"/>
      <c r="BM36" s="66"/>
      <c r="BN36" s="66"/>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6"/>
      <c r="CV36" s="66"/>
      <c r="CW36" s="66"/>
      <c r="CX36" s="66"/>
      <c r="CY36" s="66"/>
      <c r="CZ36" s="66"/>
      <c r="DA36" s="66"/>
      <c r="DB36" s="66"/>
      <c r="DC36" s="66"/>
      <c r="DD36" s="66"/>
      <c r="DE36" s="66"/>
      <c r="DF36" s="66"/>
      <c r="DG36" s="66"/>
      <c r="DH36" s="66"/>
      <c r="DI36" s="66"/>
      <c r="DJ36" s="66"/>
      <c r="DK36" s="66"/>
      <c r="DL36" s="66"/>
      <c r="DM36" s="66"/>
      <c r="DN36" s="66"/>
      <c r="DO36" s="66"/>
      <c r="DP36" s="66"/>
      <c r="DQ36" s="66"/>
      <c r="DR36" s="66"/>
      <c r="DS36" s="66"/>
      <c r="DT36" s="66"/>
      <c r="DU36" s="66"/>
      <c r="DV36" s="66"/>
      <c r="DW36" s="66"/>
      <c r="DX36" s="66"/>
      <c r="DY36" s="66"/>
      <c r="DZ36" s="66"/>
      <c r="EA36" s="66"/>
      <c r="EB36" s="66"/>
      <c r="EC36" s="66"/>
      <c r="ED36" s="66"/>
      <c r="EE36" s="66"/>
      <c r="EF36" s="66"/>
      <c r="EG36" s="66"/>
      <c r="EH36" s="66"/>
      <c r="EI36" s="66"/>
      <c r="EJ36" s="66"/>
      <c r="EK36" s="66"/>
      <c r="EL36" s="66"/>
      <c r="EM36" s="66"/>
      <c r="EN36" s="66"/>
      <c r="EO36" s="66"/>
      <c r="EP36" s="66"/>
      <c r="EQ36" s="66"/>
      <c r="ER36" s="66"/>
      <c r="ES36" s="66"/>
      <c r="ET36" s="66"/>
      <c r="EU36" s="66"/>
      <c r="EV36" s="66"/>
      <c r="EW36" s="66"/>
      <c r="EX36" s="66"/>
      <c r="EY36" s="66"/>
      <c r="EZ36" s="66"/>
      <c r="FA36" s="66"/>
      <c r="FB36" s="66"/>
      <c r="FC36" s="66"/>
      <c r="FD36" s="66"/>
      <c r="FE36" s="66"/>
      <c r="FF36" s="66"/>
      <c r="FG36" s="66"/>
      <c r="FH36" s="66"/>
      <c r="FI36" s="66"/>
      <c r="FJ36" s="66"/>
      <c r="FK36" s="66"/>
      <c r="FL36" s="66"/>
      <c r="FM36" s="66"/>
      <c r="FN36" s="66"/>
      <c r="FO36" s="66"/>
      <c r="FP36" s="66"/>
      <c r="FQ36" s="66"/>
      <c r="FR36" s="66"/>
      <c r="FS36" s="66"/>
      <c r="FT36" s="66"/>
      <c r="FU36" s="66"/>
      <c r="FV36" s="66"/>
      <c r="FW36" s="66"/>
      <c r="FX36" s="66"/>
      <c r="FY36" s="66"/>
      <c r="FZ36" s="66"/>
      <c r="GA36" s="66"/>
      <c r="GB36" s="66"/>
      <c r="GC36" s="66"/>
      <c r="GD36" s="66"/>
      <c r="GE36" s="66"/>
      <c r="GF36" s="66"/>
      <c r="GG36" s="66"/>
      <c r="GH36" s="66"/>
      <c r="GI36" s="66"/>
      <c r="GJ36" s="66"/>
      <c r="GK36" s="66"/>
      <c r="GL36" s="66"/>
      <c r="GM36" s="66"/>
      <c r="GN36" s="66"/>
      <c r="GO36" s="66"/>
      <c r="GP36" s="66"/>
      <c r="GQ36" s="66"/>
      <c r="GR36" s="66"/>
      <c r="GS36" s="66"/>
      <c r="GT36" s="66"/>
      <c r="GU36" s="66"/>
      <c r="GV36" s="66"/>
      <c r="GW36" s="66"/>
      <c r="GX36" s="66"/>
      <c r="GY36" s="66"/>
      <c r="GZ36" s="66"/>
      <c r="HA36" s="66"/>
      <c r="HB36" s="66"/>
      <c r="HC36" s="66"/>
      <c r="HD36" s="66"/>
      <c r="HE36" s="66"/>
      <c r="HF36" s="66"/>
      <c r="HG36" s="66"/>
      <c r="HH36" s="66"/>
      <c r="HI36" s="66"/>
      <c r="HJ36" s="66"/>
      <c r="HK36" s="66"/>
      <c r="HL36" s="66"/>
      <c r="HM36" s="66"/>
      <c r="HN36" s="66"/>
      <c r="HO36" s="66"/>
      <c r="HP36" s="66"/>
      <c r="HQ36" s="66"/>
      <c r="HR36" s="66"/>
      <c r="HS36" s="66"/>
      <c r="HT36" s="66"/>
      <c r="HU36" s="66"/>
      <c r="HV36" s="66"/>
      <c r="HW36" s="66"/>
      <c r="HX36" s="66"/>
      <c r="HY36" s="66"/>
      <c r="HZ36" s="66"/>
      <c r="IA36" s="66"/>
      <c r="IB36" s="66"/>
      <c r="IC36" s="66"/>
      <c r="ID36" s="66"/>
      <c r="IE36" s="66"/>
      <c r="IF36" s="66"/>
      <c r="IG36" s="66"/>
      <c r="IH36" s="66"/>
      <c r="II36" s="66"/>
      <c r="IJ36" s="66"/>
      <c r="IK36" s="66"/>
      <c r="IL36" s="66"/>
      <c r="IM36" s="66"/>
      <c r="IN36" s="66"/>
      <c r="IO36" s="66"/>
      <c r="IP36" s="66"/>
      <c r="IQ36" s="66"/>
      <c r="IR36" s="66"/>
      <c r="IS36" s="66"/>
      <c r="IT36" s="66"/>
      <c r="IU36" s="66"/>
      <c r="IV36" s="66"/>
    </row>
    <row r="37" s="61" customFormat="1" customHeight="1" spans="1:256">
      <c r="A37" s="60"/>
      <c r="B37" s="62"/>
      <c r="C37" s="74">
        <v>42338</v>
      </c>
      <c r="D37" s="96">
        <v>159920</v>
      </c>
      <c r="E37" s="76" t="s">
        <v>74</v>
      </c>
      <c r="F37" s="76" t="s">
        <v>17</v>
      </c>
      <c r="G37" s="97">
        <v>1.1105</v>
      </c>
      <c r="H37" s="76" t="s">
        <v>116</v>
      </c>
      <c r="I37" s="108">
        <v>1</v>
      </c>
      <c r="J37" s="109"/>
      <c r="K37" s="62"/>
      <c r="L37" s="60"/>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6"/>
      <c r="AU37" s="66"/>
      <c r="AV37" s="66"/>
      <c r="AW37" s="66"/>
      <c r="AX37" s="66"/>
      <c r="AY37" s="66"/>
      <c r="AZ37" s="66"/>
      <c r="BA37" s="66"/>
      <c r="BB37" s="66"/>
      <c r="BC37" s="66"/>
      <c r="BD37" s="66"/>
      <c r="BE37" s="66"/>
      <c r="BF37" s="66"/>
      <c r="BG37" s="66"/>
      <c r="BH37" s="66"/>
      <c r="BI37" s="66"/>
      <c r="BJ37" s="66"/>
      <c r="BK37" s="66"/>
      <c r="BL37" s="66"/>
      <c r="BM37" s="66"/>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6"/>
      <c r="CV37" s="66"/>
      <c r="CW37" s="66"/>
      <c r="CX37" s="66"/>
      <c r="CY37" s="66"/>
      <c r="CZ37" s="66"/>
      <c r="DA37" s="66"/>
      <c r="DB37" s="66"/>
      <c r="DC37" s="66"/>
      <c r="DD37" s="66"/>
      <c r="DE37" s="66"/>
      <c r="DF37" s="66"/>
      <c r="DG37" s="66"/>
      <c r="DH37" s="66"/>
      <c r="DI37" s="66"/>
      <c r="DJ37" s="66"/>
      <c r="DK37" s="66"/>
      <c r="DL37" s="66"/>
      <c r="DM37" s="66"/>
      <c r="DN37" s="66"/>
      <c r="DO37" s="66"/>
      <c r="DP37" s="66"/>
      <c r="DQ37" s="66"/>
      <c r="DR37" s="66"/>
      <c r="DS37" s="66"/>
      <c r="DT37" s="66"/>
      <c r="DU37" s="66"/>
      <c r="DV37" s="66"/>
      <c r="DW37" s="66"/>
      <c r="DX37" s="66"/>
      <c r="DY37" s="66"/>
      <c r="DZ37" s="66"/>
      <c r="EA37" s="66"/>
      <c r="EB37" s="66"/>
      <c r="EC37" s="66"/>
      <c r="ED37" s="66"/>
      <c r="EE37" s="66"/>
      <c r="EF37" s="66"/>
      <c r="EG37" s="66"/>
      <c r="EH37" s="66"/>
      <c r="EI37" s="66"/>
      <c r="EJ37" s="66"/>
      <c r="EK37" s="66"/>
      <c r="EL37" s="66"/>
      <c r="EM37" s="66"/>
      <c r="EN37" s="66"/>
      <c r="EO37" s="66"/>
      <c r="EP37" s="66"/>
      <c r="EQ37" s="66"/>
      <c r="ER37" s="66"/>
      <c r="ES37" s="66"/>
      <c r="ET37" s="66"/>
      <c r="EU37" s="66"/>
      <c r="EV37" s="66"/>
      <c r="EW37" s="66"/>
      <c r="EX37" s="66"/>
      <c r="EY37" s="66"/>
      <c r="EZ37" s="66"/>
      <c r="FA37" s="66"/>
      <c r="FB37" s="66"/>
      <c r="FC37" s="66"/>
      <c r="FD37" s="66"/>
      <c r="FE37" s="66"/>
      <c r="FF37" s="66"/>
      <c r="FG37" s="66"/>
      <c r="FH37" s="66"/>
      <c r="FI37" s="66"/>
      <c r="FJ37" s="66"/>
      <c r="FK37" s="66"/>
      <c r="FL37" s="66"/>
      <c r="FM37" s="66"/>
      <c r="FN37" s="66"/>
      <c r="FO37" s="66"/>
      <c r="FP37" s="66"/>
      <c r="FQ37" s="66"/>
      <c r="FR37" s="66"/>
      <c r="FS37" s="66"/>
      <c r="FT37" s="66"/>
      <c r="FU37" s="66"/>
      <c r="FV37" s="66"/>
      <c r="FW37" s="66"/>
      <c r="FX37" s="66"/>
      <c r="FY37" s="66"/>
      <c r="FZ37" s="66"/>
      <c r="GA37" s="66"/>
      <c r="GB37" s="66"/>
      <c r="GC37" s="66"/>
      <c r="GD37" s="66"/>
      <c r="GE37" s="66"/>
      <c r="GF37" s="66"/>
      <c r="GG37" s="66"/>
      <c r="GH37" s="66"/>
      <c r="GI37" s="66"/>
      <c r="GJ37" s="66"/>
      <c r="GK37" s="66"/>
      <c r="GL37" s="66"/>
      <c r="GM37" s="66"/>
      <c r="GN37" s="66"/>
      <c r="GO37" s="66"/>
      <c r="GP37" s="66"/>
      <c r="GQ37" s="66"/>
      <c r="GR37" s="66"/>
      <c r="GS37" s="66"/>
      <c r="GT37" s="66"/>
      <c r="GU37" s="66"/>
      <c r="GV37" s="66"/>
      <c r="GW37" s="66"/>
      <c r="GX37" s="66"/>
      <c r="GY37" s="66"/>
      <c r="GZ37" s="66"/>
      <c r="HA37" s="66"/>
      <c r="HB37" s="66"/>
      <c r="HC37" s="66"/>
      <c r="HD37" s="66"/>
      <c r="HE37" s="66"/>
      <c r="HF37" s="66"/>
      <c r="HG37" s="66"/>
      <c r="HH37" s="66"/>
      <c r="HI37" s="66"/>
      <c r="HJ37" s="66"/>
      <c r="HK37" s="66"/>
      <c r="HL37" s="66"/>
      <c r="HM37" s="66"/>
      <c r="HN37" s="66"/>
      <c r="HO37" s="66"/>
      <c r="HP37" s="66"/>
      <c r="HQ37" s="66"/>
      <c r="HR37" s="66"/>
      <c r="HS37" s="66"/>
      <c r="HT37" s="66"/>
      <c r="HU37" s="66"/>
      <c r="HV37" s="66"/>
      <c r="HW37" s="66"/>
      <c r="HX37" s="66"/>
      <c r="HY37" s="66"/>
      <c r="HZ37" s="66"/>
      <c r="IA37" s="66"/>
      <c r="IB37" s="66"/>
      <c r="IC37" s="66"/>
      <c r="ID37" s="66"/>
      <c r="IE37" s="66"/>
      <c r="IF37" s="66"/>
      <c r="IG37" s="66"/>
      <c r="IH37" s="66"/>
      <c r="II37" s="66"/>
      <c r="IJ37" s="66"/>
      <c r="IK37" s="66"/>
      <c r="IL37" s="66"/>
      <c r="IM37" s="66"/>
      <c r="IN37" s="66"/>
      <c r="IO37" s="66"/>
      <c r="IP37" s="66"/>
      <c r="IQ37" s="66"/>
      <c r="IR37" s="66"/>
      <c r="IS37" s="66"/>
      <c r="IT37" s="66"/>
      <c r="IU37" s="66"/>
      <c r="IV37" s="66"/>
    </row>
    <row r="38" s="61" customFormat="1" customHeight="1" spans="1:256">
      <c r="A38" s="60"/>
      <c r="B38" s="62"/>
      <c r="C38" s="74">
        <v>42309</v>
      </c>
      <c r="D38" s="96">
        <v>159920</v>
      </c>
      <c r="E38" s="76" t="s">
        <v>74</v>
      </c>
      <c r="F38" s="76" t="s">
        <v>17</v>
      </c>
      <c r="G38" s="97">
        <v>1.13</v>
      </c>
      <c r="H38" s="76" t="s">
        <v>117</v>
      </c>
      <c r="I38" s="108">
        <v>1</v>
      </c>
      <c r="J38" s="109"/>
      <c r="K38" s="62"/>
      <c r="L38" s="60"/>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6"/>
      <c r="AU38" s="66"/>
      <c r="AV38" s="66"/>
      <c r="AW38" s="66"/>
      <c r="AX38" s="66"/>
      <c r="AY38" s="66"/>
      <c r="AZ38" s="66"/>
      <c r="BA38" s="66"/>
      <c r="BB38" s="66"/>
      <c r="BC38" s="66"/>
      <c r="BD38" s="66"/>
      <c r="BE38" s="66"/>
      <c r="BF38" s="66"/>
      <c r="BG38" s="66"/>
      <c r="BH38" s="66"/>
      <c r="BI38" s="66"/>
      <c r="BJ38" s="66"/>
      <c r="BK38" s="66"/>
      <c r="BL38" s="66"/>
      <c r="BM38" s="66"/>
      <c r="BN38" s="66"/>
      <c r="BO38" s="66"/>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66"/>
      <c r="CV38" s="66"/>
      <c r="CW38" s="66"/>
      <c r="CX38" s="66"/>
      <c r="CY38" s="66"/>
      <c r="CZ38" s="66"/>
      <c r="DA38" s="66"/>
      <c r="DB38" s="66"/>
      <c r="DC38" s="66"/>
      <c r="DD38" s="66"/>
      <c r="DE38" s="66"/>
      <c r="DF38" s="66"/>
      <c r="DG38" s="66"/>
      <c r="DH38" s="66"/>
      <c r="DI38" s="66"/>
      <c r="DJ38" s="66"/>
      <c r="DK38" s="66"/>
      <c r="DL38" s="66"/>
      <c r="DM38" s="66"/>
      <c r="DN38" s="66"/>
      <c r="DO38" s="66"/>
      <c r="DP38" s="66"/>
      <c r="DQ38" s="66"/>
      <c r="DR38" s="66"/>
      <c r="DS38" s="66"/>
      <c r="DT38" s="66"/>
      <c r="DU38" s="66"/>
      <c r="DV38" s="66"/>
      <c r="DW38" s="66"/>
      <c r="DX38" s="66"/>
      <c r="DY38" s="66"/>
      <c r="DZ38" s="66"/>
      <c r="EA38" s="66"/>
      <c r="EB38" s="66"/>
      <c r="EC38" s="66"/>
      <c r="ED38" s="66"/>
      <c r="EE38" s="66"/>
      <c r="EF38" s="66"/>
      <c r="EG38" s="66"/>
      <c r="EH38" s="66"/>
      <c r="EI38" s="66"/>
      <c r="EJ38" s="66"/>
      <c r="EK38" s="66"/>
      <c r="EL38" s="66"/>
      <c r="EM38" s="66"/>
      <c r="EN38" s="66"/>
      <c r="EO38" s="66"/>
      <c r="EP38" s="66"/>
      <c r="EQ38" s="66"/>
      <c r="ER38" s="66"/>
      <c r="ES38" s="66"/>
      <c r="ET38" s="66"/>
      <c r="EU38" s="66"/>
      <c r="EV38" s="66"/>
      <c r="EW38" s="66"/>
      <c r="EX38" s="66"/>
      <c r="EY38" s="66"/>
      <c r="EZ38" s="66"/>
      <c r="FA38" s="66"/>
      <c r="FB38" s="66"/>
      <c r="FC38" s="66"/>
      <c r="FD38" s="66"/>
      <c r="FE38" s="66"/>
      <c r="FF38" s="66"/>
      <c r="FG38" s="66"/>
      <c r="FH38" s="66"/>
      <c r="FI38" s="66"/>
      <c r="FJ38" s="66"/>
      <c r="FK38" s="66"/>
      <c r="FL38" s="66"/>
      <c r="FM38" s="66"/>
      <c r="FN38" s="66"/>
      <c r="FO38" s="66"/>
      <c r="FP38" s="66"/>
      <c r="FQ38" s="66"/>
      <c r="FR38" s="66"/>
      <c r="FS38" s="66"/>
      <c r="FT38" s="66"/>
      <c r="FU38" s="66"/>
      <c r="FV38" s="66"/>
      <c r="FW38" s="66"/>
      <c r="FX38" s="66"/>
      <c r="FY38" s="66"/>
      <c r="FZ38" s="66"/>
      <c r="GA38" s="66"/>
      <c r="GB38" s="66"/>
      <c r="GC38" s="66"/>
      <c r="GD38" s="66"/>
      <c r="GE38" s="66"/>
      <c r="GF38" s="66"/>
      <c r="GG38" s="66"/>
      <c r="GH38" s="66"/>
      <c r="GI38" s="66"/>
      <c r="GJ38" s="66"/>
      <c r="GK38" s="66"/>
      <c r="GL38" s="66"/>
      <c r="GM38" s="66"/>
      <c r="GN38" s="66"/>
      <c r="GO38" s="66"/>
      <c r="GP38" s="66"/>
      <c r="GQ38" s="66"/>
      <c r="GR38" s="66"/>
      <c r="GS38" s="66"/>
      <c r="GT38" s="66"/>
      <c r="GU38" s="66"/>
      <c r="GV38" s="66"/>
      <c r="GW38" s="66"/>
      <c r="GX38" s="66"/>
      <c r="GY38" s="66"/>
      <c r="GZ38" s="66"/>
      <c r="HA38" s="66"/>
      <c r="HB38" s="66"/>
      <c r="HC38" s="66"/>
      <c r="HD38" s="66"/>
      <c r="HE38" s="66"/>
      <c r="HF38" s="66"/>
      <c r="HG38" s="66"/>
      <c r="HH38" s="66"/>
      <c r="HI38" s="66"/>
      <c r="HJ38" s="66"/>
      <c r="HK38" s="66"/>
      <c r="HL38" s="66"/>
      <c r="HM38" s="66"/>
      <c r="HN38" s="66"/>
      <c r="HO38" s="66"/>
      <c r="HP38" s="66"/>
      <c r="HQ38" s="66"/>
      <c r="HR38" s="66"/>
      <c r="HS38" s="66"/>
      <c r="HT38" s="66"/>
      <c r="HU38" s="66"/>
      <c r="HV38" s="66"/>
      <c r="HW38" s="66"/>
      <c r="HX38" s="66"/>
      <c r="HY38" s="66"/>
      <c r="HZ38" s="66"/>
      <c r="IA38" s="66"/>
      <c r="IB38" s="66"/>
      <c r="IC38" s="66"/>
      <c r="ID38" s="66"/>
      <c r="IE38" s="66"/>
      <c r="IF38" s="66"/>
      <c r="IG38" s="66"/>
      <c r="IH38" s="66"/>
      <c r="II38" s="66"/>
      <c r="IJ38" s="66"/>
      <c r="IK38" s="66"/>
      <c r="IL38" s="66"/>
      <c r="IM38" s="66"/>
      <c r="IN38" s="66"/>
      <c r="IO38" s="66"/>
      <c r="IP38" s="66"/>
      <c r="IQ38" s="66"/>
      <c r="IR38" s="66"/>
      <c r="IS38" s="66"/>
      <c r="IT38" s="66"/>
      <c r="IU38" s="66"/>
      <c r="IV38" s="66"/>
    </row>
    <row r="39" s="61" customFormat="1" customHeight="1" spans="1:256">
      <c r="A39" s="60"/>
      <c r="B39" s="62"/>
      <c r="C39" s="74">
        <v>42283</v>
      </c>
      <c r="D39" s="96">
        <v>510050</v>
      </c>
      <c r="E39" s="76" t="s">
        <v>68</v>
      </c>
      <c r="F39" s="76" t="s">
        <v>17</v>
      </c>
      <c r="G39" s="97">
        <v>2.15</v>
      </c>
      <c r="H39" s="76" t="s">
        <v>118</v>
      </c>
      <c r="I39" s="108">
        <v>1</v>
      </c>
      <c r="J39" s="109"/>
      <c r="K39" s="62"/>
      <c r="L39" s="60"/>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6"/>
      <c r="AU39" s="66"/>
      <c r="AV39" s="66"/>
      <c r="AW39" s="66"/>
      <c r="AX39" s="66"/>
      <c r="AY39" s="66"/>
      <c r="AZ39" s="66"/>
      <c r="BA39" s="66"/>
      <c r="BB39" s="66"/>
      <c r="BC39" s="66"/>
      <c r="BD39" s="66"/>
      <c r="BE39" s="66"/>
      <c r="BF39" s="66"/>
      <c r="BG39" s="66"/>
      <c r="BH39" s="66"/>
      <c r="BI39" s="66"/>
      <c r="BJ39" s="66"/>
      <c r="BK39" s="66"/>
      <c r="BL39" s="66"/>
      <c r="BM39" s="66"/>
      <c r="BN39" s="66"/>
      <c r="BO39" s="66"/>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66"/>
      <c r="CV39" s="66"/>
      <c r="CW39" s="66"/>
      <c r="CX39" s="66"/>
      <c r="CY39" s="66"/>
      <c r="CZ39" s="66"/>
      <c r="DA39" s="66"/>
      <c r="DB39" s="66"/>
      <c r="DC39" s="66"/>
      <c r="DD39" s="66"/>
      <c r="DE39" s="66"/>
      <c r="DF39" s="66"/>
      <c r="DG39" s="66"/>
      <c r="DH39" s="66"/>
      <c r="DI39" s="66"/>
      <c r="DJ39" s="66"/>
      <c r="DK39" s="66"/>
      <c r="DL39" s="66"/>
      <c r="DM39" s="66"/>
      <c r="DN39" s="66"/>
      <c r="DO39" s="66"/>
      <c r="DP39" s="66"/>
      <c r="DQ39" s="66"/>
      <c r="DR39" s="66"/>
      <c r="DS39" s="66"/>
      <c r="DT39" s="66"/>
      <c r="DU39" s="66"/>
      <c r="DV39" s="66"/>
      <c r="DW39" s="66"/>
      <c r="DX39" s="66"/>
      <c r="DY39" s="66"/>
      <c r="DZ39" s="66"/>
      <c r="EA39" s="66"/>
      <c r="EB39" s="66"/>
      <c r="EC39" s="66"/>
      <c r="ED39" s="66"/>
      <c r="EE39" s="66"/>
      <c r="EF39" s="66"/>
      <c r="EG39" s="66"/>
      <c r="EH39" s="66"/>
      <c r="EI39" s="66"/>
      <c r="EJ39" s="66"/>
      <c r="EK39" s="66"/>
      <c r="EL39" s="66"/>
      <c r="EM39" s="66"/>
      <c r="EN39" s="66"/>
      <c r="EO39" s="66"/>
      <c r="EP39" s="66"/>
      <c r="EQ39" s="66"/>
      <c r="ER39" s="66"/>
      <c r="ES39" s="66"/>
      <c r="ET39" s="66"/>
      <c r="EU39" s="66"/>
      <c r="EV39" s="66"/>
      <c r="EW39" s="66"/>
      <c r="EX39" s="66"/>
      <c r="EY39" s="66"/>
      <c r="EZ39" s="66"/>
      <c r="FA39" s="66"/>
      <c r="FB39" s="66"/>
      <c r="FC39" s="66"/>
      <c r="FD39" s="66"/>
      <c r="FE39" s="66"/>
      <c r="FF39" s="66"/>
      <c r="FG39" s="66"/>
      <c r="FH39" s="66"/>
      <c r="FI39" s="66"/>
      <c r="FJ39" s="66"/>
      <c r="FK39" s="66"/>
      <c r="FL39" s="66"/>
      <c r="FM39" s="66"/>
      <c r="FN39" s="66"/>
      <c r="FO39" s="66"/>
      <c r="FP39" s="66"/>
      <c r="FQ39" s="66"/>
      <c r="FR39" s="66"/>
      <c r="FS39" s="66"/>
      <c r="FT39" s="66"/>
      <c r="FU39" s="66"/>
      <c r="FV39" s="66"/>
      <c r="FW39" s="66"/>
      <c r="FX39" s="66"/>
      <c r="FY39" s="66"/>
      <c r="FZ39" s="66"/>
      <c r="GA39" s="66"/>
      <c r="GB39" s="66"/>
      <c r="GC39" s="66"/>
      <c r="GD39" s="66"/>
      <c r="GE39" s="66"/>
      <c r="GF39" s="66"/>
      <c r="GG39" s="66"/>
      <c r="GH39" s="66"/>
      <c r="GI39" s="66"/>
      <c r="GJ39" s="66"/>
      <c r="GK39" s="66"/>
      <c r="GL39" s="66"/>
      <c r="GM39" s="66"/>
      <c r="GN39" s="66"/>
      <c r="GO39" s="66"/>
      <c r="GP39" s="66"/>
      <c r="GQ39" s="66"/>
      <c r="GR39" s="66"/>
      <c r="GS39" s="66"/>
      <c r="GT39" s="66"/>
      <c r="GU39" s="66"/>
      <c r="GV39" s="66"/>
      <c r="GW39" s="66"/>
      <c r="GX39" s="66"/>
      <c r="GY39" s="66"/>
      <c r="GZ39" s="66"/>
      <c r="HA39" s="66"/>
      <c r="HB39" s="66"/>
      <c r="HC39" s="66"/>
      <c r="HD39" s="66"/>
      <c r="HE39" s="66"/>
      <c r="HF39" s="66"/>
      <c r="HG39" s="66"/>
      <c r="HH39" s="66"/>
      <c r="HI39" s="66"/>
      <c r="HJ39" s="66"/>
      <c r="HK39" s="66"/>
      <c r="HL39" s="66"/>
      <c r="HM39" s="66"/>
      <c r="HN39" s="66"/>
      <c r="HO39" s="66"/>
      <c r="HP39" s="66"/>
      <c r="HQ39" s="66"/>
      <c r="HR39" s="66"/>
      <c r="HS39" s="66"/>
      <c r="HT39" s="66"/>
      <c r="HU39" s="66"/>
      <c r="HV39" s="66"/>
      <c r="HW39" s="66"/>
      <c r="HX39" s="66"/>
      <c r="HY39" s="66"/>
      <c r="HZ39" s="66"/>
      <c r="IA39" s="66"/>
      <c r="IB39" s="66"/>
      <c r="IC39" s="66"/>
      <c r="ID39" s="66"/>
      <c r="IE39" s="66"/>
      <c r="IF39" s="66"/>
      <c r="IG39" s="66"/>
      <c r="IH39" s="66"/>
      <c r="II39" s="66"/>
      <c r="IJ39" s="66"/>
      <c r="IK39" s="66"/>
      <c r="IL39" s="66"/>
      <c r="IM39" s="66"/>
      <c r="IN39" s="66"/>
      <c r="IO39" s="66"/>
      <c r="IP39" s="66"/>
      <c r="IQ39" s="66"/>
      <c r="IR39" s="66"/>
      <c r="IS39" s="66"/>
      <c r="IT39" s="66"/>
      <c r="IU39" s="66"/>
      <c r="IV39" s="66"/>
    </row>
    <row r="40" s="61" customFormat="1" customHeight="1" spans="1:256">
      <c r="A40" s="60"/>
      <c r="B40" s="62"/>
      <c r="C40" s="74">
        <v>42283</v>
      </c>
      <c r="D40" s="96">
        <v>159920</v>
      </c>
      <c r="E40" s="76" t="s">
        <v>74</v>
      </c>
      <c r="F40" s="76" t="s">
        <v>17</v>
      </c>
      <c r="G40" s="97">
        <v>1.04</v>
      </c>
      <c r="H40" s="76" t="s">
        <v>119</v>
      </c>
      <c r="I40" s="108">
        <v>1</v>
      </c>
      <c r="J40" s="109"/>
      <c r="K40" s="62"/>
      <c r="L40" s="60"/>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6"/>
      <c r="AU40" s="66"/>
      <c r="AV40" s="66"/>
      <c r="AW40" s="66"/>
      <c r="AX40" s="66"/>
      <c r="AY40" s="66"/>
      <c r="AZ40" s="66"/>
      <c r="BA40" s="66"/>
      <c r="BB40" s="66"/>
      <c r="BC40" s="66"/>
      <c r="BD40" s="66"/>
      <c r="BE40" s="66"/>
      <c r="BF40" s="66"/>
      <c r="BG40" s="66"/>
      <c r="BH40" s="66"/>
      <c r="BI40" s="66"/>
      <c r="BJ40" s="66"/>
      <c r="BK40" s="66"/>
      <c r="BL40" s="66"/>
      <c r="BM40" s="66"/>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6"/>
      <c r="CV40" s="66"/>
      <c r="CW40" s="66"/>
      <c r="CX40" s="66"/>
      <c r="CY40" s="66"/>
      <c r="CZ40" s="66"/>
      <c r="DA40" s="66"/>
      <c r="DB40" s="66"/>
      <c r="DC40" s="66"/>
      <c r="DD40" s="66"/>
      <c r="DE40" s="66"/>
      <c r="DF40" s="66"/>
      <c r="DG40" s="66"/>
      <c r="DH40" s="66"/>
      <c r="DI40" s="66"/>
      <c r="DJ40" s="66"/>
      <c r="DK40" s="66"/>
      <c r="DL40" s="66"/>
      <c r="DM40" s="66"/>
      <c r="DN40" s="66"/>
      <c r="DO40" s="66"/>
      <c r="DP40" s="66"/>
      <c r="DQ40" s="66"/>
      <c r="DR40" s="66"/>
      <c r="DS40" s="66"/>
      <c r="DT40" s="66"/>
      <c r="DU40" s="66"/>
      <c r="DV40" s="66"/>
      <c r="DW40" s="66"/>
      <c r="DX40" s="66"/>
      <c r="DY40" s="66"/>
      <c r="DZ40" s="66"/>
      <c r="EA40" s="66"/>
      <c r="EB40" s="66"/>
      <c r="EC40" s="66"/>
      <c r="ED40" s="66"/>
      <c r="EE40" s="66"/>
      <c r="EF40" s="66"/>
      <c r="EG40" s="66"/>
      <c r="EH40" s="66"/>
      <c r="EI40" s="66"/>
      <c r="EJ40" s="66"/>
      <c r="EK40" s="66"/>
      <c r="EL40" s="66"/>
      <c r="EM40" s="66"/>
      <c r="EN40" s="66"/>
      <c r="EO40" s="66"/>
      <c r="EP40" s="66"/>
      <c r="EQ40" s="66"/>
      <c r="ER40" s="66"/>
      <c r="ES40" s="66"/>
      <c r="ET40" s="66"/>
      <c r="EU40" s="66"/>
      <c r="EV40" s="66"/>
      <c r="EW40" s="66"/>
      <c r="EX40" s="66"/>
      <c r="EY40" s="66"/>
      <c r="EZ40" s="66"/>
      <c r="FA40" s="66"/>
      <c r="FB40" s="66"/>
      <c r="FC40" s="66"/>
      <c r="FD40" s="66"/>
      <c r="FE40" s="66"/>
      <c r="FF40" s="66"/>
      <c r="FG40" s="66"/>
      <c r="FH40" s="66"/>
      <c r="FI40" s="66"/>
      <c r="FJ40" s="66"/>
      <c r="FK40" s="66"/>
      <c r="FL40" s="66"/>
      <c r="FM40" s="66"/>
      <c r="FN40" s="66"/>
      <c r="FO40" s="66"/>
      <c r="FP40" s="66"/>
      <c r="FQ40" s="66"/>
      <c r="FR40" s="66"/>
      <c r="FS40" s="66"/>
      <c r="FT40" s="66"/>
      <c r="FU40" s="66"/>
      <c r="FV40" s="66"/>
      <c r="FW40" s="66"/>
      <c r="FX40" s="66"/>
      <c r="FY40" s="66"/>
      <c r="FZ40" s="66"/>
      <c r="GA40" s="66"/>
      <c r="GB40" s="66"/>
      <c r="GC40" s="66"/>
      <c r="GD40" s="66"/>
      <c r="GE40" s="66"/>
      <c r="GF40" s="66"/>
      <c r="GG40" s="66"/>
      <c r="GH40" s="66"/>
      <c r="GI40" s="66"/>
      <c r="GJ40" s="66"/>
      <c r="GK40" s="66"/>
      <c r="GL40" s="66"/>
      <c r="GM40" s="66"/>
      <c r="GN40" s="66"/>
      <c r="GO40" s="66"/>
      <c r="GP40" s="66"/>
      <c r="GQ40" s="66"/>
      <c r="GR40" s="66"/>
      <c r="GS40" s="66"/>
      <c r="GT40" s="66"/>
      <c r="GU40" s="66"/>
      <c r="GV40" s="66"/>
      <c r="GW40" s="66"/>
      <c r="GX40" s="66"/>
      <c r="GY40" s="66"/>
      <c r="GZ40" s="66"/>
      <c r="HA40" s="66"/>
      <c r="HB40" s="66"/>
      <c r="HC40" s="66"/>
      <c r="HD40" s="66"/>
      <c r="HE40" s="66"/>
      <c r="HF40" s="66"/>
      <c r="HG40" s="66"/>
      <c r="HH40" s="66"/>
      <c r="HI40" s="66"/>
      <c r="HJ40" s="66"/>
      <c r="HK40" s="66"/>
      <c r="HL40" s="66"/>
      <c r="HM40" s="66"/>
      <c r="HN40" s="66"/>
      <c r="HO40" s="66"/>
      <c r="HP40" s="66"/>
      <c r="HQ40" s="66"/>
      <c r="HR40" s="66"/>
      <c r="HS40" s="66"/>
      <c r="HT40" s="66"/>
      <c r="HU40" s="66"/>
      <c r="HV40" s="66"/>
      <c r="HW40" s="66"/>
      <c r="HX40" s="66"/>
      <c r="HY40" s="66"/>
      <c r="HZ40" s="66"/>
      <c r="IA40" s="66"/>
      <c r="IB40" s="66"/>
      <c r="IC40" s="66"/>
      <c r="ID40" s="66"/>
      <c r="IE40" s="66"/>
      <c r="IF40" s="66"/>
      <c r="IG40" s="66"/>
      <c r="IH40" s="66"/>
      <c r="II40" s="66"/>
      <c r="IJ40" s="66"/>
      <c r="IK40" s="66"/>
      <c r="IL40" s="66"/>
      <c r="IM40" s="66"/>
      <c r="IN40" s="66"/>
      <c r="IO40" s="66"/>
      <c r="IP40" s="66"/>
      <c r="IQ40" s="66"/>
      <c r="IR40" s="66"/>
      <c r="IS40" s="66"/>
      <c r="IT40" s="66"/>
      <c r="IU40" s="66"/>
      <c r="IV40" s="66"/>
    </row>
    <row r="41" hidden="1" customHeight="1" spans="3:10">
      <c r="C41" s="82">
        <v>42760</v>
      </c>
      <c r="D41" s="83">
        <v>100032</v>
      </c>
      <c r="E41" s="84" t="s">
        <v>55</v>
      </c>
      <c r="F41" s="85" t="s">
        <v>12</v>
      </c>
      <c r="G41" s="86">
        <v>1.107</v>
      </c>
      <c r="H41" s="84"/>
      <c r="I41" s="102">
        <v>1</v>
      </c>
      <c r="J41" s="110" t="s">
        <v>32</v>
      </c>
    </row>
    <row r="42" s="61" customFormat="1" customHeight="1" spans="1:256">
      <c r="A42" s="60"/>
      <c r="B42" s="62"/>
      <c r="C42" s="91">
        <v>42283</v>
      </c>
      <c r="D42" s="92">
        <v>160416</v>
      </c>
      <c r="E42" s="93" t="s">
        <v>76</v>
      </c>
      <c r="F42" s="93" t="s">
        <v>17</v>
      </c>
      <c r="G42" s="95">
        <v>0.78</v>
      </c>
      <c r="H42" s="93" t="s">
        <v>120</v>
      </c>
      <c r="I42" s="106">
        <v>1</v>
      </c>
      <c r="J42" s="107"/>
      <c r="K42" s="62"/>
      <c r="L42" s="60"/>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66"/>
      <c r="AU42" s="66"/>
      <c r="AV42" s="66"/>
      <c r="AW42" s="66"/>
      <c r="AX42" s="66"/>
      <c r="AY42" s="66"/>
      <c r="AZ42" s="66"/>
      <c r="BA42" s="66"/>
      <c r="BB42" s="66"/>
      <c r="BC42" s="66"/>
      <c r="BD42" s="66"/>
      <c r="BE42" s="66"/>
      <c r="BF42" s="66"/>
      <c r="BG42" s="66"/>
      <c r="BH42" s="66"/>
      <c r="BI42" s="66"/>
      <c r="BJ42" s="66"/>
      <c r="BK42" s="66"/>
      <c r="BL42" s="66"/>
      <c r="BM42" s="66"/>
      <c r="BN42" s="66"/>
      <c r="BO42" s="66"/>
      <c r="BP42" s="66"/>
      <c r="BQ42" s="66"/>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66"/>
      <c r="CV42" s="66"/>
      <c r="CW42" s="66"/>
      <c r="CX42" s="66"/>
      <c r="CY42" s="66"/>
      <c r="CZ42" s="66"/>
      <c r="DA42" s="66"/>
      <c r="DB42" s="66"/>
      <c r="DC42" s="66"/>
      <c r="DD42" s="66"/>
      <c r="DE42" s="66"/>
      <c r="DF42" s="66"/>
      <c r="DG42" s="66"/>
      <c r="DH42" s="66"/>
      <c r="DI42" s="66"/>
      <c r="DJ42" s="66"/>
      <c r="DK42" s="66"/>
      <c r="DL42" s="66"/>
      <c r="DM42" s="66"/>
      <c r="DN42" s="66"/>
      <c r="DO42" s="66"/>
      <c r="DP42" s="66"/>
      <c r="DQ42" s="66"/>
      <c r="DR42" s="66"/>
      <c r="DS42" s="66"/>
      <c r="DT42" s="66"/>
      <c r="DU42" s="66"/>
      <c r="DV42" s="66"/>
      <c r="DW42" s="66"/>
      <c r="DX42" s="66"/>
      <c r="DY42" s="66"/>
      <c r="DZ42" s="66"/>
      <c r="EA42" s="66"/>
      <c r="EB42" s="66"/>
      <c r="EC42" s="66"/>
      <c r="ED42" s="66"/>
      <c r="EE42" s="66"/>
      <c r="EF42" s="66"/>
      <c r="EG42" s="66"/>
      <c r="EH42" s="66"/>
      <c r="EI42" s="66"/>
      <c r="EJ42" s="66"/>
      <c r="EK42" s="66"/>
      <c r="EL42" s="66"/>
      <c r="EM42" s="66"/>
      <c r="EN42" s="66"/>
      <c r="EO42" s="66"/>
      <c r="EP42" s="66"/>
      <c r="EQ42" s="66"/>
      <c r="ER42" s="66"/>
      <c r="ES42" s="66"/>
      <c r="ET42" s="66"/>
      <c r="EU42" s="66"/>
      <c r="EV42" s="66"/>
      <c r="EW42" s="66"/>
      <c r="EX42" s="66"/>
      <c r="EY42" s="66"/>
      <c r="EZ42" s="66"/>
      <c r="FA42" s="66"/>
      <c r="FB42" s="66"/>
      <c r="FC42" s="66"/>
      <c r="FD42" s="66"/>
      <c r="FE42" s="66"/>
      <c r="FF42" s="66"/>
      <c r="FG42" s="66"/>
      <c r="FH42" s="66"/>
      <c r="FI42" s="66"/>
      <c r="FJ42" s="66"/>
      <c r="FK42" s="66"/>
      <c r="FL42" s="66"/>
      <c r="FM42" s="66"/>
      <c r="FN42" s="66"/>
      <c r="FO42" s="66"/>
      <c r="FP42" s="66"/>
      <c r="FQ42" s="66"/>
      <c r="FR42" s="66"/>
      <c r="FS42" s="66"/>
      <c r="FT42" s="66"/>
      <c r="FU42" s="66"/>
      <c r="FV42" s="66"/>
      <c r="FW42" s="66"/>
      <c r="FX42" s="66"/>
      <c r="FY42" s="66"/>
      <c r="FZ42" s="66"/>
      <c r="GA42" s="66"/>
      <c r="GB42" s="66"/>
      <c r="GC42" s="66"/>
      <c r="GD42" s="66"/>
      <c r="GE42" s="66"/>
      <c r="GF42" s="66"/>
      <c r="GG42" s="66"/>
      <c r="GH42" s="66"/>
      <c r="GI42" s="66"/>
      <c r="GJ42" s="66"/>
      <c r="GK42" s="66"/>
      <c r="GL42" s="66"/>
      <c r="GM42" s="66"/>
      <c r="GN42" s="66"/>
      <c r="GO42" s="66"/>
      <c r="GP42" s="66"/>
      <c r="GQ42" s="66"/>
      <c r="GR42" s="66"/>
      <c r="GS42" s="66"/>
      <c r="GT42" s="66"/>
      <c r="GU42" s="66"/>
      <c r="GV42" s="66"/>
      <c r="GW42" s="66"/>
      <c r="GX42" s="66"/>
      <c r="GY42" s="66"/>
      <c r="GZ42" s="66"/>
      <c r="HA42" s="66"/>
      <c r="HB42" s="66"/>
      <c r="HC42" s="66"/>
      <c r="HD42" s="66"/>
      <c r="HE42" s="66"/>
      <c r="HF42" s="66"/>
      <c r="HG42" s="66"/>
      <c r="HH42" s="66"/>
      <c r="HI42" s="66"/>
      <c r="HJ42" s="66"/>
      <c r="HK42" s="66"/>
      <c r="HL42" s="66"/>
      <c r="HM42" s="66"/>
      <c r="HN42" s="66"/>
      <c r="HO42" s="66"/>
      <c r="HP42" s="66"/>
      <c r="HQ42" s="66"/>
      <c r="HR42" s="66"/>
      <c r="HS42" s="66"/>
      <c r="HT42" s="66"/>
      <c r="HU42" s="66"/>
      <c r="HV42" s="66"/>
      <c r="HW42" s="66"/>
      <c r="HX42" s="66"/>
      <c r="HY42" s="66"/>
      <c r="HZ42" s="66"/>
      <c r="IA42" s="66"/>
      <c r="IB42" s="66"/>
      <c r="IC42" s="66"/>
      <c r="ID42" s="66"/>
      <c r="IE42" s="66"/>
      <c r="IF42" s="66"/>
      <c r="IG42" s="66"/>
      <c r="IH42" s="66"/>
      <c r="II42" s="66"/>
      <c r="IJ42" s="66"/>
      <c r="IK42" s="66"/>
      <c r="IL42" s="66"/>
      <c r="IM42" s="66"/>
      <c r="IN42" s="66"/>
      <c r="IO42" s="66"/>
      <c r="IP42" s="66"/>
      <c r="IQ42" s="66"/>
      <c r="IR42" s="66"/>
      <c r="IS42" s="66"/>
      <c r="IT42" s="66"/>
      <c r="IU42" s="66"/>
      <c r="IV42" s="66"/>
    </row>
    <row r="43" s="61" customFormat="1" customHeight="1" spans="1:256">
      <c r="A43" s="60"/>
      <c r="B43" s="62"/>
      <c r="C43" s="74">
        <v>42247</v>
      </c>
      <c r="D43" s="96">
        <v>510050</v>
      </c>
      <c r="E43" s="76" t="s">
        <v>68</v>
      </c>
      <c r="F43" s="76" t="s">
        <v>17</v>
      </c>
      <c r="G43" s="97">
        <v>2.1</v>
      </c>
      <c r="H43" s="76" t="s">
        <v>121</v>
      </c>
      <c r="I43" s="108">
        <v>1</v>
      </c>
      <c r="J43" s="109"/>
      <c r="K43" s="62"/>
      <c r="L43" s="60"/>
      <c r="M43" s="66"/>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66"/>
      <c r="AU43" s="66"/>
      <c r="AV43" s="66"/>
      <c r="AW43" s="66"/>
      <c r="AX43" s="66"/>
      <c r="AY43" s="66"/>
      <c r="AZ43" s="66"/>
      <c r="BA43" s="66"/>
      <c r="BB43" s="66"/>
      <c r="BC43" s="66"/>
      <c r="BD43" s="66"/>
      <c r="BE43" s="66"/>
      <c r="BF43" s="66"/>
      <c r="BG43" s="66"/>
      <c r="BH43" s="66"/>
      <c r="BI43" s="66"/>
      <c r="BJ43" s="66"/>
      <c r="BK43" s="66"/>
      <c r="BL43" s="66"/>
      <c r="BM43" s="66"/>
      <c r="BN43" s="66"/>
      <c r="BO43" s="66"/>
      <c r="BP43" s="66"/>
      <c r="BQ43" s="66"/>
      <c r="BR43" s="66"/>
      <c r="BS43" s="66"/>
      <c r="BT43" s="66"/>
      <c r="BU43" s="66"/>
      <c r="BV43" s="66"/>
      <c r="BW43" s="66"/>
      <c r="BX43" s="66"/>
      <c r="BY43" s="66"/>
      <c r="BZ43" s="66"/>
      <c r="CA43" s="66"/>
      <c r="CB43" s="66"/>
      <c r="CC43" s="66"/>
      <c r="CD43" s="66"/>
      <c r="CE43" s="66"/>
      <c r="CF43" s="66"/>
      <c r="CG43" s="66"/>
      <c r="CH43" s="66"/>
      <c r="CI43" s="66"/>
      <c r="CJ43" s="66"/>
      <c r="CK43" s="66"/>
      <c r="CL43" s="66"/>
      <c r="CM43" s="66"/>
      <c r="CN43" s="66"/>
      <c r="CO43" s="66"/>
      <c r="CP43" s="66"/>
      <c r="CQ43" s="66"/>
      <c r="CR43" s="66"/>
      <c r="CS43" s="66"/>
      <c r="CT43" s="66"/>
      <c r="CU43" s="66"/>
      <c r="CV43" s="66"/>
      <c r="CW43" s="66"/>
      <c r="CX43" s="66"/>
      <c r="CY43" s="66"/>
      <c r="CZ43" s="66"/>
      <c r="DA43" s="66"/>
      <c r="DB43" s="66"/>
      <c r="DC43" s="66"/>
      <c r="DD43" s="66"/>
      <c r="DE43" s="66"/>
      <c r="DF43" s="66"/>
      <c r="DG43" s="66"/>
      <c r="DH43" s="66"/>
      <c r="DI43" s="66"/>
      <c r="DJ43" s="66"/>
      <c r="DK43" s="66"/>
      <c r="DL43" s="66"/>
      <c r="DM43" s="66"/>
      <c r="DN43" s="66"/>
      <c r="DO43" s="66"/>
      <c r="DP43" s="66"/>
      <c r="DQ43" s="66"/>
      <c r="DR43" s="66"/>
      <c r="DS43" s="66"/>
      <c r="DT43" s="66"/>
      <c r="DU43" s="66"/>
      <c r="DV43" s="66"/>
      <c r="DW43" s="66"/>
      <c r="DX43" s="66"/>
      <c r="DY43" s="66"/>
      <c r="DZ43" s="66"/>
      <c r="EA43" s="66"/>
      <c r="EB43" s="66"/>
      <c r="EC43" s="66"/>
      <c r="ED43" s="66"/>
      <c r="EE43" s="66"/>
      <c r="EF43" s="66"/>
      <c r="EG43" s="66"/>
      <c r="EH43" s="66"/>
      <c r="EI43" s="66"/>
      <c r="EJ43" s="66"/>
      <c r="EK43" s="66"/>
      <c r="EL43" s="66"/>
      <c r="EM43" s="66"/>
      <c r="EN43" s="66"/>
      <c r="EO43" s="66"/>
      <c r="EP43" s="66"/>
      <c r="EQ43" s="66"/>
      <c r="ER43" s="66"/>
      <c r="ES43" s="66"/>
      <c r="ET43" s="66"/>
      <c r="EU43" s="66"/>
      <c r="EV43" s="66"/>
      <c r="EW43" s="66"/>
      <c r="EX43" s="66"/>
      <c r="EY43" s="66"/>
      <c r="EZ43" s="66"/>
      <c r="FA43" s="66"/>
      <c r="FB43" s="66"/>
      <c r="FC43" s="66"/>
      <c r="FD43" s="66"/>
      <c r="FE43" s="66"/>
      <c r="FF43" s="66"/>
      <c r="FG43" s="66"/>
      <c r="FH43" s="66"/>
      <c r="FI43" s="66"/>
      <c r="FJ43" s="66"/>
      <c r="FK43" s="66"/>
      <c r="FL43" s="66"/>
      <c r="FM43" s="66"/>
      <c r="FN43" s="66"/>
      <c r="FO43" s="66"/>
      <c r="FP43" s="66"/>
      <c r="FQ43" s="66"/>
      <c r="FR43" s="66"/>
      <c r="FS43" s="66"/>
      <c r="FT43" s="66"/>
      <c r="FU43" s="66"/>
      <c r="FV43" s="66"/>
      <c r="FW43" s="66"/>
      <c r="FX43" s="66"/>
      <c r="FY43" s="66"/>
      <c r="FZ43" s="66"/>
      <c r="GA43" s="66"/>
      <c r="GB43" s="66"/>
      <c r="GC43" s="66"/>
      <c r="GD43" s="66"/>
      <c r="GE43" s="66"/>
      <c r="GF43" s="66"/>
      <c r="GG43" s="66"/>
      <c r="GH43" s="66"/>
      <c r="GI43" s="66"/>
      <c r="GJ43" s="66"/>
      <c r="GK43" s="66"/>
      <c r="GL43" s="66"/>
      <c r="GM43" s="66"/>
      <c r="GN43" s="66"/>
      <c r="GO43" s="66"/>
      <c r="GP43" s="66"/>
      <c r="GQ43" s="66"/>
      <c r="GR43" s="66"/>
      <c r="GS43" s="66"/>
      <c r="GT43" s="66"/>
      <c r="GU43" s="66"/>
      <c r="GV43" s="66"/>
      <c r="GW43" s="66"/>
      <c r="GX43" s="66"/>
      <c r="GY43" s="66"/>
      <c r="GZ43" s="66"/>
      <c r="HA43" s="66"/>
      <c r="HB43" s="66"/>
      <c r="HC43" s="66"/>
      <c r="HD43" s="66"/>
      <c r="HE43" s="66"/>
      <c r="HF43" s="66"/>
      <c r="HG43" s="66"/>
      <c r="HH43" s="66"/>
      <c r="HI43" s="66"/>
      <c r="HJ43" s="66"/>
      <c r="HK43" s="66"/>
      <c r="HL43" s="66"/>
      <c r="HM43" s="66"/>
      <c r="HN43" s="66"/>
      <c r="HO43" s="66"/>
      <c r="HP43" s="66"/>
      <c r="HQ43" s="66"/>
      <c r="HR43" s="66"/>
      <c r="HS43" s="66"/>
      <c r="HT43" s="66"/>
      <c r="HU43" s="66"/>
      <c r="HV43" s="66"/>
      <c r="HW43" s="66"/>
      <c r="HX43" s="66"/>
      <c r="HY43" s="66"/>
      <c r="HZ43" s="66"/>
      <c r="IA43" s="66"/>
      <c r="IB43" s="66"/>
      <c r="IC43" s="66"/>
      <c r="ID43" s="66"/>
      <c r="IE43" s="66"/>
      <c r="IF43" s="66"/>
      <c r="IG43" s="66"/>
      <c r="IH43" s="66"/>
      <c r="II43" s="66"/>
      <c r="IJ43" s="66"/>
      <c r="IK43" s="66"/>
      <c r="IL43" s="66"/>
      <c r="IM43" s="66"/>
      <c r="IN43" s="66"/>
      <c r="IO43" s="66"/>
      <c r="IP43" s="66"/>
      <c r="IQ43" s="66"/>
      <c r="IR43" s="66"/>
      <c r="IS43" s="66"/>
      <c r="IT43" s="66"/>
      <c r="IU43" s="66"/>
      <c r="IV43" s="66"/>
    </row>
    <row r="44" s="61" customFormat="1" customHeight="1" spans="1:256">
      <c r="A44" s="60"/>
      <c r="B44" s="62"/>
      <c r="C44" s="74">
        <v>42247</v>
      </c>
      <c r="D44" s="96">
        <v>159920</v>
      </c>
      <c r="E44" s="76" t="s">
        <v>74</v>
      </c>
      <c r="F44" s="76" t="s">
        <v>17</v>
      </c>
      <c r="G44" s="97">
        <v>1.06</v>
      </c>
      <c r="H44" s="76" t="s">
        <v>122</v>
      </c>
      <c r="I44" s="108">
        <v>1</v>
      </c>
      <c r="J44" s="109"/>
      <c r="K44" s="62"/>
      <c r="L44" s="60"/>
      <c r="M44" s="66"/>
      <c r="N44" s="6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6"/>
      <c r="AS44" s="66"/>
      <c r="AT44" s="66"/>
      <c r="AU44" s="66"/>
      <c r="AV44" s="66"/>
      <c r="AW44" s="66"/>
      <c r="AX44" s="66"/>
      <c r="AY44" s="66"/>
      <c r="AZ44" s="66"/>
      <c r="BA44" s="66"/>
      <c r="BB44" s="66"/>
      <c r="BC44" s="66"/>
      <c r="BD44" s="66"/>
      <c r="BE44" s="66"/>
      <c r="BF44" s="66"/>
      <c r="BG44" s="66"/>
      <c r="BH44" s="66"/>
      <c r="BI44" s="66"/>
      <c r="BJ44" s="66"/>
      <c r="BK44" s="66"/>
      <c r="BL44" s="66"/>
      <c r="BM44" s="66"/>
      <c r="BN44" s="66"/>
      <c r="BO44" s="66"/>
      <c r="BP44" s="66"/>
      <c r="BQ44" s="66"/>
      <c r="BR44" s="66"/>
      <c r="BS44" s="66"/>
      <c r="BT44" s="66"/>
      <c r="BU44" s="66"/>
      <c r="BV44" s="66"/>
      <c r="BW44" s="66"/>
      <c r="BX44" s="66"/>
      <c r="BY44" s="66"/>
      <c r="BZ44" s="66"/>
      <c r="CA44" s="66"/>
      <c r="CB44" s="66"/>
      <c r="CC44" s="66"/>
      <c r="CD44" s="66"/>
      <c r="CE44" s="66"/>
      <c r="CF44" s="66"/>
      <c r="CG44" s="66"/>
      <c r="CH44" s="66"/>
      <c r="CI44" s="66"/>
      <c r="CJ44" s="66"/>
      <c r="CK44" s="66"/>
      <c r="CL44" s="66"/>
      <c r="CM44" s="66"/>
      <c r="CN44" s="66"/>
      <c r="CO44" s="66"/>
      <c r="CP44" s="66"/>
      <c r="CQ44" s="66"/>
      <c r="CR44" s="66"/>
      <c r="CS44" s="66"/>
      <c r="CT44" s="66"/>
      <c r="CU44" s="66"/>
      <c r="CV44" s="66"/>
      <c r="CW44" s="66"/>
      <c r="CX44" s="66"/>
      <c r="CY44" s="66"/>
      <c r="CZ44" s="66"/>
      <c r="DA44" s="66"/>
      <c r="DB44" s="66"/>
      <c r="DC44" s="66"/>
      <c r="DD44" s="66"/>
      <c r="DE44" s="66"/>
      <c r="DF44" s="66"/>
      <c r="DG44" s="66"/>
      <c r="DH44" s="66"/>
      <c r="DI44" s="66"/>
      <c r="DJ44" s="66"/>
      <c r="DK44" s="66"/>
      <c r="DL44" s="66"/>
      <c r="DM44" s="66"/>
      <c r="DN44" s="66"/>
      <c r="DO44" s="66"/>
      <c r="DP44" s="66"/>
      <c r="DQ44" s="66"/>
      <c r="DR44" s="66"/>
      <c r="DS44" s="66"/>
      <c r="DT44" s="66"/>
      <c r="DU44" s="66"/>
      <c r="DV44" s="66"/>
      <c r="DW44" s="66"/>
      <c r="DX44" s="66"/>
      <c r="DY44" s="66"/>
      <c r="DZ44" s="66"/>
      <c r="EA44" s="66"/>
      <c r="EB44" s="66"/>
      <c r="EC44" s="66"/>
      <c r="ED44" s="66"/>
      <c r="EE44" s="66"/>
      <c r="EF44" s="66"/>
      <c r="EG44" s="66"/>
      <c r="EH44" s="66"/>
      <c r="EI44" s="66"/>
      <c r="EJ44" s="66"/>
      <c r="EK44" s="66"/>
      <c r="EL44" s="66"/>
      <c r="EM44" s="66"/>
      <c r="EN44" s="66"/>
      <c r="EO44" s="66"/>
      <c r="EP44" s="66"/>
      <c r="EQ44" s="66"/>
      <c r="ER44" s="66"/>
      <c r="ES44" s="66"/>
      <c r="ET44" s="66"/>
      <c r="EU44" s="66"/>
      <c r="EV44" s="66"/>
      <c r="EW44" s="66"/>
      <c r="EX44" s="66"/>
      <c r="EY44" s="66"/>
      <c r="EZ44" s="66"/>
      <c r="FA44" s="66"/>
      <c r="FB44" s="66"/>
      <c r="FC44" s="66"/>
      <c r="FD44" s="66"/>
      <c r="FE44" s="66"/>
      <c r="FF44" s="66"/>
      <c r="FG44" s="66"/>
      <c r="FH44" s="66"/>
      <c r="FI44" s="66"/>
      <c r="FJ44" s="66"/>
      <c r="FK44" s="66"/>
      <c r="FL44" s="66"/>
      <c r="FM44" s="66"/>
      <c r="FN44" s="66"/>
      <c r="FO44" s="66"/>
      <c r="FP44" s="66"/>
      <c r="FQ44" s="66"/>
      <c r="FR44" s="66"/>
      <c r="FS44" s="66"/>
      <c r="FT44" s="66"/>
      <c r="FU44" s="66"/>
      <c r="FV44" s="66"/>
      <c r="FW44" s="66"/>
      <c r="FX44" s="66"/>
      <c r="FY44" s="66"/>
      <c r="FZ44" s="66"/>
      <c r="GA44" s="66"/>
      <c r="GB44" s="66"/>
      <c r="GC44" s="66"/>
      <c r="GD44" s="66"/>
      <c r="GE44" s="66"/>
      <c r="GF44" s="66"/>
      <c r="GG44" s="66"/>
      <c r="GH44" s="66"/>
      <c r="GI44" s="66"/>
      <c r="GJ44" s="66"/>
      <c r="GK44" s="66"/>
      <c r="GL44" s="66"/>
      <c r="GM44" s="66"/>
      <c r="GN44" s="66"/>
      <c r="GO44" s="66"/>
      <c r="GP44" s="66"/>
      <c r="GQ44" s="66"/>
      <c r="GR44" s="66"/>
      <c r="GS44" s="66"/>
      <c r="GT44" s="66"/>
      <c r="GU44" s="66"/>
      <c r="GV44" s="66"/>
      <c r="GW44" s="66"/>
      <c r="GX44" s="66"/>
      <c r="GY44" s="66"/>
      <c r="GZ44" s="66"/>
      <c r="HA44" s="66"/>
      <c r="HB44" s="66"/>
      <c r="HC44" s="66"/>
      <c r="HD44" s="66"/>
      <c r="HE44" s="66"/>
      <c r="HF44" s="66"/>
      <c r="HG44" s="66"/>
      <c r="HH44" s="66"/>
      <c r="HI44" s="66"/>
      <c r="HJ44" s="66"/>
      <c r="HK44" s="66"/>
      <c r="HL44" s="66"/>
      <c r="HM44" s="66"/>
      <c r="HN44" s="66"/>
      <c r="HO44" s="66"/>
      <c r="HP44" s="66"/>
      <c r="HQ44" s="66"/>
      <c r="HR44" s="66"/>
      <c r="HS44" s="66"/>
      <c r="HT44" s="66"/>
      <c r="HU44" s="66"/>
      <c r="HV44" s="66"/>
      <c r="HW44" s="66"/>
      <c r="HX44" s="66"/>
      <c r="HY44" s="66"/>
      <c r="HZ44" s="66"/>
      <c r="IA44" s="66"/>
      <c r="IB44" s="66"/>
      <c r="IC44" s="66"/>
      <c r="ID44" s="66"/>
      <c r="IE44" s="66"/>
      <c r="IF44" s="66"/>
      <c r="IG44" s="66"/>
      <c r="IH44" s="66"/>
      <c r="II44" s="66"/>
      <c r="IJ44" s="66"/>
      <c r="IK44" s="66"/>
      <c r="IL44" s="66"/>
      <c r="IM44" s="66"/>
      <c r="IN44" s="66"/>
      <c r="IO44" s="66"/>
      <c r="IP44" s="66"/>
      <c r="IQ44" s="66"/>
      <c r="IR44" s="66"/>
      <c r="IS44" s="66"/>
      <c r="IT44" s="66"/>
      <c r="IU44" s="66"/>
      <c r="IV44" s="66"/>
    </row>
    <row r="45" s="61" customFormat="1" hidden="1" customHeight="1" spans="1:256">
      <c r="A45" s="60"/>
      <c r="B45" s="62"/>
      <c r="C45" s="82">
        <v>42247</v>
      </c>
      <c r="D45" s="83">
        <v>150235</v>
      </c>
      <c r="E45" s="84" t="s">
        <v>77</v>
      </c>
      <c r="F45" s="84" t="s">
        <v>17</v>
      </c>
      <c r="G45" s="86"/>
      <c r="H45" s="84"/>
      <c r="I45" s="102">
        <v>1</v>
      </c>
      <c r="J45" s="103" t="s">
        <v>33</v>
      </c>
      <c r="K45" s="62"/>
      <c r="L45" s="60"/>
      <c r="M45" s="66"/>
      <c r="N45" s="66"/>
      <c r="O45" s="66"/>
      <c r="P45" s="66"/>
      <c r="Q45" s="66"/>
      <c r="R45" s="66"/>
      <c r="S45" s="66"/>
      <c r="T45" s="66"/>
      <c r="U45" s="66"/>
      <c r="V45" s="66"/>
      <c r="W45" s="66"/>
      <c r="X45" s="66"/>
      <c r="Y45" s="66"/>
      <c r="Z45" s="66"/>
      <c r="AA45" s="66"/>
      <c r="AB45" s="66"/>
      <c r="AC45" s="66"/>
      <c r="AD45" s="66"/>
      <c r="AE45" s="66"/>
      <c r="AF45" s="66"/>
      <c r="AG45" s="66"/>
      <c r="AH45" s="66"/>
      <c r="AI45" s="66"/>
      <c r="AJ45" s="66"/>
      <c r="AK45" s="66"/>
      <c r="AL45" s="66"/>
      <c r="AM45" s="66"/>
      <c r="AN45" s="66"/>
      <c r="AO45" s="66"/>
      <c r="AP45" s="66"/>
      <c r="AQ45" s="66"/>
      <c r="AR45" s="66"/>
      <c r="AS45" s="66"/>
      <c r="AT45" s="66"/>
      <c r="AU45" s="66"/>
      <c r="AV45" s="66"/>
      <c r="AW45" s="66"/>
      <c r="AX45" s="66"/>
      <c r="AY45" s="66"/>
      <c r="AZ45" s="66"/>
      <c r="BA45" s="66"/>
      <c r="BB45" s="66"/>
      <c r="BC45" s="66"/>
      <c r="BD45" s="66"/>
      <c r="BE45" s="66"/>
      <c r="BF45" s="66"/>
      <c r="BG45" s="66"/>
      <c r="BH45" s="66"/>
      <c r="BI45" s="66"/>
      <c r="BJ45" s="66"/>
      <c r="BK45" s="66"/>
      <c r="BL45" s="66"/>
      <c r="BM45" s="66"/>
      <c r="BN45" s="66"/>
      <c r="BO45" s="66"/>
      <c r="BP45" s="66"/>
      <c r="BQ45" s="66"/>
      <c r="BR45" s="66"/>
      <c r="BS45" s="66"/>
      <c r="BT45" s="66"/>
      <c r="BU45" s="66"/>
      <c r="BV45" s="66"/>
      <c r="BW45" s="66"/>
      <c r="BX45" s="66"/>
      <c r="BY45" s="66"/>
      <c r="BZ45" s="66"/>
      <c r="CA45" s="66"/>
      <c r="CB45" s="66"/>
      <c r="CC45" s="66"/>
      <c r="CD45" s="66"/>
      <c r="CE45" s="66"/>
      <c r="CF45" s="66"/>
      <c r="CG45" s="66"/>
      <c r="CH45" s="66"/>
      <c r="CI45" s="66"/>
      <c r="CJ45" s="66"/>
      <c r="CK45" s="66"/>
      <c r="CL45" s="66"/>
      <c r="CM45" s="66"/>
      <c r="CN45" s="66"/>
      <c r="CO45" s="66"/>
      <c r="CP45" s="66"/>
      <c r="CQ45" s="66"/>
      <c r="CR45" s="66"/>
      <c r="CS45" s="66"/>
      <c r="CT45" s="66"/>
      <c r="CU45" s="66"/>
      <c r="CV45" s="66"/>
      <c r="CW45" s="66"/>
      <c r="CX45" s="66"/>
      <c r="CY45" s="66"/>
      <c r="CZ45" s="66"/>
      <c r="DA45" s="66"/>
      <c r="DB45" s="66"/>
      <c r="DC45" s="66"/>
      <c r="DD45" s="66"/>
      <c r="DE45" s="66"/>
      <c r="DF45" s="66"/>
      <c r="DG45" s="66"/>
      <c r="DH45" s="66"/>
      <c r="DI45" s="66"/>
      <c r="DJ45" s="66"/>
      <c r="DK45" s="66"/>
      <c r="DL45" s="66"/>
      <c r="DM45" s="66"/>
      <c r="DN45" s="66"/>
      <c r="DO45" s="66"/>
      <c r="DP45" s="66"/>
      <c r="DQ45" s="66"/>
      <c r="DR45" s="66"/>
      <c r="DS45" s="66"/>
      <c r="DT45" s="66"/>
      <c r="DU45" s="66"/>
      <c r="DV45" s="66"/>
      <c r="DW45" s="66"/>
      <c r="DX45" s="66"/>
      <c r="DY45" s="66"/>
      <c r="DZ45" s="66"/>
      <c r="EA45" s="66"/>
      <c r="EB45" s="66"/>
      <c r="EC45" s="66"/>
      <c r="ED45" s="66"/>
      <c r="EE45" s="66"/>
      <c r="EF45" s="66"/>
      <c r="EG45" s="66"/>
      <c r="EH45" s="66"/>
      <c r="EI45" s="66"/>
      <c r="EJ45" s="66"/>
      <c r="EK45" s="66"/>
      <c r="EL45" s="66"/>
      <c r="EM45" s="66"/>
      <c r="EN45" s="66"/>
      <c r="EO45" s="66"/>
      <c r="EP45" s="66"/>
      <c r="EQ45" s="66"/>
      <c r="ER45" s="66"/>
      <c r="ES45" s="66"/>
      <c r="ET45" s="66"/>
      <c r="EU45" s="66"/>
      <c r="EV45" s="66"/>
      <c r="EW45" s="66"/>
      <c r="EX45" s="66"/>
      <c r="EY45" s="66"/>
      <c r="EZ45" s="66"/>
      <c r="FA45" s="66"/>
      <c r="FB45" s="66"/>
      <c r="FC45" s="66"/>
      <c r="FD45" s="66"/>
      <c r="FE45" s="66"/>
      <c r="FF45" s="66"/>
      <c r="FG45" s="66"/>
      <c r="FH45" s="66"/>
      <c r="FI45" s="66"/>
      <c r="FJ45" s="66"/>
      <c r="FK45" s="66"/>
      <c r="FL45" s="66"/>
      <c r="FM45" s="66"/>
      <c r="FN45" s="66"/>
      <c r="FO45" s="66"/>
      <c r="FP45" s="66"/>
      <c r="FQ45" s="66"/>
      <c r="FR45" s="66"/>
      <c r="FS45" s="66"/>
      <c r="FT45" s="66"/>
      <c r="FU45" s="66"/>
      <c r="FV45" s="66"/>
      <c r="FW45" s="66"/>
      <c r="FX45" s="66"/>
      <c r="FY45" s="66"/>
      <c r="FZ45" s="66"/>
      <c r="GA45" s="66"/>
      <c r="GB45" s="66"/>
      <c r="GC45" s="66"/>
      <c r="GD45" s="66"/>
      <c r="GE45" s="66"/>
      <c r="GF45" s="66"/>
      <c r="GG45" s="66"/>
      <c r="GH45" s="66"/>
      <c r="GI45" s="66"/>
      <c r="GJ45" s="66"/>
      <c r="GK45" s="66"/>
      <c r="GL45" s="66"/>
      <c r="GM45" s="66"/>
      <c r="GN45" s="66"/>
      <c r="GO45" s="66"/>
      <c r="GP45" s="66"/>
      <c r="GQ45" s="66"/>
      <c r="GR45" s="66"/>
      <c r="GS45" s="66"/>
      <c r="GT45" s="66"/>
      <c r="GU45" s="66"/>
      <c r="GV45" s="66"/>
      <c r="GW45" s="66"/>
      <c r="GX45" s="66"/>
      <c r="GY45" s="66"/>
      <c r="GZ45" s="66"/>
      <c r="HA45" s="66"/>
      <c r="HB45" s="66"/>
      <c r="HC45" s="66"/>
      <c r="HD45" s="66"/>
      <c r="HE45" s="66"/>
      <c r="HF45" s="66"/>
      <c r="HG45" s="66"/>
      <c r="HH45" s="66"/>
      <c r="HI45" s="66"/>
      <c r="HJ45" s="66"/>
      <c r="HK45" s="66"/>
      <c r="HL45" s="66"/>
      <c r="HM45" s="66"/>
      <c r="HN45" s="66"/>
      <c r="HO45" s="66"/>
      <c r="HP45" s="66"/>
      <c r="HQ45" s="66"/>
      <c r="HR45" s="66"/>
      <c r="HS45" s="66"/>
      <c r="HT45" s="66"/>
      <c r="HU45" s="66"/>
      <c r="HV45" s="66"/>
      <c r="HW45" s="66"/>
      <c r="HX45" s="66"/>
      <c r="HY45" s="66"/>
      <c r="HZ45" s="66"/>
      <c r="IA45" s="66"/>
      <c r="IB45" s="66"/>
      <c r="IC45" s="66"/>
      <c r="ID45" s="66"/>
      <c r="IE45" s="66"/>
      <c r="IF45" s="66"/>
      <c r="IG45" s="66"/>
      <c r="IH45" s="66"/>
      <c r="II45" s="66"/>
      <c r="IJ45" s="66"/>
      <c r="IK45" s="66"/>
      <c r="IL45" s="66"/>
      <c r="IM45" s="66"/>
      <c r="IN45" s="66"/>
      <c r="IO45" s="66"/>
      <c r="IP45" s="66"/>
      <c r="IQ45" s="66"/>
      <c r="IR45" s="66"/>
      <c r="IS45" s="66"/>
      <c r="IT45" s="66"/>
      <c r="IU45" s="66"/>
      <c r="IV45" s="66"/>
    </row>
    <row r="46" s="61" customFormat="1" customHeight="1" spans="1:256">
      <c r="A46" s="60"/>
      <c r="B46" s="62"/>
      <c r="C46" s="74">
        <v>42217</v>
      </c>
      <c r="D46" s="96">
        <v>510050</v>
      </c>
      <c r="E46" s="76" t="s">
        <v>68</v>
      </c>
      <c r="F46" s="76" t="s">
        <v>17</v>
      </c>
      <c r="G46" s="97"/>
      <c r="H46" s="76"/>
      <c r="I46" s="108">
        <v>1</v>
      </c>
      <c r="J46" s="109"/>
      <c r="K46" s="62"/>
      <c r="L46" s="60"/>
      <c r="M46" s="66"/>
      <c r="N46" s="66"/>
      <c r="O46" s="66"/>
      <c r="P46" s="66"/>
      <c r="Q46" s="66"/>
      <c r="R46" s="66"/>
      <c r="S46" s="66"/>
      <c r="T46" s="66"/>
      <c r="U46" s="66"/>
      <c r="V46" s="66"/>
      <c r="W46" s="66"/>
      <c r="X46" s="66"/>
      <c r="Y46" s="66"/>
      <c r="Z46" s="66"/>
      <c r="AA46" s="66"/>
      <c r="AB46" s="66"/>
      <c r="AC46" s="66"/>
      <c r="AD46" s="66"/>
      <c r="AE46" s="66"/>
      <c r="AF46" s="66"/>
      <c r="AG46" s="66"/>
      <c r="AH46" s="66"/>
      <c r="AI46" s="66"/>
      <c r="AJ46" s="66"/>
      <c r="AK46" s="66"/>
      <c r="AL46" s="66"/>
      <c r="AM46" s="66"/>
      <c r="AN46" s="66"/>
      <c r="AO46" s="66"/>
      <c r="AP46" s="66"/>
      <c r="AQ46" s="66"/>
      <c r="AR46" s="66"/>
      <c r="AS46" s="66"/>
      <c r="AT46" s="66"/>
      <c r="AU46" s="66"/>
      <c r="AV46" s="66"/>
      <c r="AW46" s="66"/>
      <c r="AX46" s="66"/>
      <c r="AY46" s="66"/>
      <c r="AZ46" s="66"/>
      <c r="BA46" s="66"/>
      <c r="BB46" s="66"/>
      <c r="BC46" s="66"/>
      <c r="BD46" s="66"/>
      <c r="BE46" s="66"/>
      <c r="BF46" s="66"/>
      <c r="BG46" s="66"/>
      <c r="BH46" s="66"/>
      <c r="BI46" s="66"/>
      <c r="BJ46" s="66"/>
      <c r="BK46" s="66"/>
      <c r="BL46" s="66"/>
      <c r="BM46" s="66"/>
      <c r="BN46" s="66"/>
      <c r="BO46" s="66"/>
      <c r="BP46" s="66"/>
      <c r="BQ46" s="66"/>
      <c r="BR46" s="66"/>
      <c r="BS46" s="66"/>
      <c r="BT46" s="66"/>
      <c r="BU46" s="66"/>
      <c r="BV46" s="66"/>
      <c r="BW46" s="66"/>
      <c r="BX46" s="66"/>
      <c r="BY46" s="66"/>
      <c r="BZ46" s="66"/>
      <c r="CA46" s="66"/>
      <c r="CB46" s="66"/>
      <c r="CC46" s="66"/>
      <c r="CD46" s="66"/>
      <c r="CE46" s="66"/>
      <c r="CF46" s="66"/>
      <c r="CG46" s="66"/>
      <c r="CH46" s="66"/>
      <c r="CI46" s="66"/>
      <c r="CJ46" s="66"/>
      <c r="CK46" s="66"/>
      <c r="CL46" s="66"/>
      <c r="CM46" s="66"/>
      <c r="CN46" s="66"/>
      <c r="CO46" s="66"/>
      <c r="CP46" s="66"/>
      <c r="CQ46" s="66"/>
      <c r="CR46" s="66"/>
      <c r="CS46" s="66"/>
      <c r="CT46" s="66"/>
      <c r="CU46" s="66"/>
      <c r="CV46" s="66"/>
      <c r="CW46" s="66"/>
      <c r="CX46" s="66"/>
      <c r="CY46" s="66"/>
      <c r="CZ46" s="66"/>
      <c r="DA46" s="66"/>
      <c r="DB46" s="66"/>
      <c r="DC46" s="66"/>
      <c r="DD46" s="66"/>
      <c r="DE46" s="66"/>
      <c r="DF46" s="66"/>
      <c r="DG46" s="66"/>
      <c r="DH46" s="66"/>
      <c r="DI46" s="66"/>
      <c r="DJ46" s="66"/>
      <c r="DK46" s="66"/>
      <c r="DL46" s="66"/>
      <c r="DM46" s="66"/>
      <c r="DN46" s="66"/>
      <c r="DO46" s="66"/>
      <c r="DP46" s="66"/>
      <c r="DQ46" s="66"/>
      <c r="DR46" s="66"/>
      <c r="DS46" s="66"/>
      <c r="DT46" s="66"/>
      <c r="DU46" s="66"/>
      <c r="DV46" s="66"/>
      <c r="DW46" s="66"/>
      <c r="DX46" s="66"/>
      <c r="DY46" s="66"/>
      <c r="DZ46" s="66"/>
      <c r="EA46" s="66"/>
      <c r="EB46" s="66"/>
      <c r="EC46" s="66"/>
      <c r="ED46" s="66"/>
      <c r="EE46" s="66"/>
      <c r="EF46" s="66"/>
      <c r="EG46" s="66"/>
      <c r="EH46" s="66"/>
      <c r="EI46" s="66"/>
      <c r="EJ46" s="66"/>
      <c r="EK46" s="66"/>
      <c r="EL46" s="66"/>
      <c r="EM46" s="66"/>
      <c r="EN46" s="66"/>
      <c r="EO46" s="66"/>
      <c r="EP46" s="66"/>
      <c r="EQ46" s="66"/>
      <c r="ER46" s="66"/>
      <c r="ES46" s="66"/>
      <c r="ET46" s="66"/>
      <c r="EU46" s="66"/>
      <c r="EV46" s="66"/>
      <c r="EW46" s="66"/>
      <c r="EX46" s="66"/>
      <c r="EY46" s="66"/>
      <c r="EZ46" s="66"/>
      <c r="FA46" s="66"/>
      <c r="FB46" s="66"/>
      <c r="FC46" s="66"/>
      <c r="FD46" s="66"/>
      <c r="FE46" s="66"/>
      <c r="FF46" s="66"/>
      <c r="FG46" s="66"/>
      <c r="FH46" s="66"/>
      <c r="FI46" s="66"/>
      <c r="FJ46" s="66"/>
      <c r="FK46" s="66"/>
      <c r="FL46" s="66"/>
      <c r="FM46" s="66"/>
      <c r="FN46" s="66"/>
      <c r="FO46" s="66"/>
      <c r="FP46" s="66"/>
      <c r="FQ46" s="66"/>
      <c r="FR46" s="66"/>
      <c r="FS46" s="66"/>
      <c r="FT46" s="66"/>
      <c r="FU46" s="66"/>
      <c r="FV46" s="66"/>
      <c r="FW46" s="66"/>
      <c r="FX46" s="66"/>
      <c r="FY46" s="66"/>
      <c r="FZ46" s="66"/>
      <c r="GA46" s="66"/>
      <c r="GB46" s="66"/>
      <c r="GC46" s="66"/>
      <c r="GD46" s="66"/>
      <c r="GE46" s="66"/>
      <c r="GF46" s="66"/>
      <c r="GG46" s="66"/>
      <c r="GH46" s="66"/>
      <c r="GI46" s="66"/>
      <c r="GJ46" s="66"/>
      <c r="GK46" s="66"/>
      <c r="GL46" s="66"/>
      <c r="GM46" s="66"/>
      <c r="GN46" s="66"/>
      <c r="GO46" s="66"/>
      <c r="GP46" s="66"/>
      <c r="GQ46" s="66"/>
      <c r="GR46" s="66"/>
      <c r="GS46" s="66"/>
      <c r="GT46" s="66"/>
      <c r="GU46" s="66"/>
      <c r="GV46" s="66"/>
      <c r="GW46" s="66"/>
      <c r="GX46" s="66"/>
      <c r="GY46" s="66"/>
      <c r="GZ46" s="66"/>
      <c r="HA46" s="66"/>
      <c r="HB46" s="66"/>
      <c r="HC46" s="66"/>
      <c r="HD46" s="66"/>
      <c r="HE46" s="66"/>
      <c r="HF46" s="66"/>
      <c r="HG46" s="66"/>
      <c r="HH46" s="66"/>
      <c r="HI46" s="66"/>
      <c r="HJ46" s="66"/>
      <c r="HK46" s="66"/>
      <c r="HL46" s="66"/>
      <c r="HM46" s="66"/>
      <c r="HN46" s="66"/>
      <c r="HO46" s="66"/>
      <c r="HP46" s="66"/>
      <c r="HQ46" s="66"/>
      <c r="HR46" s="66"/>
      <c r="HS46" s="66"/>
      <c r="HT46" s="66"/>
      <c r="HU46" s="66"/>
      <c r="HV46" s="66"/>
      <c r="HW46" s="66"/>
      <c r="HX46" s="66"/>
      <c r="HY46" s="66"/>
      <c r="HZ46" s="66"/>
      <c r="IA46" s="66"/>
      <c r="IB46" s="66"/>
      <c r="IC46" s="66"/>
      <c r="ID46" s="66"/>
      <c r="IE46" s="66"/>
      <c r="IF46" s="66"/>
      <c r="IG46" s="66"/>
      <c r="IH46" s="66"/>
      <c r="II46" s="66"/>
      <c r="IJ46" s="66"/>
      <c r="IK46" s="66"/>
      <c r="IL46" s="66"/>
      <c r="IM46" s="66"/>
      <c r="IN46" s="66"/>
      <c r="IO46" s="66"/>
      <c r="IP46" s="66"/>
      <c r="IQ46" s="66"/>
      <c r="IR46" s="66"/>
      <c r="IS46" s="66"/>
      <c r="IT46" s="66"/>
      <c r="IU46" s="66"/>
      <c r="IV46" s="66"/>
    </row>
    <row r="47" s="61" customFormat="1" customHeight="1" spans="1:256">
      <c r="A47" s="60"/>
      <c r="B47" s="62"/>
      <c r="C47" s="63"/>
      <c r="D47" s="64"/>
      <c r="E47" s="65"/>
      <c r="F47" s="65"/>
      <c r="G47" s="65"/>
      <c r="H47" s="65"/>
      <c r="I47" s="62"/>
      <c r="J47" s="62"/>
      <c r="K47" s="62"/>
      <c r="L47" s="60"/>
      <c r="M47" s="66"/>
      <c r="N47" s="66"/>
      <c r="O47" s="66"/>
      <c r="P47" s="66"/>
      <c r="Q47" s="66"/>
      <c r="R47" s="66"/>
      <c r="S47" s="66"/>
      <c r="T47" s="66"/>
      <c r="U47" s="66"/>
      <c r="V47" s="66"/>
      <c r="W47" s="66"/>
      <c r="X47" s="66"/>
      <c r="Y47" s="66"/>
      <c r="Z47" s="66"/>
      <c r="AA47" s="66"/>
      <c r="AB47" s="66"/>
      <c r="AC47" s="66"/>
      <c r="AD47" s="66"/>
      <c r="AE47" s="66"/>
      <c r="AF47" s="66"/>
      <c r="AG47" s="66"/>
      <c r="AH47" s="66"/>
      <c r="AI47" s="66"/>
      <c r="AJ47" s="66"/>
      <c r="AK47" s="66"/>
      <c r="AL47" s="66"/>
      <c r="AM47" s="66"/>
      <c r="AN47" s="66"/>
      <c r="AO47" s="66"/>
      <c r="AP47" s="66"/>
      <c r="AQ47" s="66"/>
      <c r="AR47" s="66"/>
      <c r="AS47" s="66"/>
      <c r="AT47" s="66"/>
      <c r="AU47" s="66"/>
      <c r="AV47" s="66"/>
      <c r="AW47" s="66"/>
      <c r="AX47" s="66"/>
      <c r="AY47" s="66"/>
      <c r="AZ47" s="66"/>
      <c r="BA47" s="66"/>
      <c r="BB47" s="66"/>
      <c r="BC47" s="66"/>
      <c r="BD47" s="66"/>
      <c r="BE47" s="66"/>
      <c r="BF47" s="66"/>
      <c r="BG47" s="66"/>
      <c r="BH47" s="66"/>
      <c r="BI47" s="66"/>
      <c r="BJ47" s="66"/>
      <c r="BK47" s="66"/>
      <c r="BL47" s="66"/>
      <c r="BM47" s="66"/>
      <c r="BN47" s="66"/>
      <c r="BO47" s="66"/>
      <c r="BP47" s="66"/>
      <c r="BQ47" s="66"/>
      <c r="BR47" s="66"/>
      <c r="BS47" s="66"/>
      <c r="BT47" s="66"/>
      <c r="BU47" s="66"/>
      <c r="BV47" s="66"/>
      <c r="BW47" s="66"/>
      <c r="BX47" s="66"/>
      <c r="BY47" s="66"/>
      <c r="BZ47" s="66"/>
      <c r="CA47" s="66"/>
      <c r="CB47" s="66"/>
      <c r="CC47" s="66"/>
      <c r="CD47" s="66"/>
      <c r="CE47" s="66"/>
      <c r="CF47" s="66"/>
      <c r="CG47" s="66"/>
      <c r="CH47" s="66"/>
      <c r="CI47" s="66"/>
      <c r="CJ47" s="66"/>
      <c r="CK47" s="66"/>
      <c r="CL47" s="66"/>
      <c r="CM47" s="66"/>
      <c r="CN47" s="66"/>
      <c r="CO47" s="66"/>
      <c r="CP47" s="66"/>
      <c r="CQ47" s="66"/>
      <c r="CR47" s="66"/>
      <c r="CS47" s="66"/>
      <c r="CT47" s="66"/>
      <c r="CU47" s="66"/>
      <c r="CV47" s="66"/>
      <c r="CW47" s="66"/>
      <c r="CX47" s="66"/>
      <c r="CY47" s="66"/>
      <c r="CZ47" s="66"/>
      <c r="DA47" s="66"/>
      <c r="DB47" s="66"/>
      <c r="DC47" s="66"/>
      <c r="DD47" s="66"/>
      <c r="DE47" s="66"/>
      <c r="DF47" s="66"/>
      <c r="DG47" s="66"/>
      <c r="DH47" s="66"/>
      <c r="DI47" s="66"/>
      <c r="DJ47" s="66"/>
      <c r="DK47" s="66"/>
      <c r="DL47" s="66"/>
      <c r="DM47" s="66"/>
      <c r="DN47" s="66"/>
      <c r="DO47" s="66"/>
      <c r="DP47" s="66"/>
      <c r="DQ47" s="66"/>
      <c r="DR47" s="66"/>
      <c r="DS47" s="66"/>
      <c r="DT47" s="66"/>
      <c r="DU47" s="66"/>
      <c r="DV47" s="66"/>
      <c r="DW47" s="66"/>
      <c r="DX47" s="66"/>
      <c r="DY47" s="66"/>
      <c r="DZ47" s="66"/>
      <c r="EA47" s="66"/>
      <c r="EB47" s="66"/>
      <c r="EC47" s="66"/>
      <c r="ED47" s="66"/>
      <c r="EE47" s="66"/>
      <c r="EF47" s="66"/>
      <c r="EG47" s="66"/>
      <c r="EH47" s="66"/>
      <c r="EI47" s="66"/>
      <c r="EJ47" s="66"/>
      <c r="EK47" s="66"/>
      <c r="EL47" s="66"/>
      <c r="EM47" s="66"/>
      <c r="EN47" s="66"/>
      <c r="EO47" s="66"/>
      <c r="EP47" s="66"/>
      <c r="EQ47" s="66"/>
      <c r="ER47" s="66"/>
      <c r="ES47" s="66"/>
      <c r="ET47" s="66"/>
      <c r="EU47" s="66"/>
      <c r="EV47" s="66"/>
      <c r="EW47" s="66"/>
      <c r="EX47" s="66"/>
      <c r="EY47" s="66"/>
      <c r="EZ47" s="66"/>
      <c r="FA47" s="66"/>
      <c r="FB47" s="66"/>
      <c r="FC47" s="66"/>
      <c r="FD47" s="66"/>
      <c r="FE47" s="66"/>
      <c r="FF47" s="66"/>
      <c r="FG47" s="66"/>
      <c r="FH47" s="66"/>
      <c r="FI47" s="66"/>
      <c r="FJ47" s="66"/>
      <c r="FK47" s="66"/>
      <c r="FL47" s="66"/>
      <c r="FM47" s="66"/>
      <c r="FN47" s="66"/>
      <c r="FO47" s="66"/>
      <c r="FP47" s="66"/>
      <c r="FQ47" s="66"/>
      <c r="FR47" s="66"/>
      <c r="FS47" s="66"/>
      <c r="FT47" s="66"/>
      <c r="FU47" s="66"/>
      <c r="FV47" s="66"/>
      <c r="FW47" s="66"/>
      <c r="FX47" s="66"/>
      <c r="FY47" s="66"/>
      <c r="FZ47" s="66"/>
      <c r="GA47" s="66"/>
      <c r="GB47" s="66"/>
      <c r="GC47" s="66"/>
      <c r="GD47" s="66"/>
      <c r="GE47" s="66"/>
      <c r="GF47" s="66"/>
      <c r="GG47" s="66"/>
      <c r="GH47" s="66"/>
      <c r="GI47" s="66"/>
      <c r="GJ47" s="66"/>
      <c r="GK47" s="66"/>
      <c r="GL47" s="66"/>
      <c r="GM47" s="66"/>
      <c r="GN47" s="66"/>
      <c r="GO47" s="66"/>
      <c r="GP47" s="66"/>
      <c r="GQ47" s="66"/>
      <c r="GR47" s="66"/>
      <c r="GS47" s="66"/>
      <c r="GT47" s="66"/>
      <c r="GU47" s="66"/>
      <c r="GV47" s="66"/>
      <c r="GW47" s="66"/>
      <c r="GX47" s="66"/>
      <c r="GY47" s="66"/>
      <c r="GZ47" s="66"/>
      <c r="HA47" s="66"/>
      <c r="HB47" s="66"/>
      <c r="HC47" s="66"/>
      <c r="HD47" s="66"/>
      <c r="HE47" s="66"/>
      <c r="HF47" s="66"/>
      <c r="HG47" s="66"/>
      <c r="HH47" s="66"/>
      <c r="HI47" s="66"/>
      <c r="HJ47" s="66"/>
      <c r="HK47" s="66"/>
      <c r="HL47" s="66"/>
      <c r="HM47" s="66"/>
      <c r="HN47" s="66"/>
      <c r="HO47" s="66"/>
      <c r="HP47" s="66"/>
      <c r="HQ47" s="66"/>
      <c r="HR47" s="66"/>
      <c r="HS47" s="66"/>
      <c r="HT47" s="66"/>
      <c r="HU47" s="66"/>
      <c r="HV47" s="66"/>
      <c r="HW47" s="66"/>
      <c r="HX47" s="66"/>
      <c r="HY47" s="66"/>
      <c r="HZ47" s="66"/>
      <c r="IA47" s="66"/>
      <c r="IB47" s="66"/>
      <c r="IC47" s="66"/>
      <c r="ID47" s="66"/>
      <c r="IE47" s="66"/>
      <c r="IF47" s="66"/>
      <c r="IG47" s="66"/>
      <c r="IH47" s="66"/>
      <c r="II47" s="66"/>
      <c r="IJ47" s="66"/>
      <c r="IK47" s="66"/>
      <c r="IL47" s="66"/>
      <c r="IM47" s="66"/>
      <c r="IN47" s="66"/>
      <c r="IO47" s="66"/>
      <c r="IP47" s="66"/>
      <c r="IQ47" s="66"/>
      <c r="IR47" s="66"/>
      <c r="IS47" s="66"/>
      <c r="IT47" s="66"/>
      <c r="IU47" s="66"/>
      <c r="IV47" s="66"/>
    </row>
  </sheetData>
  <sheetProtection sheet="1" selectLockedCells="1" objects="1"/>
  <autoFilter ref="C4:J46">
    <filterColumn colId="7">
      <filters blank="1"/>
    </filterColumn>
    <extLst/>
  </autoFilter>
  <dataValidations count="3">
    <dataValidation allowBlank="1" showInputMessage="1" showErrorMessage="1" sqref="I5 I6 I7 I8 I9 I10 I13 I14 I15 I38 I41 I42 I45 I46 I11:I12 I16:I34 I35:I37 I39:I40 I43:I44"/>
    <dataValidation type="list" allowBlank="1" showInputMessage="1" showErrorMessage="1" sqref="F7 F8 F9 F10 F15 F16 F17 F20 F21 F22 F23 F24 F25 F26 F27 F28 F29 F30 F31 F32 F33 F34 F35 F36 F37 F38 F39 F40 F41 F42 F43 F44 F45 F46 F5:F6 F11:F14 F18:F19">
      <formula1>基金!$C$6:$C$10</formula1>
    </dataValidation>
    <dataValidation type="list" allowBlank="1" showInputMessage="1" showErrorMessage="1" sqref="J41 J5:J40 J42:J46">
      <formula1>参数!$E$13:$E$14</formula1>
    </dataValidation>
  </dataValidation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V236"/>
  <sheetViews>
    <sheetView showGridLines="0" topLeftCell="A102" workbookViewId="0">
      <selection activeCell="D167" sqref="D167"/>
    </sheetView>
  </sheetViews>
  <sheetFormatPr defaultColWidth="9" defaultRowHeight="25" customHeight="1"/>
  <cols>
    <col min="1" max="1" width="1.625" style="35" customWidth="1"/>
    <col min="2" max="2" width="2.625" style="36" customWidth="1"/>
    <col min="3" max="3" width="11.875" style="36" customWidth="1"/>
    <col min="4" max="4" width="11.5" style="36" customWidth="1"/>
    <col min="5" max="5" width="2.625" style="36" customWidth="1"/>
    <col min="6" max="6" width="1.625" style="36" customWidth="1"/>
    <col min="7" max="256" width="9" style="35" customWidth="1"/>
  </cols>
  <sheetData>
    <row r="1" ht="9.95" customHeight="1" spans="1:256">
      <c r="A1" s="31"/>
      <c r="B1" s="31"/>
      <c r="C1" s="37"/>
      <c r="D1" s="37"/>
      <c r="E1" s="37"/>
      <c r="F1" s="37"/>
      <c r="G1" s="37"/>
      <c r="H1" s="37"/>
      <c r="I1" s="37"/>
      <c r="J1" s="37"/>
      <c r="K1" s="50"/>
      <c r="L1" s="37"/>
      <c r="M1" s="50"/>
      <c r="N1" s="37"/>
      <c r="O1" s="37"/>
      <c r="P1" s="37"/>
      <c r="Q1" s="37"/>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c r="IR1" s="31"/>
      <c r="IS1" s="31"/>
      <c r="IT1" s="31"/>
      <c r="IU1" s="31"/>
      <c r="IV1" s="31"/>
    </row>
    <row r="2" s="31" customFormat="1" ht="35.1" customHeight="1" spans="2:25">
      <c r="B2" s="4"/>
      <c r="C2" s="38" t="s">
        <v>27</v>
      </c>
      <c r="D2" s="39"/>
      <c r="E2" s="40"/>
      <c r="F2" s="39"/>
      <c r="G2" s="41"/>
      <c r="H2" s="42"/>
      <c r="I2" s="41"/>
      <c r="J2" s="42"/>
      <c r="K2" s="51"/>
      <c r="L2" s="42"/>
      <c r="M2" s="51"/>
      <c r="N2" s="42"/>
      <c r="O2" s="41"/>
      <c r="P2" s="42"/>
      <c r="Q2" s="41"/>
      <c r="S2" s="35"/>
      <c r="T2" s="35"/>
      <c r="U2" s="53"/>
      <c r="V2" s="53"/>
      <c r="W2" s="35"/>
      <c r="X2" s="35"/>
      <c r="Y2" s="56"/>
    </row>
    <row r="3" s="32" customFormat="1" ht="9.95" customHeight="1" spans="3:25">
      <c r="C3" s="43"/>
      <c r="D3" s="43"/>
      <c r="E3" s="44"/>
      <c r="F3" s="43"/>
      <c r="G3" s="45"/>
      <c r="H3" s="43"/>
      <c r="I3" s="45"/>
      <c r="J3" s="43"/>
      <c r="K3" s="52"/>
      <c r="L3" s="43"/>
      <c r="M3" s="52"/>
      <c r="N3" s="43"/>
      <c r="O3" s="45"/>
      <c r="P3" s="43"/>
      <c r="Q3" s="45"/>
      <c r="S3" s="54"/>
      <c r="T3" s="54"/>
      <c r="U3" s="55"/>
      <c r="V3" s="55"/>
      <c r="W3" s="54"/>
      <c r="X3" s="54"/>
      <c r="Y3" s="57"/>
    </row>
    <row r="4" s="33" customFormat="1" customHeight="1" spans="2:6">
      <c r="B4" s="46"/>
      <c r="C4" s="47">
        <f>IF(交易!$C7="","",交易!$C7)</f>
        <v>42769</v>
      </c>
      <c r="D4" s="48">
        <f>IF(交易!$O7="",0,交易!$O7*IF(交易!$I7=MR,-1,1))</f>
        <v>-1000</v>
      </c>
      <c r="E4" s="46"/>
      <c r="F4" s="46"/>
    </row>
    <row r="5" s="34" customFormat="1" customHeight="1" spans="2:6">
      <c r="B5" s="49"/>
      <c r="C5" s="47">
        <f>IF(交易!$C8="","",交易!$C8)</f>
        <v>42769</v>
      </c>
      <c r="D5" s="48">
        <f>IF(交易!$O8="",0,交易!$O8*IF(交易!$I8=MR,-1,1))</f>
        <v>-1000</v>
      </c>
      <c r="E5" s="49"/>
      <c r="F5" s="49"/>
    </row>
    <row r="6" s="34" customFormat="1" customHeight="1" spans="2:6">
      <c r="B6" s="49"/>
      <c r="C6" s="47">
        <f>IF(交易!$C9="","",交易!$C9)</f>
        <v>42780</v>
      </c>
      <c r="D6" s="48">
        <f>IF(交易!$O9="",0,交易!$O9*IF(交易!$I9=MR,-1,1))</f>
        <v>-1000</v>
      </c>
      <c r="E6" s="49"/>
      <c r="F6" s="49"/>
    </row>
    <row r="7" s="34" customFormat="1" customHeight="1" spans="2:6">
      <c r="B7" s="49"/>
      <c r="C7" s="47">
        <f>IF(交易!$C10="","",交易!$C10)</f>
        <v>42803</v>
      </c>
      <c r="D7" s="48">
        <f>IF(交易!$O10="",0,交易!$O10*IF(交易!$I10=MR,-1,1))</f>
        <v>-1003.2</v>
      </c>
      <c r="E7" s="49"/>
      <c r="F7" s="49"/>
    </row>
    <row r="8" s="34" customFormat="1" customHeight="1" spans="2:6">
      <c r="B8" s="49"/>
      <c r="C8" s="47">
        <f>IF(交易!$C11="","",交易!$C11)</f>
        <v>42825</v>
      </c>
      <c r="D8" s="48">
        <f>IF(交易!$O11="",0,交易!$O11*IF(交易!$I11=MR,-1,1))</f>
        <v>-1040</v>
      </c>
      <c r="E8" s="49"/>
      <c r="F8" s="49"/>
    </row>
    <row r="9" s="34" customFormat="1" customHeight="1" spans="2:6">
      <c r="B9" s="49"/>
      <c r="C9" s="47">
        <f>IF(交易!$C12="","",交易!$C12)</f>
        <v>42837</v>
      </c>
      <c r="D9" s="48">
        <f>IF(交易!$O12="",0,交易!$O12*IF(交易!$I12=MR,-1,1))</f>
        <v>-1040</v>
      </c>
      <c r="E9" s="49"/>
      <c r="F9" s="49"/>
    </row>
    <row r="10" s="34" customFormat="1" customHeight="1" spans="2:6">
      <c r="B10" s="49"/>
      <c r="C10" s="47">
        <f>IF(交易!$C13="","",交易!$C13)</f>
        <v>42838</v>
      </c>
      <c r="D10" s="48">
        <f>IF(交易!$O13="",0,交易!$O13*IF(交易!$I13=MR,-1,1))</f>
        <v>-2000</v>
      </c>
      <c r="E10" s="49"/>
      <c r="F10" s="49"/>
    </row>
    <row r="11" s="34" customFormat="1" customHeight="1" spans="2:6">
      <c r="B11" s="49"/>
      <c r="C11" s="47">
        <f>IF(交易!$C14="","",交易!$C14)</f>
        <v>42844</v>
      </c>
      <c r="D11" s="48">
        <f>IF(交易!$O14="",0,交易!$O14*IF(交易!$I14=MR,-1,1))</f>
        <v>-2050.2</v>
      </c>
      <c r="E11" s="49"/>
      <c r="F11" s="49"/>
    </row>
    <row r="12" s="34" customFormat="1" customHeight="1" spans="2:6">
      <c r="B12" s="49"/>
      <c r="C12" s="47">
        <f>IF(交易!$C15="","",交易!$C15)</f>
        <v>42850</v>
      </c>
      <c r="D12" s="48">
        <f>IF(交易!$O15="",0,交易!$O15*IF(交易!$I15=MR,-1,1))</f>
        <v>-1028</v>
      </c>
      <c r="E12" s="49"/>
      <c r="F12" s="49"/>
    </row>
    <row r="13" s="34" customFormat="1" customHeight="1" spans="2:6">
      <c r="B13" s="49"/>
      <c r="C13" s="47">
        <f>IF(交易!$C16="","",交易!$C16)</f>
        <v>42850</v>
      </c>
      <c r="D13" s="48">
        <f>IF(交易!$O16="",0,交易!$O16*IF(交易!$I16=MR,-1,1))</f>
        <v>-1000</v>
      </c>
      <c r="E13" s="49"/>
      <c r="F13" s="49"/>
    </row>
    <row r="14" s="34" customFormat="1" customHeight="1" spans="2:6">
      <c r="B14" s="49"/>
      <c r="C14" s="47">
        <f>IF(交易!$C17="","",交易!$C17)</f>
        <v>42850</v>
      </c>
      <c r="D14" s="48">
        <f>IF(交易!$O17="",0,交易!$O17*IF(交易!$I17=MR,-1,1))</f>
        <v>-1000</v>
      </c>
      <c r="E14" s="49"/>
      <c r="F14" s="49"/>
    </row>
    <row r="15" s="34" customFormat="1" customHeight="1" spans="2:6">
      <c r="B15" s="49"/>
      <c r="C15" s="47">
        <f>IF(交易!$C18="","",交易!$C18)</f>
        <v>42853</v>
      </c>
      <c r="D15" s="48">
        <f>IF(交易!$O18="",0,交易!$O18*IF(交易!$I18=MR,-1,1))</f>
        <v>-1296</v>
      </c>
      <c r="E15" s="49"/>
      <c r="F15" s="49"/>
    </row>
    <row r="16" s="34" customFormat="1" customHeight="1" spans="2:6">
      <c r="B16" s="49"/>
      <c r="C16" s="47">
        <f>IF(交易!$C19="","",交易!$C19)</f>
        <v>42865</v>
      </c>
      <c r="D16" s="48">
        <f>IF(交易!$O19="",0,交易!$O19*IF(交易!$I19=MR,-1,1))</f>
        <v>-1004.8</v>
      </c>
      <c r="E16" s="49"/>
      <c r="F16" s="49"/>
    </row>
    <row r="17" s="34" customFormat="1" customHeight="1" spans="2:6">
      <c r="B17" s="49"/>
      <c r="C17" s="47">
        <f>IF(交易!$C20="","",交易!$C20)</f>
        <v>42866</v>
      </c>
      <c r="D17" s="48">
        <f>IF(交易!$O20="",0,交易!$O20*IF(交易!$I20=MR,-1,1))</f>
        <v>-988</v>
      </c>
      <c r="E17" s="49"/>
      <c r="F17" s="49"/>
    </row>
    <row r="18" s="34" customFormat="1" customHeight="1" spans="2:6">
      <c r="B18" s="49"/>
      <c r="C18" s="47">
        <f>IF(交易!$C21="","",交易!$C21)</f>
        <v>42878</v>
      </c>
      <c r="D18" s="48">
        <f>IF(交易!$O21="",0,交易!$O21*IF(交易!$I21=MR,-1,1))</f>
        <v>-1000</v>
      </c>
      <c r="E18" s="49"/>
      <c r="F18" s="49"/>
    </row>
    <row r="19" s="34" customFormat="1" customHeight="1" spans="2:6">
      <c r="B19" s="49"/>
      <c r="C19" s="47">
        <f>IF(交易!$C22="","",交易!$C22)</f>
        <v>42878</v>
      </c>
      <c r="D19" s="48">
        <f>IF(交易!$O22="",0,交易!$O22*IF(交易!$I22=MR,-1,1))</f>
        <v>-1000</v>
      </c>
      <c r="E19" s="49"/>
      <c r="F19" s="49"/>
    </row>
    <row r="20" s="34" customFormat="1" customHeight="1" spans="2:6">
      <c r="B20" s="49"/>
      <c r="C20" s="47">
        <f>IF(交易!$C23="","",交易!$C23)</f>
        <v>42878</v>
      </c>
      <c r="D20" s="48">
        <f>IF(交易!$O23="",0,交易!$O23*IF(交易!$I23=MR,-1,1))</f>
        <v>-1000</v>
      </c>
      <c r="E20" s="49"/>
      <c r="F20" s="49"/>
    </row>
    <row r="21" s="34" customFormat="1" customHeight="1" spans="2:6">
      <c r="B21" s="49"/>
      <c r="C21" s="47">
        <f>IF(交易!$C24="","",交易!$C24)</f>
        <v>42879</v>
      </c>
      <c r="D21" s="48">
        <f>IF(交易!$O24="",0,交易!$O24*IF(交易!$I24=MR,-1,1))</f>
        <v>-1006.4</v>
      </c>
      <c r="E21" s="49"/>
      <c r="F21" s="49"/>
    </row>
    <row r="22" s="34" customFormat="1" customHeight="1" spans="2:6">
      <c r="B22" s="49"/>
      <c r="C22" s="47">
        <f>IF(交易!$C25="","",交易!$C25)</f>
        <v>42879</v>
      </c>
      <c r="D22" s="48">
        <f>IF(交易!$O25="",0,交易!$O25*IF(交易!$I25=MR,-1,1))</f>
        <v>-1221.2</v>
      </c>
      <c r="E22" s="49"/>
      <c r="F22" s="49"/>
    </row>
    <row r="23" s="34" customFormat="1" customHeight="1" spans="2:6">
      <c r="B23" s="49"/>
      <c r="C23" s="47">
        <f>IF(交易!$C26="","",交易!$C26)</f>
        <v>42916</v>
      </c>
      <c r="D23" s="48">
        <f>IF(交易!$O26="",0,交易!$O26*IF(交易!$I26=MR,-1,1))</f>
        <v>-1045.2</v>
      </c>
      <c r="E23" s="49"/>
      <c r="F23" s="49"/>
    </row>
    <row r="24" s="34" customFormat="1" customHeight="1" spans="2:6">
      <c r="B24" s="49"/>
      <c r="C24" s="47">
        <f>IF(交易!$C27="","",交易!$C27)</f>
        <v>42933</v>
      </c>
      <c r="D24" s="48">
        <f>IF(交易!$O27="",0,交易!$O27*IF(交易!$I27=MR,-1,1))</f>
        <v>-1000</v>
      </c>
      <c r="E24" s="49"/>
      <c r="F24" s="49"/>
    </row>
    <row r="25" s="34" customFormat="1" customHeight="1" spans="2:6">
      <c r="B25" s="49"/>
      <c r="C25" s="47">
        <f>IF(交易!$C28="","",交易!$C28)</f>
        <v>42947</v>
      </c>
      <c r="D25" s="48">
        <f>IF(交易!$O28="",0,交易!$O28*IF(交易!$I28=MR,-1,1))</f>
        <v>-1008</v>
      </c>
      <c r="E25" s="49"/>
      <c r="F25" s="49"/>
    </row>
    <row r="26" s="34" customFormat="1" customHeight="1" spans="2:6">
      <c r="B26" s="49"/>
      <c r="C26" s="47">
        <f>IF(交易!$C29="","",交易!$C29)</f>
        <v>42947</v>
      </c>
      <c r="D26" s="48">
        <f>IF(交易!$O29="",0,交易!$O29*IF(交易!$I29=MR,-1,1))</f>
        <v>-990</v>
      </c>
      <c r="E26" s="49"/>
      <c r="F26" s="49"/>
    </row>
    <row r="27" s="34" customFormat="1" customHeight="1" spans="2:6">
      <c r="B27" s="49"/>
      <c r="C27" s="47">
        <f>IF(交易!$C30="","",交易!$C30)</f>
        <v>42947</v>
      </c>
      <c r="D27" s="48">
        <f>IF(交易!$O30="",0,交易!$O30*IF(交易!$I30=MR,-1,1))</f>
        <v>-1000</v>
      </c>
      <c r="E27" s="49"/>
      <c r="F27" s="49"/>
    </row>
    <row r="28" s="34" customFormat="1" customHeight="1" spans="2:6">
      <c r="B28" s="49"/>
      <c r="C28" s="47">
        <f>IF(交易!$C31="","",交易!$C31)</f>
        <v>42962</v>
      </c>
      <c r="D28" s="48">
        <f>IF(交易!$O31="",0,交易!$O31*IF(交易!$I31=MR,-1,1))</f>
        <v>-1018</v>
      </c>
      <c r="E28" s="49"/>
      <c r="F28" s="49"/>
    </row>
    <row r="29" s="34" customFormat="1" customHeight="1" spans="2:6">
      <c r="B29" s="49"/>
      <c r="C29" s="47">
        <f>IF(交易!$C32="","",交易!$C32)</f>
        <v>42962</v>
      </c>
      <c r="D29" s="48">
        <f>IF(交易!$O32="",0,交易!$O32*IF(交易!$I32=MR,-1,1))</f>
        <v>-1000</v>
      </c>
      <c r="E29" s="49"/>
      <c r="F29" s="49"/>
    </row>
    <row r="30" s="34" customFormat="1" customHeight="1" spans="2:6">
      <c r="B30" s="49"/>
      <c r="C30" s="47">
        <f>IF(交易!$C33="","",交易!$C33)</f>
        <v>42978</v>
      </c>
      <c r="D30" s="48">
        <f>IF(交易!$O33="",0,交易!$O33*IF(交易!$I33=MR,-1,1))</f>
        <v>-1000</v>
      </c>
      <c r="E30" s="49"/>
      <c r="F30" s="49"/>
    </row>
    <row r="31" s="34" customFormat="1" customHeight="1" spans="2:6">
      <c r="B31" s="49"/>
      <c r="C31" s="47">
        <f>IF(交易!$C34="","",交易!$C34)</f>
        <v>42978</v>
      </c>
      <c r="D31" s="48">
        <f>IF(交易!$O34="",0,交易!$O34*IF(交易!$I34=MR,-1,1))</f>
        <v>-1000</v>
      </c>
      <c r="E31" s="49"/>
      <c r="F31" s="49"/>
    </row>
    <row r="32" s="34" customFormat="1" customHeight="1" spans="2:6">
      <c r="B32" s="49"/>
      <c r="C32" s="47">
        <f>IF(交易!$C35="","",交易!$C35)</f>
        <v>42992</v>
      </c>
      <c r="D32" s="48">
        <f>IF(交易!$O35="",0,交易!$O35*IF(交易!$I35=MR,-1,1))</f>
        <v>-1000</v>
      </c>
      <c r="E32" s="49"/>
      <c r="F32" s="49"/>
    </row>
    <row r="33" s="34" customFormat="1" customHeight="1" spans="2:6">
      <c r="B33" s="49"/>
      <c r="C33" s="47">
        <f>IF(交易!$C36="","",交易!$C36)</f>
        <v>43006</v>
      </c>
      <c r="D33" s="48">
        <f>IF(交易!$O36="",0,交易!$O36*IF(交易!$I36=MR,-1,1))</f>
        <v>-1000</v>
      </c>
      <c r="E33" s="49"/>
      <c r="F33" s="49"/>
    </row>
    <row r="34" s="34" customFormat="1" customHeight="1" spans="2:6">
      <c r="B34" s="49"/>
      <c r="C34" s="47">
        <f>IF(交易!$C37="","",交易!$C37)</f>
        <v>43007</v>
      </c>
      <c r="D34" s="48">
        <f>IF(交易!$O37="",0,交易!$O37*IF(交易!$I37=MR,-1,1))</f>
        <v>-1000</v>
      </c>
      <c r="E34" s="49"/>
      <c r="F34" s="49"/>
    </row>
    <row r="35" s="34" customFormat="1" customHeight="1" spans="2:6">
      <c r="B35" s="49"/>
      <c r="C35" s="47">
        <f>IF(交易!$C38="","",交易!$C38)</f>
        <v>43023</v>
      </c>
      <c r="D35" s="48">
        <f>IF(交易!$O38="",0,交易!$O38*IF(交易!$I38=MR,-1,1))</f>
        <v>-1000</v>
      </c>
      <c r="E35" s="49"/>
      <c r="F35" s="49"/>
    </row>
    <row r="36" s="34" customFormat="1" customHeight="1" spans="2:6">
      <c r="B36" s="49"/>
      <c r="C36" s="47">
        <f>IF(交易!$C39="","",交易!$C39)</f>
        <v>43025</v>
      </c>
      <c r="D36" s="48">
        <f>IF(交易!$O39="",0,交易!$O39*IF(交易!$I39=MR,-1,1))</f>
        <v>-1000</v>
      </c>
      <c r="E36" s="49"/>
      <c r="F36" s="49"/>
    </row>
    <row r="37" s="34" customFormat="1" customHeight="1" spans="2:6">
      <c r="B37" s="49"/>
      <c r="C37" s="47" t="e">
        <f>IF(交易!#REF!="","",交易!#REF!)</f>
        <v>#REF!</v>
      </c>
      <c r="D37" s="48" t="e">
        <f>IF(交易!#REF!="",0,交易!#REF!*IF(交易!#REF!=MR,-1,1))</f>
        <v>#REF!</v>
      </c>
      <c r="E37" s="49"/>
      <c r="F37" s="49"/>
    </row>
    <row r="38" s="34" customFormat="1" customHeight="1" spans="2:6">
      <c r="B38" s="49"/>
      <c r="C38" s="47">
        <f>IF(交易!$C40="","",交易!$C40)</f>
        <v>43035</v>
      </c>
      <c r="D38" s="48">
        <f>IF(交易!$O40="",0,交易!$O40*IF(交易!$I40=MR,-1,1))</f>
        <v>-1000</v>
      </c>
      <c r="E38" s="49"/>
      <c r="F38" s="49"/>
    </row>
    <row r="39" s="34" customFormat="1" customHeight="1" spans="2:6">
      <c r="B39" s="49"/>
      <c r="C39" s="47">
        <f>IF(交易!$C41="","",交易!$C41)</f>
        <v>43035</v>
      </c>
      <c r="D39" s="48">
        <f>IF(交易!$O41="",0,交易!$O41*IF(交易!$I41=MR,-1,1))</f>
        <v>-1000</v>
      </c>
      <c r="E39" s="49"/>
      <c r="F39" s="49"/>
    </row>
    <row r="40" s="34" customFormat="1" customHeight="1" spans="2:6">
      <c r="B40" s="49"/>
      <c r="C40" s="47">
        <f>IF(交易!$C42="","",交易!$C42)</f>
        <v>43041</v>
      </c>
      <c r="D40" s="48">
        <f>IF(交易!$O42="",0,交易!$O42*IF(交易!$I42=MR,-1,1))</f>
        <v>-683</v>
      </c>
      <c r="E40" s="49"/>
      <c r="F40" s="49"/>
    </row>
    <row r="41" s="34" customFormat="1" customHeight="1" spans="2:6">
      <c r="B41" s="49"/>
      <c r="C41" s="47">
        <f>IF(交易!$C43="","",交易!$C43)</f>
        <v>43041</v>
      </c>
      <c r="D41" s="48">
        <f>IF(交易!$O43="",0,交易!$O43*IF(交易!$I43=MR,-1,1))</f>
        <v>-1000</v>
      </c>
      <c r="E41" s="49"/>
      <c r="F41" s="49"/>
    </row>
    <row r="42" s="34" customFormat="1" customHeight="1" spans="2:6">
      <c r="B42" s="49"/>
      <c r="C42" s="47">
        <f>IF(交易!$C44="","",交易!$C44)</f>
        <v>43047</v>
      </c>
      <c r="D42" s="48">
        <f>IF(交易!$O44="",0,交易!$O44*IF(交易!$I44=MR,-1,1))</f>
        <v>1014.9</v>
      </c>
      <c r="E42" s="49"/>
      <c r="F42" s="49"/>
    </row>
    <row r="43" s="34" customFormat="1" customHeight="1" spans="2:6">
      <c r="B43" s="49"/>
      <c r="C43" s="47">
        <f>IF(交易!$C45="","",交易!$C45)</f>
        <v>43055</v>
      </c>
      <c r="D43" s="48">
        <f>IF(交易!$O45="",0,交易!$O45*IF(交易!$I45=MR,-1,1))</f>
        <v>-1000</v>
      </c>
      <c r="E43" s="49"/>
      <c r="F43" s="49"/>
    </row>
    <row r="44" s="34" customFormat="1" customHeight="1" spans="2:6">
      <c r="B44" s="49"/>
      <c r="C44" s="47">
        <f>IF(交易!$C46="","",交易!$C46)</f>
        <v>43067</v>
      </c>
      <c r="D44" s="48">
        <f>IF(交易!$O46="",0,交易!$O46*IF(交易!$I46=MR,-1,1))</f>
        <v>-1008</v>
      </c>
      <c r="E44" s="49"/>
      <c r="F44" s="49"/>
    </row>
    <row r="45" s="34" customFormat="1" customHeight="1" spans="2:6">
      <c r="B45" s="49"/>
      <c r="C45" s="47">
        <f>IF(交易!$C47="","",交易!$C47)</f>
        <v>43069</v>
      </c>
      <c r="D45" s="48">
        <f>IF(交易!$O47="",0,交易!$O47*IF(交易!$I47=MR,-1,1))</f>
        <v>-1000</v>
      </c>
      <c r="E45" s="49"/>
      <c r="F45" s="49"/>
    </row>
    <row r="46" s="34" customFormat="1" customHeight="1" spans="2:6">
      <c r="B46" s="49"/>
      <c r="C46" s="47">
        <f>IF(交易!$C48="","",交易!$C48)</f>
        <v>43069</v>
      </c>
      <c r="D46" s="48">
        <f>IF(交易!$O48="",0,交易!$O48*IF(交易!$I48=MR,-1,1))</f>
        <v>-1000</v>
      </c>
      <c r="E46" s="49"/>
      <c r="F46" s="49"/>
    </row>
    <row r="47" s="34" customFormat="1" customHeight="1" spans="2:6">
      <c r="B47" s="49"/>
      <c r="C47" s="47">
        <f>IF(交易!$C49="","",交易!$C49)</f>
        <v>43069</v>
      </c>
      <c r="D47" s="48">
        <f>IF(交易!$O49="",0,交易!$O49*IF(交易!$I49=MR,-1,1))</f>
        <v>-2000</v>
      </c>
      <c r="E47" s="49"/>
      <c r="F47" s="49"/>
    </row>
    <row r="48" s="34" customFormat="1" customHeight="1" spans="2:6">
      <c r="B48" s="49"/>
      <c r="C48" s="47">
        <f>IF(交易!$C50="","",交易!$C50)</f>
        <v>43073</v>
      </c>
      <c r="D48" s="48">
        <f>IF(交易!$O50="",0,交易!$O50*IF(交易!$I50=MR,-1,1))</f>
        <v>1001.3</v>
      </c>
      <c r="E48" s="49"/>
      <c r="F48" s="49"/>
    </row>
    <row r="49" customHeight="1" spans="3:4">
      <c r="C49" s="47">
        <f>IF(交易!$C51="","",交易!$C51)</f>
        <v>43083</v>
      </c>
      <c r="D49" s="48">
        <f>IF(交易!$O51="",0,交易!$O51*IF(交易!$I51=MR,-1,1))</f>
        <v>-991</v>
      </c>
    </row>
    <row r="50" customHeight="1" spans="3:4">
      <c r="C50" s="47">
        <f>IF(交易!$C52="","",交易!$C52)</f>
        <v>43083</v>
      </c>
      <c r="D50" s="48">
        <f>IF(交易!$O52="",0,交易!$O52*IF(交易!$I52=MR,-1,1))</f>
        <v>-1000</v>
      </c>
    </row>
    <row r="51" customHeight="1" spans="3:4">
      <c r="C51" s="47">
        <f>IF(交易!$C53="","",交易!$C53)</f>
        <v>43092</v>
      </c>
      <c r="D51" s="48">
        <f>IF(交易!$O53="",0,交易!$O53*IF(交易!$I53=MR,-1,1))</f>
        <v>1006.4</v>
      </c>
    </row>
    <row r="52" customHeight="1" spans="3:4">
      <c r="C52" s="47">
        <f>IF(交易!$C54="","",交易!$C54)</f>
        <v>43098</v>
      </c>
      <c r="D52" s="48">
        <f>IF(交易!$O54="",0,交易!$O54*IF(交易!$I54=MR,-1,1))</f>
        <v>-1000</v>
      </c>
    </row>
    <row r="53" customHeight="1" spans="3:4">
      <c r="C53" s="47">
        <f>IF(交易!$C55="","",交易!$C55)</f>
        <v>43102</v>
      </c>
      <c r="D53" s="48">
        <f>IF(交易!$O55="",0,交易!$O55*IF(交易!$I55=MR,-1,1))</f>
        <v>-1000</v>
      </c>
    </row>
    <row r="54" customHeight="1" spans="3:4">
      <c r="C54" s="47" t="e">
        <f>IF(交易!#REF!="","",交易!#REF!)</f>
        <v>#REF!</v>
      </c>
      <c r="D54" s="48" t="e">
        <f>IF(交易!#REF!="",0,交易!#REF!*IF(交易!#REF!=MR,-1,1))</f>
        <v>#REF!</v>
      </c>
    </row>
    <row r="55" customHeight="1" spans="3:4">
      <c r="C55" s="47" t="e">
        <f>IF(交易!#REF!="","",交易!#REF!)</f>
        <v>#REF!</v>
      </c>
      <c r="D55" s="48" t="e">
        <f>IF(交易!#REF!="",0,交易!#REF!*IF(交易!#REF!=MR,-1,1))</f>
        <v>#REF!</v>
      </c>
    </row>
    <row r="56" customHeight="1" spans="3:4">
      <c r="C56" s="47">
        <f>IF(交易!$C56="","",交易!$C56)</f>
        <v>43119</v>
      </c>
      <c r="D56" s="48">
        <f>IF(交易!$O56="",0,交易!$O56*IF(交易!$I56=MR,-1,1))</f>
        <v>-1000</v>
      </c>
    </row>
    <row r="57" customHeight="1" spans="3:4">
      <c r="C57" s="47">
        <f>IF(交易!$C57="","",交易!$C57)</f>
        <v>43119</v>
      </c>
      <c r="D57" s="48">
        <f>IF(交易!$O57="",0,交易!$O57*IF(交易!$I57=MR,-1,1))</f>
        <v>-1996</v>
      </c>
    </row>
    <row r="58" customHeight="1" spans="3:4">
      <c r="C58" s="47" t="e">
        <f>IF(交易!#REF!="","",交易!#REF!)</f>
        <v>#REF!</v>
      </c>
      <c r="D58" s="48" t="e">
        <f>IF(交易!#REF!="",0,交易!#REF!*IF(交易!#REF!=MR,-1,1))</f>
        <v>#REF!</v>
      </c>
    </row>
    <row r="59" customHeight="1" spans="3:4">
      <c r="C59" s="47" t="e">
        <f>IF(交易!#REF!="","",交易!#REF!)</f>
        <v>#REF!</v>
      </c>
      <c r="D59" s="48" t="e">
        <f>IF(交易!#REF!="",0,交易!#REF!*IF(交易!#REF!=MR,-1,1))</f>
        <v>#REF!</v>
      </c>
    </row>
    <row r="60" customHeight="1" spans="3:4">
      <c r="C60" s="47">
        <f>IF(交易!$C58="","",交易!$C58)</f>
        <v>43132</v>
      </c>
      <c r="D60" s="48">
        <f>IF(交易!$O58="",0,交易!$O58*IF(交易!$I58=MR,-1,1))</f>
        <v>-1000</v>
      </c>
    </row>
    <row r="61" customHeight="1" spans="3:4">
      <c r="C61" s="47">
        <f>IF(交易!$C59="","",交易!$C59)</f>
        <v>43132</v>
      </c>
      <c r="D61" s="48">
        <f>IF(交易!$O59="",0,交易!$O59*IF(交易!$I59=MR,-1,1))</f>
        <v>-1673.8</v>
      </c>
    </row>
    <row r="62" customHeight="1" spans="3:4">
      <c r="C62" s="47">
        <f>IF(交易!$C60="","",交易!$C60)</f>
        <v>43133</v>
      </c>
      <c r="D62" s="48">
        <f>IF(交易!$O60="",0,交易!$O60*IF(交易!$I60=MR,-1,1))</f>
        <v>-1000</v>
      </c>
    </row>
    <row r="63" customHeight="1" spans="3:4">
      <c r="C63" s="47">
        <f>IF(交易!$C61="","",交易!$C61)</f>
        <v>43137</v>
      </c>
      <c r="D63" s="48">
        <f>IF(交易!$O61="",0,交易!$O61*IF(交易!$I61=MR,-1,1))</f>
        <v>-1020</v>
      </c>
    </row>
    <row r="64" customHeight="1" spans="3:4">
      <c r="C64" s="47">
        <f>IF(交易!$C62="","",交易!$C62)</f>
        <v>43137</v>
      </c>
      <c r="D64" s="48">
        <f>IF(交易!$O62="",0,交易!$O62*IF(交易!$I62=MR,-1,1))</f>
        <v>-1000</v>
      </c>
    </row>
    <row r="65" customHeight="1" spans="3:4">
      <c r="C65" s="47">
        <f>IF(交易!$C63="","",交易!$C63)</f>
        <v>43138</v>
      </c>
      <c r="D65" s="48">
        <f>IF(交易!$O63="",0,交易!$O63*IF(交易!$I63=MR,-1,1))</f>
        <v>-1000</v>
      </c>
    </row>
    <row r="66" customHeight="1" spans="3:4">
      <c r="C66" s="47">
        <f>IF(交易!$C64="","",交易!$C64)</f>
        <v>43139</v>
      </c>
      <c r="D66" s="48">
        <f>IF(交易!$O64="",0,交易!$O64*IF(交易!$I64=MR,-1,1))</f>
        <v>-987.2</v>
      </c>
    </row>
    <row r="67" customHeight="1" spans="3:4">
      <c r="C67" s="47">
        <f>IF(交易!$C65="","",交易!$C65)</f>
        <v>43139</v>
      </c>
      <c r="D67" s="48">
        <f>IF(交易!$O65="",0,交易!$O65*IF(交易!$I65=MR,-1,1))</f>
        <v>-2172.3</v>
      </c>
    </row>
    <row r="68" customHeight="1" spans="3:4">
      <c r="C68" s="47">
        <f>IF(交易!$C66="","",交易!$C66)</f>
        <v>43143</v>
      </c>
      <c r="D68" s="48">
        <f>IF(交易!$O66="",0,交易!$O66*IF(交易!$I66=MR,-1,1))</f>
        <v>-2008.5</v>
      </c>
    </row>
    <row r="69" customHeight="1" spans="3:4">
      <c r="C69" s="47">
        <f>IF(交易!$C67="","",交易!$C67)</f>
        <v>43144</v>
      </c>
      <c r="D69" s="48">
        <f>IF(交易!$O67="",0,交易!$O67*IF(交易!$I67=MR,-1,1))</f>
        <v>-1000</v>
      </c>
    </row>
    <row r="70" customHeight="1" spans="3:4">
      <c r="C70" s="47">
        <f>IF(交易!$C68="","",交易!$C68)</f>
        <v>43144</v>
      </c>
      <c r="D70" s="48">
        <f>IF(交易!$O68="",0,交易!$O68*IF(交易!$I68=MR,-1,1))</f>
        <v>-1000</v>
      </c>
    </row>
    <row r="71" customHeight="1" spans="3:4">
      <c r="C71" s="47">
        <f>IF(交易!$C69="","",交易!$C69)</f>
        <v>43154</v>
      </c>
      <c r="D71" s="48">
        <f>IF(交易!$O69="",0,交易!$O69*IF(交易!$I69=MR,-1,1))</f>
        <v>2094.3</v>
      </c>
    </row>
    <row r="72" customHeight="1" spans="3:4">
      <c r="C72" s="47">
        <f>IF(交易!$C70="","",交易!$C70)</f>
        <v>43161</v>
      </c>
      <c r="D72" s="48">
        <f>IF(交易!$O70="",0,交易!$O70*IF(交易!$I70=MR,-1,1))</f>
        <v>-1000</v>
      </c>
    </row>
    <row r="73" customHeight="1" spans="3:4">
      <c r="C73" s="47">
        <f>IF(交易!$C71="","",交易!$C71)</f>
        <v>43192</v>
      </c>
      <c r="D73" s="48">
        <f>IF(交易!$O71="",0,交易!$O71*IF(交易!$I71=MR,-1,1))</f>
        <v>-979</v>
      </c>
    </row>
    <row r="74" customHeight="1" spans="3:4">
      <c r="C74" s="47">
        <f>IF(交易!$C72="","",交易!$C72)</f>
        <v>43192</v>
      </c>
      <c r="D74" s="48">
        <f>IF(交易!$O72="",0,交易!$O72*IF(交易!$I72=MR,-1,1))</f>
        <v>-1000</v>
      </c>
    </row>
    <row r="75" customHeight="1" spans="3:4">
      <c r="C75" s="47">
        <f>IF(交易!$C73="","",交易!$C73)</f>
        <v>43193</v>
      </c>
      <c r="D75" s="48">
        <f>IF(交易!$O73="",0,交易!$O73*IF(交易!$I73=MR,-1,1))</f>
        <v>-2029.2</v>
      </c>
    </row>
    <row r="76" customHeight="1" spans="3:4">
      <c r="C76" s="47">
        <f>IF(交易!$C74="","",交易!$C74)</f>
        <v>43199</v>
      </c>
      <c r="D76" s="48">
        <f>IF(交易!$O74="",0,交易!$O74*IF(交易!$I74=MR,-1,1))</f>
        <v>2052</v>
      </c>
    </row>
    <row r="77" customHeight="1" spans="3:4">
      <c r="C77" s="47">
        <f>IF(交易!$C75="","",交易!$C75)</f>
        <v>43202</v>
      </c>
      <c r="D77" s="48">
        <f>IF(交易!$O75="",0,交易!$O75*IF(交易!$I75=MR,-1,1))</f>
        <v>2207.4</v>
      </c>
    </row>
    <row r="78" customHeight="1" spans="3:4">
      <c r="C78" s="47" t="e">
        <f>IF(交易!#REF!="","",交易!#REF!)</f>
        <v>#REF!</v>
      </c>
      <c r="D78" s="48" t="e">
        <f>IF(交易!#REF!="",0,交易!#REF!*IF(交易!#REF!=MR,-1,1))</f>
        <v>#REF!</v>
      </c>
    </row>
    <row r="79" customHeight="1" spans="3:4">
      <c r="C79" s="47">
        <f>IF(交易!$C76="","",交易!$C76)</f>
        <v>43206</v>
      </c>
      <c r="D79" s="48">
        <f>IF(交易!$O76="",0,交易!$O76*IF(交易!$I76=MR,-1,1))</f>
        <v>2578.5</v>
      </c>
    </row>
    <row r="80" customHeight="1" spans="3:4">
      <c r="C80" s="47">
        <f>IF(交易!$C77="","",交易!$C77)</f>
        <v>43208</v>
      </c>
      <c r="D80" s="48">
        <f>IF(交易!$O77="",0,交易!$O77*IF(交易!$I77=MR,-1,1))</f>
        <v>-1000</v>
      </c>
    </row>
    <row r="81" customHeight="1" spans="3:4">
      <c r="C81" s="47" t="e">
        <f>IF(交易!#REF!="","",交易!#REF!)</f>
        <v>#REF!</v>
      </c>
      <c r="D81" s="48" t="e">
        <f>IF(交易!#REF!="",0,交易!#REF!*IF(交易!#REF!=MR,-1,1))</f>
        <v>#REF!</v>
      </c>
    </row>
    <row r="82" customHeight="1" spans="3:4">
      <c r="C82" s="47">
        <f>IF(交易!$C78="","",交易!$C78)</f>
        <v>43216</v>
      </c>
      <c r="D82" s="48">
        <f>IF(交易!$O78="",0,交易!$O78*IF(交易!$I78=MR,-1,1))</f>
        <v>-1000</v>
      </c>
    </row>
    <row r="83" customHeight="1" spans="3:4">
      <c r="C83" s="47">
        <f>IF(交易!$C79="","",交易!$C79)</f>
        <v>43216</v>
      </c>
      <c r="D83" s="48">
        <f>IF(交易!$O79="",0,交易!$O79*IF(交易!$I79=MR,-1,1))</f>
        <v>998.06</v>
      </c>
    </row>
    <row r="84" customHeight="1" spans="3:4">
      <c r="C84" s="47">
        <f>IF(交易!$C80="","",交易!$C80)</f>
        <v>43216</v>
      </c>
      <c r="D84" s="48">
        <f>IF(交易!$O80="",0,交易!$O80*IF(交易!$I80=MR,-1,1))</f>
        <v>-1000</v>
      </c>
    </row>
    <row r="85" customHeight="1" spans="3:4">
      <c r="C85" s="47">
        <f>IF(交易!$C81="","",交易!$C81)</f>
        <v>43216</v>
      </c>
      <c r="D85" s="48">
        <f>IF(交易!$O81="",0,交易!$O81*IF(交易!$I81=MR,-1,1))</f>
        <v>-1000</v>
      </c>
    </row>
    <row r="86" customHeight="1" spans="3:4">
      <c r="C86" s="47">
        <f>IF(交易!$C82="","",交易!$C82)</f>
        <v>43237</v>
      </c>
      <c r="D86" s="48">
        <f>IF(交易!$O82="",0,交易!$O82*IF(交易!$I82=MR,-1,1))</f>
        <v>-1045</v>
      </c>
    </row>
    <row r="87" customHeight="1" spans="3:4">
      <c r="C87" s="47">
        <f>IF(交易!$C83="","",交易!$C83)</f>
        <v>43237</v>
      </c>
      <c r="D87" s="48">
        <f>IF(交易!$O83="",0,交易!$O83*IF(交易!$I83=MR,-1,1))</f>
        <v>-1257</v>
      </c>
    </row>
    <row r="88" customHeight="1" spans="3:4">
      <c r="C88" s="47">
        <f>IF(交易!$C84="","",交易!$C84)</f>
        <v>43249</v>
      </c>
      <c r="D88" s="48">
        <f>IF(交易!$O84="",0,交易!$O84*IF(交易!$I84=MR,-1,1))</f>
        <v>-936.1</v>
      </c>
    </row>
    <row r="89" customHeight="1" spans="3:4">
      <c r="C89" s="47">
        <f>IF(交易!$C85="","",交易!$C85)</f>
        <v>43251</v>
      </c>
      <c r="D89" s="48">
        <f>IF(交易!$O85="",0,交易!$O85*IF(交易!$I85=MR,-1,1))</f>
        <v>-1213.6</v>
      </c>
    </row>
    <row r="90" customHeight="1" spans="3:4">
      <c r="C90" s="47">
        <f>IF(交易!$C86="","",交易!$C86)</f>
        <v>43251</v>
      </c>
      <c r="D90" s="48">
        <f>IF(交易!$O86="",0,交易!$O86*IF(交易!$I86=MR,-1,1))</f>
        <v>993</v>
      </c>
    </row>
    <row r="91" customHeight="1" spans="3:4">
      <c r="C91" s="47">
        <f>IF(交易!$C87="","",交易!$C87)</f>
        <v>43251</v>
      </c>
      <c r="D91" s="48">
        <f>IF(交易!$O87="",0,交易!$O87*IF(交易!$I87=MR,-1,1))</f>
        <v>-1000</v>
      </c>
    </row>
    <row r="92" customHeight="1" spans="3:4">
      <c r="C92" s="47">
        <f>IF(交易!$C88="","",交易!$C88)</f>
        <v>43251</v>
      </c>
      <c r="D92" s="48">
        <f>IF(交易!$O88="",0,交易!$O88*IF(交易!$I88=MR,-1,1))</f>
        <v>-1000</v>
      </c>
    </row>
    <row r="93" customHeight="1" spans="3:4">
      <c r="C93" s="47">
        <f>IF(交易!$C89="","",交易!$C89)</f>
        <v>43255</v>
      </c>
      <c r="D93" s="48">
        <f>IF(交易!$O89="",0,交易!$O89*IF(交易!$I89=MR,-1,1))</f>
        <v>-2000</v>
      </c>
    </row>
    <row r="94" customHeight="1" spans="3:4">
      <c r="C94" s="47">
        <f>IF(交易!$C90="","",交易!$C90)</f>
        <v>43259</v>
      </c>
      <c r="D94" s="48">
        <f>IF(交易!$O90="",0,交易!$O90*IF(交易!$I90=MR,-1,1))</f>
        <v>-984</v>
      </c>
    </row>
    <row r="95" customHeight="1" spans="3:4">
      <c r="C95" s="47">
        <f>IF(交易!$C91="","",交易!$C91)</f>
        <v>43265</v>
      </c>
      <c r="D95" s="48">
        <f>IF(交易!$O91="",0,交易!$O91*IF(交易!$I91=MR,-1,1))</f>
        <v>-1000</v>
      </c>
    </row>
    <row r="96" customHeight="1" spans="3:4">
      <c r="C96" s="47">
        <f>IF(交易!$C92="","",交易!$C92)</f>
        <v>43265</v>
      </c>
      <c r="D96" s="48">
        <f>IF(交易!$O92="",0,交易!$O92*IF(交易!$I92=MR,-1,1))</f>
        <v>-1000</v>
      </c>
    </row>
    <row r="97" customHeight="1" spans="3:4">
      <c r="C97" s="47">
        <f>IF(交易!$C93="","",交易!$C93)</f>
        <v>43270</v>
      </c>
      <c r="D97" s="48">
        <f>IF(交易!$O93="",0,交易!$O93*IF(交易!$I93=MR,-1,1))</f>
        <v>-997.1</v>
      </c>
    </row>
    <row r="98" customHeight="1" spans="3:4">
      <c r="C98" s="47">
        <f>IF(交易!$C94="","",交易!$C94)</f>
        <v>43270</v>
      </c>
      <c r="D98" s="48">
        <f>IF(交易!$O94="",0,交易!$O94*IF(交易!$I94=MR,-1,1))</f>
        <v>-1100</v>
      </c>
    </row>
    <row r="99" customHeight="1" spans="3:4">
      <c r="C99" s="47">
        <f>IF(交易!$C95="","",交易!$C95)</f>
        <v>43270</v>
      </c>
      <c r="D99" s="48">
        <f>IF(交易!$O95="",0,交易!$O95*IF(交易!$I95=MR,-1,1))</f>
        <v>-1000</v>
      </c>
    </row>
    <row r="100" customHeight="1" spans="3:4">
      <c r="C100" s="47">
        <f>IF(交易!$C96="","",交易!$C96)</f>
        <v>43273</v>
      </c>
      <c r="D100" s="48">
        <f>IF(交易!$O96="",0,交易!$O96*IF(交易!$I96=MR,-1,1))</f>
        <v>-1026.2</v>
      </c>
    </row>
    <row r="101" customHeight="1" spans="3:4">
      <c r="C101" s="47">
        <f>IF(交易!$C97="","",交易!$C97)</f>
        <v>43279</v>
      </c>
      <c r="D101" s="48">
        <f>IF(交易!$O97="",0,交易!$O97*IF(交易!$I97=MR,-1,1))</f>
        <v>-1000</v>
      </c>
    </row>
    <row r="102" customHeight="1" spans="3:4">
      <c r="C102" s="47">
        <f>IF(交易!$C98="","",交易!$C98)</f>
        <v>43279</v>
      </c>
      <c r="D102" s="48">
        <f>IF(交易!$O98="",0,交易!$O98*IF(交易!$I98=MR,-1,1))</f>
        <v>-1000</v>
      </c>
    </row>
    <row r="103" customHeight="1" spans="3:4">
      <c r="C103" s="47">
        <f>IF(交易!$C99="","",交易!$C99)</f>
        <v>43279</v>
      </c>
      <c r="D103" s="48">
        <f>IF(交易!$O99="",0,交易!$O99*IF(交易!$I99=MR,-1,1))</f>
        <v>-1000</v>
      </c>
    </row>
    <row r="104" customHeight="1" spans="3:4">
      <c r="C104" s="47">
        <f>IF(交易!$C100="","",交易!$C100)</f>
        <v>43279</v>
      </c>
      <c r="D104" s="48">
        <f>IF(交易!$O100="",0,交易!$O100*IF(交易!$I100=MR,-1,1))</f>
        <v>-1000</v>
      </c>
    </row>
    <row r="105" customHeight="1" spans="3:4">
      <c r="C105" s="47">
        <f>IF(交易!$C101="","",交易!$C101)</f>
        <v>43280</v>
      </c>
      <c r="D105" s="48">
        <f>IF(交易!$O101="",0,交易!$O101*IF(交易!$I101=MR,-1,1))</f>
        <v>1052.8</v>
      </c>
    </row>
    <row r="106" customHeight="1" spans="3:4">
      <c r="C106" s="47">
        <f>IF(交易!$C102="","",交易!$C102)</f>
        <v>43286</v>
      </c>
      <c r="D106" s="48">
        <f>IF(交易!$O102="",0,交易!$O102*IF(交易!$I102=MR,-1,1))</f>
        <v>-950</v>
      </c>
    </row>
    <row r="107" customHeight="1" spans="3:4">
      <c r="C107" s="47">
        <f>IF(交易!$C103="","",交易!$C103)</f>
        <v>43286</v>
      </c>
      <c r="D107" s="48">
        <f>IF(交易!$O103="",0,交易!$O103*IF(交易!$I103=MR,-1,1))</f>
        <v>1000.11</v>
      </c>
    </row>
    <row r="108" customHeight="1" spans="3:4">
      <c r="C108" s="47">
        <f>IF(交易!$C104="","",交易!$C104)</f>
        <v>43287</v>
      </c>
      <c r="D108" s="48">
        <f>IF(交易!$O104="",0,交易!$O104*IF(交易!$I104=MR,-1,1))</f>
        <v>-1000</v>
      </c>
    </row>
    <row r="109" customHeight="1" spans="3:4">
      <c r="C109" s="47">
        <f>IF(交易!$C105="","",交易!$C105)</f>
        <v>43297</v>
      </c>
      <c r="D109" s="48">
        <f>IF(交易!$O105="",0,交易!$O105*IF(交易!$I105=MR,-1,1))</f>
        <v>-980.4</v>
      </c>
    </row>
    <row r="110" customHeight="1" spans="3:4">
      <c r="C110" s="47">
        <f>IF(交易!$C106="","",交易!$C106)</f>
        <v>43297</v>
      </c>
      <c r="D110" s="48">
        <f>IF(交易!$O106="",0,交易!$O106*IF(交易!$I106=MR,-1,1))</f>
        <v>-1000</v>
      </c>
    </row>
    <row r="111" customHeight="1" spans="3:4">
      <c r="C111" s="47" t="e">
        <f>IF(交易!#REF!="","",交易!#REF!)</f>
        <v>#REF!</v>
      </c>
      <c r="D111" s="48" t="e">
        <f>IF(交易!#REF!="",0,交易!#REF!*IF(交易!#REF!=MR,-1,1))</f>
        <v>#REF!</v>
      </c>
    </row>
    <row r="112" customHeight="1" spans="3:4">
      <c r="C112" s="47">
        <f>IF(交易!$C107="","",交易!$C107)</f>
        <v>43301</v>
      </c>
      <c r="D112" s="48">
        <f>IF(交易!$O107="",0,交易!$O107*IF(交易!$I107=MR,-1,1))</f>
        <v>-1000</v>
      </c>
    </row>
    <row r="113" customHeight="1" spans="3:4">
      <c r="C113" s="47">
        <f>IF(交易!$C108="","",交易!$C108)</f>
        <v>43311</v>
      </c>
      <c r="D113" s="48">
        <f>IF(交易!$O108="",0,交易!$O108*IF(交易!$I108=MR,-1,1))</f>
        <v>-975</v>
      </c>
    </row>
    <row r="114" customHeight="1" spans="3:4">
      <c r="C114" s="47">
        <f>IF(交易!$C109="","",交易!$C109)</f>
        <v>43313</v>
      </c>
      <c r="D114" s="48">
        <f>IF(交易!$O109="",0,交易!$O109*IF(交易!$I109=MR,-1,1))</f>
        <v>-1000</v>
      </c>
    </row>
    <row r="115" customHeight="1" spans="3:4">
      <c r="C115" s="47">
        <f>IF(交易!$C110="","",交易!$C110)</f>
        <v>43314</v>
      </c>
      <c r="D115" s="48">
        <f>IF(交易!$O110="",0,交易!$O110*IF(交易!$I110=MR,-1,1))</f>
        <v>-1002.4</v>
      </c>
    </row>
    <row r="116" customHeight="1" spans="3:4">
      <c r="C116" s="47">
        <f>IF(交易!$C111="","",交易!$C111)</f>
        <v>43315</v>
      </c>
      <c r="D116" s="48">
        <f>IF(交易!$O111="",0,交易!$O111*IF(交易!$I111=MR,-1,1))</f>
        <v>-1000</v>
      </c>
    </row>
    <row r="117" customHeight="1" spans="3:4">
      <c r="C117" s="47">
        <f>IF(交易!$C112="","",交易!$C112)</f>
        <v>43318</v>
      </c>
      <c r="D117" s="48">
        <f>IF(交易!$O112="",0,交易!$O112*IF(交易!$I112=MR,-1,1))</f>
        <v>-1008</v>
      </c>
    </row>
    <row r="118" customHeight="1" spans="3:4">
      <c r="C118" s="47">
        <f>IF(交易!$C113="","",交易!$C113)</f>
        <v>43318</v>
      </c>
      <c r="D118" s="48">
        <f>IF(交易!$O113="",0,交易!$O113*IF(交易!$I113=MR,-1,1))</f>
        <v>1141.44</v>
      </c>
    </row>
    <row r="119" customHeight="1" spans="3:4">
      <c r="C119" s="47">
        <f>IF(交易!$C114="","",交易!$C114)</f>
        <v>43318</v>
      </c>
      <c r="D119" s="48">
        <f>IF(交易!$O114="",0,交易!$O114*IF(交易!$I114=MR,-1,1))</f>
        <v>-1023</v>
      </c>
    </row>
    <row r="120" customHeight="1" spans="3:4">
      <c r="C120" s="47">
        <f>IF(交易!$C115="","",交易!$C115)</f>
        <v>43318</v>
      </c>
      <c r="D120" s="48">
        <f>IF(交易!$O115="",0,交易!$O115*IF(交易!$I115=MR,-1,1))</f>
        <v>-1000</v>
      </c>
    </row>
    <row r="121" customHeight="1" spans="3:4">
      <c r="C121" s="47">
        <f>IF(交易!$C116="","",交易!$C116)</f>
        <v>43321</v>
      </c>
      <c r="D121" s="48">
        <f>IF(交易!$O116="",0,交易!$O116*IF(交易!$I116=MR,-1,1))</f>
        <v>1065</v>
      </c>
    </row>
    <row r="122" customHeight="1" spans="3:4">
      <c r="C122" s="47">
        <f>IF(交易!$C117="","",交易!$C117)</f>
        <v>43327</v>
      </c>
      <c r="D122" s="48">
        <f>IF(交易!$O117="",0,交易!$O117*IF(交易!$I117=MR,-1,1))</f>
        <v>-1000</v>
      </c>
    </row>
    <row r="123" customHeight="1" spans="3:4">
      <c r="C123" s="47">
        <f>IF(交易!$C118="","",交易!$C118)</f>
        <v>43329</v>
      </c>
      <c r="D123" s="48">
        <f>IF(交易!$O118="",0,交易!$O118*IF(交易!$I118=MR,-1,1))</f>
        <v>-1020</v>
      </c>
    </row>
    <row r="124" customHeight="1" spans="3:4">
      <c r="C124" s="47">
        <f>IF(交易!$C119="","",交易!$C119)</f>
        <v>43332</v>
      </c>
      <c r="D124" s="48">
        <f>IF(交易!$O119="",0,交易!$O119*IF(交易!$I119=MR,-1,1))</f>
        <v>-1000</v>
      </c>
    </row>
    <row r="125" customHeight="1" spans="3:4">
      <c r="C125" s="47">
        <f>IF(交易!$C120="","",交易!$C120)</f>
        <v>43332</v>
      </c>
      <c r="D125" s="48">
        <f>IF(交易!$O120="",0,交易!$O120*IF(交易!$I120=MR,-1,1))</f>
        <v>-1008</v>
      </c>
    </row>
    <row r="126" customHeight="1" spans="3:4">
      <c r="C126" s="47">
        <f>IF(交易!$C121="","",交易!$C121)</f>
        <v>43332</v>
      </c>
      <c r="D126" s="48">
        <f>IF(交易!$O121="",0,交易!$O121*IF(交易!$I121=MR,-1,1))</f>
        <v>1465.2</v>
      </c>
    </row>
    <row r="127" customHeight="1" spans="3:4">
      <c r="C127" s="47">
        <f>IF(交易!$C122="","",交易!$C122)</f>
        <v>43332</v>
      </c>
      <c r="D127" s="48">
        <f>IF(交易!$O122="",0,交易!$O122*IF(交易!$I122=MR,-1,1))</f>
        <v>996.85</v>
      </c>
    </row>
    <row r="128" customHeight="1" spans="3:4">
      <c r="C128" s="47">
        <f>IF(交易!$C123="","",交易!$C123)</f>
        <v>43339</v>
      </c>
      <c r="D128" s="48">
        <f>IF(交易!$O123="",0,交易!$O123*IF(交易!$I123=MR,-1,1))</f>
        <v>1027.6</v>
      </c>
    </row>
    <row r="129" customHeight="1" spans="3:4">
      <c r="C129" s="47">
        <f>IF(交易!$C124="","",交易!$C124)</f>
        <v>43346</v>
      </c>
      <c r="D129" s="48">
        <f>IF(交易!$O124="",0,交易!$O124*IF(交易!$I124=MR,-1,1))</f>
        <v>-1000</v>
      </c>
    </row>
    <row r="130" customHeight="1" spans="3:4">
      <c r="C130" s="47">
        <f>IF(交易!$C125="","",交易!$C125)</f>
        <v>43346</v>
      </c>
      <c r="D130" s="48">
        <f>IF(交易!$O125="",0,交易!$O125*IF(交易!$I125=MR,-1,1))</f>
        <v>-1000</v>
      </c>
    </row>
    <row r="131" customHeight="1" spans="3:4">
      <c r="C131" s="47">
        <f>IF(交易!$C126="","",交易!$C126)</f>
        <v>43348</v>
      </c>
      <c r="D131" s="48">
        <f>IF(交易!$O126="",0,交易!$O126*IF(交易!$I126=MR,-1,1))</f>
        <v>-1057.6</v>
      </c>
    </row>
    <row r="132" customHeight="1" spans="3:4">
      <c r="C132" s="47">
        <f>IF(交易!$C127="","",交易!$C127)</f>
        <v>43353</v>
      </c>
      <c r="D132" s="48">
        <f>IF(交易!$O127="",0,交易!$O127*IF(交易!$I127=MR,-1,1))</f>
        <v>-1045.5</v>
      </c>
    </row>
    <row r="133" customHeight="1" spans="3:4">
      <c r="C133" s="47">
        <f>IF(交易!$C128="","",交易!$C128)</f>
        <v>43353</v>
      </c>
      <c r="D133" s="48">
        <f>IF(交易!$O128="",0,交易!$O128*IF(交易!$I128=MR,-1,1))</f>
        <v>-994</v>
      </c>
    </row>
    <row r="134" customHeight="1" spans="3:4">
      <c r="C134" s="47">
        <f>IF(交易!$C129="","",交易!$C129)</f>
        <v>43357</v>
      </c>
      <c r="D134" s="48">
        <f>IF(交易!$O129="",0,交易!$O129*IF(交易!$I129=MR,-1,1))</f>
        <v>-996</v>
      </c>
    </row>
    <row r="135" customHeight="1" spans="3:4">
      <c r="C135" s="47">
        <f>IF(交易!$C130="","",交易!$C130)</f>
        <v>43364</v>
      </c>
      <c r="D135" s="48">
        <f>IF(交易!$O130="",0,交易!$O130*IF(交易!$I130=MR,-1,1))</f>
        <v>-1033.2</v>
      </c>
    </row>
    <row r="136" customHeight="1" spans="3:4">
      <c r="C136" s="47">
        <f>IF(交易!$C131="","",交易!$C131)</f>
        <v>43364</v>
      </c>
      <c r="D136" s="48">
        <f>IF(交易!$O131="",0,交易!$O131*IF(交易!$I131=MR,-1,1))</f>
        <v>1080</v>
      </c>
    </row>
    <row r="137" customHeight="1" spans="3:4">
      <c r="C137" s="47">
        <f>IF(交易!$C132="","",交易!$C132)</f>
        <v>43368</v>
      </c>
      <c r="D137" s="48">
        <f>IF(交易!$O132="",0,交易!$O132*IF(交易!$I132=MR,-1,1))</f>
        <v>-1000</v>
      </c>
    </row>
    <row r="138" customHeight="1" spans="3:4">
      <c r="C138" s="47">
        <f>IF(交易!$C133="","",交易!$C133)</f>
        <v>43371</v>
      </c>
      <c r="D138" s="48">
        <f>IF(交易!$O133="",0,交易!$O133*IF(交易!$I133=MR,-1,1))</f>
        <v>-1000</v>
      </c>
    </row>
    <row r="139" customHeight="1" spans="3:4">
      <c r="C139" s="47">
        <f>IF(交易!$C134="","",交易!$C134)</f>
        <v>43371</v>
      </c>
      <c r="D139" s="48">
        <f>IF(交易!$O134="",0,交易!$O134*IF(交易!$I134=MR,-1,1))</f>
        <v>-1000</v>
      </c>
    </row>
    <row r="140" customHeight="1" spans="3:4">
      <c r="C140" s="47">
        <f>IF(交易!$C135="","",交易!$C135)</f>
        <v>43380</v>
      </c>
      <c r="D140" s="48">
        <f>IF(交易!$O135="",0,交易!$O135*IF(交易!$I135=MR,-1,1))</f>
        <v>-933.8</v>
      </c>
    </row>
    <row r="141" customHeight="1" spans="3:4">
      <c r="C141" s="47">
        <f>IF(交易!$C136="","",交易!$C136)</f>
        <v>43381</v>
      </c>
      <c r="D141" s="48">
        <f>IF(交易!$O136="",0,交易!$O136*IF(交易!$I136=MR,-1,1))</f>
        <v>-1002.4</v>
      </c>
    </row>
    <row r="142" customHeight="1" spans="3:4">
      <c r="C142" s="47">
        <f>IF(交易!$C137="","",交易!$C137)</f>
        <v>43384</v>
      </c>
      <c r="D142" s="48">
        <f>IF(交易!$O137="",0,交易!$O137*IF(交易!$I137=MR,-1,1))</f>
        <v>-945.4</v>
      </c>
    </row>
    <row r="143" customHeight="1" spans="3:4">
      <c r="C143" s="47">
        <f>IF(交易!$C138="","",交易!$C138)</f>
        <v>43384</v>
      </c>
      <c r="D143" s="48">
        <f>IF(交易!$O138="",0,交易!$O138*IF(交易!$I138=MR,-1,1))</f>
        <v>-915.2</v>
      </c>
    </row>
    <row r="144" customHeight="1" spans="3:4">
      <c r="C144" s="47">
        <f>IF(交易!$C139="","",交易!$C139)</f>
        <v>43384</v>
      </c>
      <c r="D144" s="48">
        <f>IF(交易!$O139="",0,交易!$O139*IF(交易!$I139=MR,-1,1))</f>
        <v>-1015.5</v>
      </c>
    </row>
    <row r="145" customHeight="1" spans="3:4">
      <c r="C145" s="47">
        <f>IF(交易!$C140="","",交易!$C140)</f>
        <v>43384</v>
      </c>
      <c r="D145" s="48">
        <f>IF(交易!$O140="",0,交易!$O140*IF(交易!$I140=MR,-1,1))</f>
        <v>-985.5</v>
      </c>
    </row>
    <row r="146" customHeight="1" spans="3:4">
      <c r="C146" s="47">
        <f>IF(交易!$C141="","",交易!$C141)</f>
        <v>43385</v>
      </c>
      <c r="D146" s="48">
        <f>IF(交易!$O141="",0,交易!$O141*IF(交易!$I141=MR,-1,1))</f>
        <v>-886</v>
      </c>
    </row>
    <row r="147" customHeight="1" spans="3:4">
      <c r="C147" s="47">
        <f>IF(交易!$C142="","",交易!$C142)</f>
        <v>43385</v>
      </c>
      <c r="D147" s="48">
        <f>IF(交易!$O142="",0,交易!$O142*IF(交易!$I142=MR,-1,1))</f>
        <v>-1020.8</v>
      </c>
    </row>
    <row r="148" customHeight="1" spans="3:4">
      <c r="C148" s="47">
        <f>IF(交易!$C143="","",交易!$C143)</f>
        <v>43388</v>
      </c>
      <c r="D148" s="48">
        <f>IF(交易!$O143="",0,交易!$O143*IF(交易!$I143=MR,-1,1))</f>
        <v>-1012.5</v>
      </c>
    </row>
    <row r="149" customHeight="1" spans="3:4">
      <c r="C149" s="47">
        <f>IF(交易!$C144="","",交易!$C144)</f>
        <v>43388</v>
      </c>
      <c r="D149" s="48">
        <f>IF(交易!$O144="",0,交易!$O144*IF(交易!$I144=MR,-1,1))</f>
        <v>-1000</v>
      </c>
    </row>
    <row r="150" customHeight="1" spans="3:4">
      <c r="C150" s="47">
        <f>IF(交易!$C145="","",交易!$C145)</f>
        <v>43388</v>
      </c>
      <c r="D150" s="48">
        <f>IF(交易!$O145="",0,交易!$O145*IF(交易!$I145=MR,-1,1))</f>
        <v>915.2</v>
      </c>
    </row>
    <row r="151" customHeight="1" spans="3:4">
      <c r="C151" s="47">
        <f>IF(交易!$C146="","",交易!$C146)</f>
        <v>43388</v>
      </c>
      <c r="D151" s="48">
        <f>IF(交易!$O146="",0,交易!$O146*IF(交易!$I146=MR,-1,1))</f>
        <v>-1022.4</v>
      </c>
    </row>
    <row r="152" customHeight="1" spans="3:4">
      <c r="C152" s="47">
        <f>IF(交易!$C147="","",交易!$C147)</f>
        <v>43389</v>
      </c>
      <c r="D152" s="48">
        <f>IF(交易!$O147="",0,交易!$O147*IF(交易!$I147=MR,-1,1))</f>
        <v>-886</v>
      </c>
    </row>
    <row r="153" customHeight="1" spans="3:4">
      <c r="C153" s="47">
        <f>IF(交易!$C148="","",交易!$C148)</f>
        <v>43395</v>
      </c>
      <c r="D153" s="48">
        <f>IF(交易!$O148="",0,交易!$O148*IF(交易!$I148=MR,-1,1))</f>
        <v>915.2</v>
      </c>
    </row>
    <row r="154" customHeight="1" spans="3:4">
      <c r="C154" s="47">
        <f>IF(交易!$C149="","",交易!$C149)</f>
        <v>43395</v>
      </c>
      <c r="D154" s="48">
        <f>IF(交易!$O149="",0,交易!$O149*IF(交易!$I149=MR,-1,1))</f>
        <v>1051.2</v>
      </c>
    </row>
    <row r="155" customHeight="1" spans="3:4">
      <c r="C155" s="47">
        <f>IF(交易!$C150="","",交易!$C150)</f>
        <v>43395</v>
      </c>
      <c r="D155" s="48">
        <f>IF(交易!$O150="",0,交易!$O150*IF(交易!$I150=MR,-1,1))</f>
        <v>1015.5</v>
      </c>
    </row>
    <row r="156" customHeight="1" spans="3:4">
      <c r="C156" s="47" t="e">
        <f>IF(交易!#REF!="","",交易!#REF!)</f>
        <v>#REF!</v>
      </c>
      <c r="D156" s="48" t="e">
        <f>IF(交易!#REF!="",0,交易!#REF!*IF(交易!#REF!=MR,-1,1))</f>
        <v>#REF!</v>
      </c>
    </row>
    <row r="157" customHeight="1" spans="3:4">
      <c r="C157" s="47">
        <f>IF(交易!$C151="","",交易!$C151)</f>
        <v>43398</v>
      </c>
      <c r="D157" s="48">
        <f>IF(交易!$O151="",0,交易!$O151*IF(交易!$I151=MR,-1,1))</f>
        <v>-881.4</v>
      </c>
    </row>
    <row r="158" customHeight="1" spans="3:4">
      <c r="C158" s="47">
        <f>IF(交易!$C152="","",交易!$C152)</f>
        <v>43398</v>
      </c>
      <c r="D158" s="48">
        <f>IF(交易!$O152="",0,交易!$O152*IF(交易!$I152=MR,-1,1))</f>
        <v>1101</v>
      </c>
    </row>
    <row r="159" customHeight="1" spans="3:4">
      <c r="C159" s="47">
        <f>IF(交易!$C153="","",交易!$C153)</f>
        <v>43399</v>
      </c>
      <c r="D159" s="48">
        <f>IF(交易!$O153="",0,交易!$O153*IF(交易!$I153=MR,-1,1))</f>
        <v>915.2</v>
      </c>
    </row>
    <row r="160" customHeight="1" spans="3:4">
      <c r="C160" s="47">
        <f>IF(交易!$C154="","",交易!$C154)</f>
        <v>43402</v>
      </c>
      <c r="D160" s="48">
        <f>IF(交易!$O154="",0,交易!$O154*IF(交易!$I154=MR,-1,1))</f>
        <v>-1000</v>
      </c>
    </row>
    <row r="161" customHeight="1" spans="3:4">
      <c r="C161" s="47">
        <f>IF(交易!$C155="","",交易!$C155)</f>
        <v>43403</v>
      </c>
      <c r="D161" s="48">
        <f>IF(交易!$O155="",0,交易!$O155*IF(交易!$I155=MR,-1,1))</f>
        <v>1016.47</v>
      </c>
    </row>
    <row r="162" customHeight="1" spans="3:4">
      <c r="C162" s="47">
        <f>IF(交易!$C156="","",交易!$C156)</f>
        <v>43403</v>
      </c>
      <c r="D162" s="48">
        <f>IF(交易!$O156="",0,交易!$O156*IF(交易!$I156=MR,-1,1))</f>
        <v>2000</v>
      </c>
    </row>
    <row r="163" customHeight="1" spans="3:4">
      <c r="C163" s="47">
        <f>IF(交易!$C157="","",交易!$C157)</f>
        <v>43403</v>
      </c>
      <c r="D163" s="48">
        <f>IF(交易!$O157="",0,交易!$O157*IF(交易!$I157=MR,-1,1))</f>
        <v>-964</v>
      </c>
    </row>
    <row r="164" customHeight="1" spans="3:4">
      <c r="C164" s="47">
        <f>IF(交易!$C158="","",交易!$C158)</f>
        <v>43403</v>
      </c>
      <c r="D164" s="48">
        <f>IF(交易!$O158="",0,交易!$O158*IF(交易!$I158=MR,-1,1))</f>
        <v>-1000</v>
      </c>
    </row>
    <row r="165" customHeight="1" spans="3:4">
      <c r="C165" s="47">
        <f>IF(交易!$C159="","",交易!$C159)</f>
        <v>43403</v>
      </c>
      <c r="D165" s="48">
        <f>IF(交易!$O159="",0,交易!$O159*IF(交易!$I159=MR,-1,1))</f>
        <v>-1000</v>
      </c>
    </row>
    <row r="166" customHeight="1" spans="3:4">
      <c r="C166" s="47">
        <f>IF(交易!$C160="","",交易!$C160)</f>
        <v>43403</v>
      </c>
      <c r="D166" s="48">
        <f>IF(交易!$O160="",0,交易!$O160*IF(交易!$I160=MR,-1,1))</f>
        <v>-1000</v>
      </c>
    </row>
    <row r="167" customHeight="1" spans="3:4">
      <c r="C167" s="47">
        <f>IF(交易!$C161="","",交易!$C161)</f>
        <v>43403</v>
      </c>
      <c r="D167" s="48">
        <f>IF(交易!$O161="",0,交易!$O161*IF(交易!$I161=MR,-1,1))</f>
        <v>-1000</v>
      </c>
    </row>
    <row r="168" customHeight="1" spans="3:4">
      <c r="C168" s="47"/>
      <c r="D168" s="48"/>
    </row>
    <row r="169" customHeight="1" spans="3:4">
      <c r="C169" s="47"/>
      <c r="D169" s="48"/>
    </row>
    <row r="170" customHeight="1" spans="3:4">
      <c r="C170" s="47"/>
      <c r="D170" s="48"/>
    </row>
    <row r="235" customHeight="1" spans="3:4">
      <c r="C235" s="47">
        <v>43404</v>
      </c>
      <c r="D235" s="58">
        <f>图表!E11</f>
        <v>95441</v>
      </c>
    </row>
    <row r="236" customHeight="1" spans="4:4">
      <c r="D236" s="59" t="e">
        <f>XIRR(D4:D235,C4:C235)</f>
        <v>#VALUE!</v>
      </c>
    </row>
  </sheetData>
  <sheetProtection selectLockedCells="1"/>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V22"/>
  <sheetViews>
    <sheetView showGridLines="0" showRowColHeaders="0" workbookViewId="0">
      <selection activeCell="I7" sqref="A1:IV65536"/>
    </sheetView>
  </sheetViews>
  <sheetFormatPr defaultColWidth="9" defaultRowHeight="24.95" customHeight="1"/>
  <cols>
    <col min="1" max="1" width="1.625" style="5" customWidth="1"/>
    <col min="2" max="2" width="2.625" style="6" customWidth="1"/>
    <col min="3" max="11" width="12.625" style="6" customWidth="1"/>
    <col min="12" max="12" width="2.625" style="6" customWidth="1"/>
    <col min="13" max="13" width="1.625" style="5" customWidth="1"/>
    <col min="14" max="256" width="9" style="4" customWidth="1"/>
  </cols>
  <sheetData>
    <row r="1" s="1" customFormat="1" ht="10" customHeight="1" spans="1:14">
      <c r="A1" s="7"/>
      <c r="B1" s="7"/>
      <c r="C1" s="7"/>
      <c r="D1" s="7"/>
      <c r="E1" s="7"/>
      <c r="F1" s="7"/>
      <c r="G1" s="7"/>
      <c r="H1" s="7"/>
      <c r="I1" s="7"/>
      <c r="J1" s="7"/>
      <c r="K1" s="7"/>
      <c r="L1" s="7"/>
      <c r="M1" s="12"/>
      <c r="N1" s="3"/>
    </row>
    <row r="2" s="2" customFormat="1" ht="36" customHeight="1" spans="1:21">
      <c r="A2" s="8"/>
      <c r="C2" s="9" t="s">
        <v>123</v>
      </c>
      <c r="D2" s="10"/>
      <c r="E2" s="11"/>
      <c r="F2" s="11"/>
      <c r="G2" s="11"/>
      <c r="H2" s="11"/>
      <c r="I2" s="11"/>
      <c r="J2" s="11"/>
      <c r="K2" s="11"/>
      <c r="L2" s="11"/>
      <c r="M2" s="27"/>
      <c r="N2" s="28"/>
      <c r="O2" s="28"/>
      <c r="P2" s="28"/>
      <c r="Q2" s="29"/>
      <c r="R2" s="29"/>
      <c r="S2" s="28"/>
      <c r="T2" s="28"/>
      <c r="U2" s="30"/>
    </row>
    <row r="3" s="3" customFormat="1" ht="10" customHeight="1" spans="1:13">
      <c r="A3" s="12"/>
      <c r="B3" s="12"/>
      <c r="C3" s="13"/>
      <c r="D3" s="14"/>
      <c r="E3" s="13"/>
      <c r="F3" s="13"/>
      <c r="G3" s="13"/>
      <c r="H3" s="13"/>
      <c r="I3" s="13"/>
      <c r="J3" s="13"/>
      <c r="K3" s="13"/>
      <c r="L3" s="13"/>
      <c r="M3" s="12"/>
    </row>
    <row r="4" s="4" customFormat="1" ht="40" customHeight="1" spans="1:13">
      <c r="A4" s="5"/>
      <c r="B4" s="15"/>
      <c r="C4" s="16" t="s">
        <v>124</v>
      </c>
      <c r="D4" s="16"/>
      <c r="E4" s="16"/>
      <c r="F4" s="17"/>
      <c r="G4" s="17"/>
      <c r="H4" s="18"/>
      <c r="I4" s="18"/>
      <c r="J4" s="18"/>
      <c r="K4" s="18"/>
      <c r="L4" s="18"/>
      <c r="M4" s="5"/>
    </row>
    <row r="5" customHeight="1" spans="2:12">
      <c r="B5" s="15"/>
      <c r="C5" s="19" t="s">
        <v>6</v>
      </c>
      <c r="D5" s="19" t="s">
        <v>125</v>
      </c>
      <c r="E5" s="20"/>
      <c r="F5" s="17"/>
      <c r="G5" s="17"/>
      <c r="H5" s="18"/>
      <c r="I5" s="18"/>
      <c r="J5" s="18"/>
      <c r="K5" s="18"/>
      <c r="L5" s="18"/>
    </row>
    <row r="6" customHeight="1" spans="2:12">
      <c r="B6" s="15"/>
      <c r="C6" s="20" t="s">
        <v>126</v>
      </c>
      <c r="D6" s="21">
        <v>150000</v>
      </c>
      <c r="E6" s="20"/>
      <c r="F6" s="17"/>
      <c r="G6" s="17"/>
      <c r="H6" s="18"/>
      <c r="I6" s="18"/>
      <c r="J6" s="18"/>
      <c r="K6" s="18"/>
      <c r="L6" s="18"/>
    </row>
    <row r="7" customHeight="1" spans="2:12">
      <c r="B7" s="15"/>
      <c r="C7" s="20" t="s">
        <v>38</v>
      </c>
      <c r="D7" s="21">
        <v>150</v>
      </c>
      <c r="E7" s="20"/>
      <c r="F7" s="17"/>
      <c r="G7" s="17"/>
      <c r="H7" s="18"/>
      <c r="I7" s="18"/>
      <c r="J7" s="18"/>
      <c r="K7" s="18"/>
      <c r="L7" s="18"/>
    </row>
    <row r="8" customHeight="1" spans="2:12">
      <c r="B8" s="15"/>
      <c r="C8" s="20" t="s">
        <v>127</v>
      </c>
      <c r="D8" s="21">
        <f>$D6/$D7</f>
        <v>1000</v>
      </c>
      <c r="E8" s="20"/>
      <c r="F8" s="17"/>
      <c r="G8" s="17"/>
      <c r="H8" s="18"/>
      <c r="I8" s="18"/>
      <c r="J8" s="18"/>
      <c r="K8" s="18"/>
      <c r="L8" s="18"/>
    </row>
    <row r="9" s="1" customFormat="1" ht="10" customHeight="1" spans="1:256">
      <c r="A9" s="5"/>
      <c r="B9" s="6"/>
      <c r="C9" s="20"/>
      <c r="D9" s="20"/>
      <c r="E9" s="20"/>
      <c r="F9" s="22"/>
      <c r="G9" s="22"/>
      <c r="H9" s="22"/>
      <c r="I9" s="22"/>
      <c r="J9" s="22"/>
      <c r="K9" s="22"/>
      <c r="L9" s="18"/>
      <c r="M9" s="5"/>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row>
    <row r="10" s="3" customFormat="1" ht="10" customHeight="1" spans="1:13">
      <c r="A10" s="12"/>
      <c r="B10" s="12"/>
      <c r="C10" s="13"/>
      <c r="D10" s="14"/>
      <c r="E10" s="13"/>
      <c r="F10" s="13"/>
      <c r="G10" s="13"/>
      <c r="H10" s="13"/>
      <c r="I10" s="13"/>
      <c r="J10" s="13"/>
      <c r="K10" s="13"/>
      <c r="L10" s="13"/>
      <c r="M10" s="12"/>
    </row>
    <row r="11" ht="40" customHeight="1" spans="3:12">
      <c r="C11" s="23" t="s">
        <v>128</v>
      </c>
      <c r="D11" s="23"/>
      <c r="E11" s="23"/>
      <c r="F11" s="24"/>
      <c r="G11" s="24"/>
      <c r="H11" s="24"/>
      <c r="I11" s="24"/>
      <c r="J11" s="18"/>
      <c r="K11" s="18"/>
      <c r="L11" s="18"/>
    </row>
    <row r="12" customHeight="1" spans="3:12">
      <c r="C12" s="19" t="s">
        <v>46</v>
      </c>
      <c r="D12" s="19" t="s">
        <v>51</v>
      </c>
      <c r="E12" s="19" t="s">
        <v>47</v>
      </c>
      <c r="F12" s="25" t="s">
        <v>37</v>
      </c>
      <c r="G12" s="25" t="s">
        <v>36</v>
      </c>
      <c r="H12" s="25"/>
      <c r="I12" s="25"/>
      <c r="J12" s="22"/>
      <c r="K12" s="22"/>
      <c r="L12" s="18"/>
    </row>
    <row r="13" customHeight="1" spans="3:12">
      <c r="C13" s="20" t="s">
        <v>17</v>
      </c>
      <c r="D13" s="20" t="s">
        <v>13</v>
      </c>
      <c r="E13" s="20" t="s">
        <v>32</v>
      </c>
      <c r="F13" s="22" t="s">
        <v>11</v>
      </c>
      <c r="G13" s="22" t="s">
        <v>10</v>
      </c>
      <c r="H13" s="22"/>
      <c r="I13" s="22"/>
      <c r="J13" s="22"/>
      <c r="K13" s="22"/>
      <c r="L13" s="18"/>
    </row>
    <row r="14" customHeight="1" spans="3:12">
      <c r="C14" s="20" t="s">
        <v>12</v>
      </c>
      <c r="D14" s="20" t="s">
        <v>18</v>
      </c>
      <c r="E14" s="20" t="s">
        <v>33</v>
      </c>
      <c r="F14" s="22" t="s">
        <v>16</v>
      </c>
      <c r="G14" s="22" t="s">
        <v>15</v>
      </c>
      <c r="H14" s="22"/>
      <c r="I14" s="22"/>
      <c r="J14" s="22"/>
      <c r="K14" s="22"/>
      <c r="L14" s="18"/>
    </row>
    <row r="15" customHeight="1" spans="3:12">
      <c r="C15" s="20"/>
      <c r="D15" s="20"/>
      <c r="E15" s="20"/>
      <c r="F15" s="22" t="s">
        <v>21</v>
      </c>
      <c r="G15" s="22" t="s">
        <v>20</v>
      </c>
      <c r="H15" s="22"/>
      <c r="I15" s="22"/>
      <c r="J15" s="22"/>
      <c r="K15" s="22"/>
      <c r="L15" s="18"/>
    </row>
    <row r="16" customHeight="1" spans="3:11">
      <c r="C16" s="26"/>
      <c r="D16" s="26"/>
      <c r="E16" s="26"/>
      <c r="F16" s="26" t="s">
        <v>22</v>
      </c>
      <c r="G16" s="26"/>
      <c r="H16" s="26"/>
      <c r="I16" s="26"/>
      <c r="J16" s="26"/>
      <c r="K16" s="26"/>
    </row>
    <row r="17" customHeight="1" spans="3:11">
      <c r="C17" s="26"/>
      <c r="D17" s="26"/>
      <c r="E17" s="26"/>
      <c r="F17" s="26" t="s">
        <v>25</v>
      </c>
      <c r="G17" s="26"/>
      <c r="H17" s="26"/>
      <c r="I17" s="26"/>
      <c r="J17" s="26"/>
      <c r="K17" s="26"/>
    </row>
    <row r="18" customHeight="1" spans="3:11">
      <c r="C18" s="26"/>
      <c r="D18" s="26"/>
      <c r="E18" s="26"/>
      <c r="F18" s="26" t="s">
        <v>26</v>
      </c>
      <c r="G18" s="26"/>
      <c r="H18" s="26"/>
      <c r="I18" s="26"/>
      <c r="J18" s="26"/>
      <c r="K18" s="26"/>
    </row>
    <row r="19" customHeight="1" spans="3:11">
      <c r="C19" s="26"/>
      <c r="D19" s="26"/>
      <c r="E19" s="26"/>
      <c r="F19" s="26" t="s">
        <v>28</v>
      </c>
      <c r="G19" s="26"/>
      <c r="H19" s="26"/>
      <c r="I19" s="26"/>
      <c r="J19" s="26"/>
      <c r="K19" s="26"/>
    </row>
    <row r="22" s="3" customFormat="1" ht="10" customHeight="1" spans="1:13">
      <c r="A22" s="12"/>
      <c r="B22" s="12"/>
      <c r="C22" s="13"/>
      <c r="D22" s="14"/>
      <c r="E22" s="13"/>
      <c r="F22" s="13"/>
      <c r="G22" s="13"/>
      <c r="H22" s="13"/>
      <c r="I22" s="13"/>
      <c r="J22" s="13"/>
      <c r="K22" s="13"/>
      <c r="L22" s="13"/>
      <c r="M22" s="12"/>
    </row>
  </sheetData>
  <sheetProtection sheet="1" selectLockedCells="1" objects="1"/>
  <mergeCells count="1">
    <mergeCell ref="C11:E1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7</vt:i4>
      </vt:variant>
    </vt:vector>
  </HeadingPairs>
  <TitlesOfParts>
    <vt:vector size="7" baseType="lpstr">
      <vt:lpstr>图表</vt:lpstr>
      <vt:lpstr>统计</vt:lpstr>
      <vt:lpstr>交易</vt:lpstr>
      <vt:lpstr>基金</vt:lpstr>
      <vt:lpstr>待补</vt:lpstr>
      <vt:lpstr>年化</vt:lpstr>
      <vt:lpstr>参数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服务器</dc:creator>
  <cp:lastModifiedBy>一正</cp:lastModifiedBy>
  <dcterms:created xsi:type="dcterms:W3CDTF">2017-01-17T16:53:00Z</dcterms:created>
  <dcterms:modified xsi:type="dcterms:W3CDTF">2018-11-01T05:31:02Z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false</vt:bool>
  </property>
  <property fmtid="{D5CDD505-2E9C-101B-9397-08002B2CF9AE}" pid="3" name="KSOProductBuildVer">
    <vt:lpwstr>2052-11.1.0.7881</vt:lpwstr>
  </property>
</Properties>
</file>