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0" yWindow="96" windowWidth="15192" windowHeight="8700" firstSheet="1" activeTab="6"/>
  </bookViews>
  <sheets>
    <sheet name="Page 3" sheetId="2" r:id="rId1"/>
    <sheet name="People" sheetId="9" r:id="rId2"/>
    <sheet name="RJRCondensed" sheetId="8" r:id="rId3"/>
    <sheet name="RJRBS" sheetId="7" r:id="rId4"/>
    <sheet name="RJRSegment" sheetId="6" r:id="rId5"/>
    <sheet name="RJRMan" sheetId="4" r:id="rId6"/>
    <sheet name="DCFMan" sheetId="14" r:id="rId7"/>
    <sheet name="RJRKKR" sheetId="3" r:id="rId8"/>
    <sheet name="DCFKKR" sheetId="15" r:id="rId9"/>
    <sheet name="RJRPrebid" sheetId="5" r:id="rId10"/>
    <sheet name="DCFPreBid" sheetId="10" r:id="rId11"/>
    <sheet name="DCFL" sheetId="11" r:id="rId12"/>
    <sheet name="Debt Payment" sheetId="12" r:id="rId13"/>
  </sheets>
  <externalReferences>
    <externalReference r:id="rId14"/>
  </externalReferences>
  <definedNames>
    <definedName name="solver_adj" localSheetId="12" hidden="1">'Debt Payment'!$D$2</definedName>
    <definedName name="solver_cvg" localSheetId="12" hidden="1">0.0001</definedName>
    <definedName name="solver_drv" localSheetId="12" hidden="1">1</definedName>
    <definedName name="solver_eng" localSheetId="12" hidden="1">1</definedName>
    <definedName name="solver_itr" localSheetId="12" hidden="1">2147483647</definedName>
    <definedName name="solver_lhs1" localSheetId="12" hidden="1">'Debt Payment'!$D$2</definedName>
    <definedName name="solver_lhs2" localSheetId="12" hidden="1">'Debt Payment'!$D$2</definedName>
    <definedName name="solver_lin" localSheetId="12" hidden="1">2</definedName>
    <definedName name="solver_mip" localSheetId="12" hidden="1">2147483647</definedName>
    <definedName name="solver_mni" localSheetId="12" hidden="1">30</definedName>
    <definedName name="solver_mrt" localSheetId="12" hidden="1">0.075</definedName>
    <definedName name="solver_msl" localSheetId="12" hidden="1">2</definedName>
    <definedName name="solver_neg" localSheetId="12" hidden="1">1</definedName>
    <definedName name="solver_nod" localSheetId="12" hidden="1">2147483647</definedName>
    <definedName name="solver_num" localSheetId="12" hidden="1">2</definedName>
    <definedName name="solver_opt" localSheetId="12" hidden="1">'Debt Payment'!#REF!</definedName>
    <definedName name="solver_pre" localSheetId="12" hidden="1">0.000001</definedName>
    <definedName name="solver_rbv" localSheetId="12" hidden="1">1</definedName>
    <definedName name="solver_rel1" localSheetId="12" hidden="1">1</definedName>
    <definedName name="solver_rel2" localSheetId="12" hidden="1">3</definedName>
    <definedName name="solver_rhs1" localSheetId="12" hidden="1">0.85</definedName>
    <definedName name="solver_rhs2" localSheetId="12" hidden="1">0.05</definedName>
    <definedName name="solver_rlx" localSheetId="12" hidden="1">2</definedName>
    <definedName name="solver_rsd" localSheetId="12" hidden="1">0</definedName>
    <definedName name="solver_scl" localSheetId="12" hidden="1">1</definedName>
    <definedName name="solver_sho" localSheetId="12" hidden="1">2</definedName>
    <definedName name="solver_ssz" localSheetId="12" hidden="1">100</definedName>
    <definedName name="solver_tim" localSheetId="12" hidden="1">2147483647</definedName>
    <definedName name="solver_tol" localSheetId="12" hidden="1">0.01</definedName>
    <definedName name="solver_typ" localSheetId="12" hidden="1">1</definedName>
    <definedName name="solver_val" localSheetId="12" hidden="1">0</definedName>
    <definedName name="solver_ver" localSheetId="12" hidden="1">2</definedName>
  </definedNames>
  <calcPr calcId="145621"/>
</workbook>
</file>

<file path=xl/calcChain.xml><?xml version="1.0" encoding="utf-8"?>
<calcChain xmlns="http://schemas.openxmlformats.org/spreadsheetml/2006/main">
  <c r="N23" i="15" l="1"/>
  <c r="D22" i="15"/>
  <c r="D14" i="15"/>
  <c r="D15" i="15"/>
  <c r="D16" i="15"/>
  <c r="D17" i="15"/>
  <c r="D18" i="15"/>
  <c r="D19" i="15"/>
  <c r="D13" i="15"/>
  <c r="F13" i="15"/>
  <c r="G13" i="15"/>
  <c r="H13" i="15"/>
  <c r="I13" i="15"/>
  <c r="I14" i="15" s="1"/>
  <c r="J13" i="15"/>
  <c r="J14" i="15" s="1"/>
  <c r="K13" i="15"/>
  <c r="L13" i="15"/>
  <c r="L14" i="15" s="1"/>
  <c r="M13" i="15"/>
  <c r="M14" i="15" s="1"/>
  <c r="N13" i="15"/>
  <c r="G14" i="15"/>
  <c r="H14" i="15"/>
  <c r="K14" i="15"/>
  <c r="F15" i="15"/>
  <c r="F14" i="15" s="1"/>
  <c r="G15" i="15"/>
  <c r="H15" i="15"/>
  <c r="I15" i="15"/>
  <c r="J15" i="15"/>
  <c r="K15" i="15"/>
  <c r="L15" i="15"/>
  <c r="M15" i="15"/>
  <c r="N15" i="15"/>
  <c r="N14" i="15" s="1"/>
  <c r="F16" i="15"/>
  <c r="G16" i="15"/>
  <c r="F7" i="15" s="1"/>
  <c r="H16" i="15"/>
  <c r="I16" i="15"/>
  <c r="J16" i="15"/>
  <c r="K16" i="15"/>
  <c r="J7" i="15" s="1"/>
  <c r="L16" i="15"/>
  <c r="M16" i="15"/>
  <c r="N16" i="15"/>
  <c r="N22" i="15" s="1"/>
  <c r="M24" i="15" s="1"/>
  <c r="M25" i="15" s="1"/>
  <c r="F17" i="15"/>
  <c r="G17" i="15"/>
  <c r="H17" i="15"/>
  <c r="I17" i="15"/>
  <c r="I22" i="15" s="1"/>
  <c r="H24" i="15" s="1"/>
  <c r="H25" i="15" s="1"/>
  <c r="J17" i="15"/>
  <c r="K17" i="15"/>
  <c r="L17" i="15"/>
  <c r="M17" i="15"/>
  <c r="M22" i="15" s="1"/>
  <c r="L24" i="15" s="1"/>
  <c r="N17" i="15"/>
  <c r="F18" i="15"/>
  <c r="G18" i="15"/>
  <c r="H18" i="15"/>
  <c r="I18" i="15"/>
  <c r="J18" i="15"/>
  <c r="K18" i="15"/>
  <c r="L18" i="15"/>
  <c r="M18" i="15"/>
  <c r="N18" i="15"/>
  <c r="F19" i="15"/>
  <c r="F22" i="15" s="1"/>
  <c r="E24" i="15" s="1"/>
  <c r="G19" i="15"/>
  <c r="H19" i="15"/>
  <c r="I19" i="15"/>
  <c r="J19" i="15"/>
  <c r="K19" i="15"/>
  <c r="L19" i="15"/>
  <c r="M19" i="15"/>
  <c r="N19" i="15"/>
  <c r="F20" i="15"/>
  <c r="G20" i="15"/>
  <c r="H20" i="15"/>
  <c r="I20" i="15"/>
  <c r="J20" i="15"/>
  <c r="K20" i="15"/>
  <c r="L20" i="15"/>
  <c r="M20" i="15"/>
  <c r="N20" i="15"/>
  <c r="E22" i="15"/>
  <c r="E20" i="15"/>
  <c r="E19" i="15"/>
  <c r="E18" i="15"/>
  <c r="E17" i="15"/>
  <c r="E16" i="15"/>
  <c r="E15" i="15"/>
  <c r="D7" i="15"/>
  <c r="E13" i="15"/>
  <c r="G52" i="15"/>
  <c r="J45" i="15"/>
  <c r="J44" i="15"/>
  <c r="J43" i="15"/>
  <c r="G43" i="15"/>
  <c r="J42" i="15"/>
  <c r="J47" i="15" s="1"/>
  <c r="G41" i="15"/>
  <c r="G40" i="15"/>
  <c r="J51" i="15" s="1"/>
  <c r="J52" i="15" s="1"/>
  <c r="C9" i="15" s="1"/>
  <c r="G39" i="15"/>
  <c r="G34" i="15"/>
  <c r="J34" i="15" s="1"/>
  <c r="J33" i="15"/>
  <c r="G33" i="15"/>
  <c r="J36" i="15" s="1"/>
  <c r="J22" i="15"/>
  <c r="I24" i="15" s="1"/>
  <c r="C19" i="15"/>
  <c r="L22" i="15"/>
  <c r="K24" i="15" s="1"/>
  <c r="I7" i="15"/>
  <c r="H22" i="15"/>
  <c r="G24" i="15" s="1"/>
  <c r="C16" i="15"/>
  <c r="C22" i="15" s="1"/>
  <c r="C15" i="15"/>
  <c r="C14" i="15"/>
  <c r="C13" i="15"/>
  <c r="N7" i="15"/>
  <c r="M7" i="15"/>
  <c r="L7" i="15"/>
  <c r="K7" i="15"/>
  <c r="H7" i="15"/>
  <c r="N4" i="15"/>
  <c r="M4" i="15"/>
  <c r="L4" i="15"/>
  <c r="K4" i="15"/>
  <c r="J4" i="15"/>
  <c r="I4" i="15"/>
  <c r="H4" i="15"/>
  <c r="G4" i="15"/>
  <c r="F4" i="15"/>
  <c r="E4" i="15"/>
  <c r="G52" i="14"/>
  <c r="J43" i="14"/>
  <c r="G43" i="14"/>
  <c r="J42" i="14"/>
  <c r="G41" i="14"/>
  <c r="G40" i="14"/>
  <c r="J51" i="14" s="1"/>
  <c r="G39" i="14"/>
  <c r="G34" i="14"/>
  <c r="J34" i="14" s="1"/>
  <c r="J33" i="14"/>
  <c r="G33" i="14"/>
  <c r="J45" i="14" s="1"/>
  <c r="N22" i="14"/>
  <c r="M22" i="14"/>
  <c r="M24" i="14" s="1"/>
  <c r="F22" i="14"/>
  <c r="F24" i="14" s="1"/>
  <c r="E22" i="14"/>
  <c r="E24" i="14" s="1"/>
  <c r="N19" i="14"/>
  <c r="M19" i="14"/>
  <c r="L19" i="14"/>
  <c r="K19" i="14"/>
  <c r="J19" i="14"/>
  <c r="I19" i="14"/>
  <c r="H19" i="14"/>
  <c r="G19" i="14"/>
  <c r="F19" i="14"/>
  <c r="E19" i="14"/>
  <c r="C19" i="14"/>
  <c r="N18" i="14"/>
  <c r="M18" i="14"/>
  <c r="L18" i="14"/>
  <c r="K18" i="14"/>
  <c r="J18" i="14"/>
  <c r="I18" i="14"/>
  <c r="H18" i="14"/>
  <c r="G18" i="14"/>
  <c r="F18" i="14"/>
  <c r="E18" i="14"/>
  <c r="D18" i="14"/>
  <c r="N17" i="14"/>
  <c r="M17" i="14"/>
  <c r="L17" i="14"/>
  <c r="K17" i="14"/>
  <c r="J17" i="14"/>
  <c r="I17" i="14"/>
  <c r="I22" i="14" s="1"/>
  <c r="I24" i="14" s="1"/>
  <c r="H17" i="14"/>
  <c r="G17" i="14"/>
  <c r="G22" i="14" s="1"/>
  <c r="G24" i="14" s="1"/>
  <c r="F17" i="14"/>
  <c r="E17" i="14"/>
  <c r="D17" i="14"/>
  <c r="N16" i="14"/>
  <c r="M16" i="14"/>
  <c r="L16" i="14"/>
  <c r="L22" i="14" s="1"/>
  <c r="L24" i="14" s="1"/>
  <c r="K16" i="14"/>
  <c r="K22" i="14" s="1"/>
  <c r="K24" i="14" s="1"/>
  <c r="J16" i="14"/>
  <c r="J7" i="14" s="1"/>
  <c r="I16" i="14"/>
  <c r="H16" i="14"/>
  <c r="H22" i="14" s="1"/>
  <c r="H24" i="14" s="1"/>
  <c r="G16" i="14"/>
  <c r="F16" i="14"/>
  <c r="F7" i="14" s="1"/>
  <c r="E16" i="14"/>
  <c r="D16" i="14"/>
  <c r="D22" i="14" s="1"/>
  <c r="C16" i="14"/>
  <c r="C22" i="14" s="1"/>
  <c r="N15" i="14"/>
  <c r="M15" i="14"/>
  <c r="L15" i="14"/>
  <c r="K15" i="14"/>
  <c r="J15" i="14"/>
  <c r="I15" i="14"/>
  <c r="H15" i="14"/>
  <c r="G15" i="14"/>
  <c r="F15" i="14"/>
  <c r="E15" i="14"/>
  <c r="D15" i="14"/>
  <c r="C15" i="14"/>
  <c r="M14" i="14"/>
  <c r="L14" i="14"/>
  <c r="K14" i="14"/>
  <c r="J14" i="14"/>
  <c r="E14" i="14"/>
  <c r="D14" i="14"/>
  <c r="C14" i="14"/>
  <c r="N13" i="14"/>
  <c r="N14" i="14" s="1"/>
  <c r="M13" i="14"/>
  <c r="L13" i="14"/>
  <c r="K13" i="14"/>
  <c r="J13" i="14"/>
  <c r="I13" i="14"/>
  <c r="I14" i="14" s="1"/>
  <c r="H13" i="14"/>
  <c r="H14" i="14" s="1"/>
  <c r="G13" i="14"/>
  <c r="G14" i="14" s="1"/>
  <c r="F13" i="14"/>
  <c r="F14" i="14" s="1"/>
  <c r="E13" i="14"/>
  <c r="D13" i="14"/>
  <c r="C13" i="14"/>
  <c r="N7" i="14"/>
  <c r="M7" i="14"/>
  <c r="L7" i="14"/>
  <c r="K7" i="14"/>
  <c r="I7" i="14"/>
  <c r="H7" i="14"/>
  <c r="G7" i="14"/>
  <c r="E7" i="14"/>
  <c r="D7" i="14"/>
  <c r="N4" i="14"/>
  <c r="M4" i="14"/>
  <c r="L4" i="14"/>
  <c r="K4" i="14"/>
  <c r="J4" i="14"/>
  <c r="I4" i="14"/>
  <c r="H4" i="14"/>
  <c r="G4" i="14"/>
  <c r="F4" i="14"/>
  <c r="E4" i="14"/>
  <c r="C9" i="10"/>
  <c r="I18" i="8"/>
  <c r="G43" i="10"/>
  <c r="G40" i="10"/>
  <c r="J35" i="10" s="1"/>
  <c r="G39" i="10"/>
  <c r="G34" i="10"/>
  <c r="C19" i="10"/>
  <c r="C33" i="7"/>
  <c r="C32" i="7"/>
  <c r="B32" i="7"/>
  <c r="C31" i="7"/>
  <c r="B31" i="7"/>
  <c r="C30" i="7"/>
  <c r="B30" i="7"/>
  <c r="E17" i="10"/>
  <c r="F17" i="10"/>
  <c r="G17" i="10"/>
  <c r="H17" i="10"/>
  <c r="I17" i="10"/>
  <c r="J17" i="10"/>
  <c r="K17" i="10"/>
  <c r="K22" i="10" s="1"/>
  <c r="L17" i="10"/>
  <c r="M17" i="10"/>
  <c r="N17" i="10"/>
  <c r="D17" i="10"/>
  <c r="H22" i="10"/>
  <c r="I22" i="10"/>
  <c r="C22" i="10"/>
  <c r="E18" i="3"/>
  <c r="F18" i="3"/>
  <c r="G18" i="3"/>
  <c r="H18" i="3"/>
  <c r="I18" i="3"/>
  <c r="J18" i="3"/>
  <c r="K18" i="3"/>
  <c r="L18" i="3"/>
  <c r="M18" i="3"/>
  <c r="N18" i="3"/>
  <c r="E18" i="5"/>
  <c r="F18" i="5"/>
  <c r="G18" i="5"/>
  <c r="H18" i="5"/>
  <c r="I18" i="5"/>
  <c r="J18" i="5"/>
  <c r="K18" i="5"/>
  <c r="L18" i="5"/>
  <c r="M18" i="5"/>
  <c r="N18" i="5"/>
  <c r="E18" i="10"/>
  <c r="F18" i="10"/>
  <c r="G18" i="10"/>
  <c r="H18" i="10"/>
  <c r="I18" i="10"/>
  <c r="J18" i="10"/>
  <c r="K18" i="10"/>
  <c r="L18" i="10"/>
  <c r="M18" i="10"/>
  <c r="N18" i="10"/>
  <c r="D18" i="3"/>
  <c r="D18" i="5"/>
  <c r="D18" i="10"/>
  <c r="F19" i="10"/>
  <c r="G19" i="10"/>
  <c r="H19" i="10"/>
  <c r="I19" i="10"/>
  <c r="J19" i="10"/>
  <c r="K19" i="10"/>
  <c r="L19" i="10"/>
  <c r="M19" i="10"/>
  <c r="N19" i="10"/>
  <c r="E19" i="10"/>
  <c r="E16" i="10"/>
  <c r="E7" i="10" s="1"/>
  <c r="F16" i="10"/>
  <c r="F22" i="10" s="1"/>
  <c r="G16" i="10"/>
  <c r="G22" i="10" s="1"/>
  <c r="G24" i="10" s="1"/>
  <c r="H16" i="10"/>
  <c r="I16" i="10"/>
  <c r="J16" i="10"/>
  <c r="K16" i="10"/>
  <c r="L16" i="10"/>
  <c r="M16" i="10"/>
  <c r="N16" i="10"/>
  <c r="N22" i="10" s="1"/>
  <c r="D16" i="10"/>
  <c r="C16" i="10"/>
  <c r="E15" i="10"/>
  <c r="E14" i="10" s="1"/>
  <c r="F15" i="10"/>
  <c r="G15" i="10"/>
  <c r="H15" i="10"/>
  <c r="I15" i="10"/>
  <c r="J15" i="10"/>
  <c r="K15" i="10"/>
  <c r="K14" i="10" s="1"/>
  <c r="L15" i="10"/>
  <c r="M15" i="10"/>
  <c r="N15" i="10"/>
  <c r="K13" i="10"/>
  <c r="L13" i="10"/>
  <c r="M13" i="10"/>
  <c r="N13" i="10"/>
  <c r="D15" i="10"/>
  <c r="C15" i="10"/>
  <c r="E13" i="10"/>
  <c r="F13" i="10"/>
  <c r="G13" i="10"/>
  <c r="H13" i="10"/>
  <c r="H14" i="10" s="1"/>
  <c r="I13" i="10"/>
  <c r="I14" i="10" s="1"/>
  <c r="J13" i="10"/>
  <c r="D13" i="10"/>
  <c r="D14" i="10" s="1"/>
  <c r="F4" i="10"/>
  <c r="G4" i="10"/>
  <c r="H4" i="10"/>
  <c r="I4" i="10"/>
  <c r="J4" i="10"/>
  <c r="K4" i="10"/>
  <c r="L4" i="10"/>
  <c r="M4" i="10"/>
  <c r="N4" i="10"/>
  <c r="E4" i="10"/>
  <c r="C13" i="10"/>
  <c r="L39" i="12"/>
  <c r="K38" i="12"/>
  <c r="J37" i="12"/>
  <c r="I36" i="12"/>
  <c r="H35" i="12"/>
  <c r="G34" i="12"/>
  <c r="B34" i="12"/>
  <c r="M34" i="12" s="1"/>
  <c r="F33" i="12"/>
  <c r="B33" i="12"/>
  <c r="M33" i="12" s="1"/>
  <c r="E32" i="12"/>
  <c r="D31" i="12"/>
  <c r="C30" i="12"/>
  <c r="C24" i="12"/>
  <c r="M20" i="12"/>
  <c r="L20" i="12"/>
  <c r="K20" i="12"/>
  <c r="J20" i="12"/>
  <c r="I20" i="12"/>
  <c r="H20" i="12"/>
  <c r="G20" i="12"/>
  <c r="F20" i="12"/>
  <c r="E20" i="12"/>
  <c r="D20" i="12"/>
  <c r="D13" i="12"/>
  <c r="D8" i="12"/>
  <c r="D21" i="12" s="1"/>
  <c r="D7" i="12"/>
  <c r="B37" i="12" s="1"/>
  <c r="M37" i="12" s="1"/>
  <c r="D5" i="12"/>
  <c r="D9" i="12" s="1"/>
  <c r="D10" i="12" s="1"/>
  <c r="D3" i="12"/>
  <c r="B39" i="12" s="1"/>
  <c r="M39" i="12" s="1"/>
  <c r="J57" i="11"/>
  <c r="J58" i="11" s="1"/>
  <c r="C9" i="11" s="1"/>
  <c r="J56" i="11"/>
  <c r="G56" i="11"/>
  <c r="J49" i="11"/>
  <c r="J47" i="11"/>
  <c r="J46" i="11"/>
  <c r="G45" i="11"/>
  <c r="J48" i="11" s="1"/>
  <c r="G44" i="11"/>
  <c r="G43" i="11"/>
  <c r="G47" i="11" s="1"/>
  <c r="J39" i="11"/>
  <c r="G38" i="11"/>
  <c r="J38" i="11" s="1"/>
  <c r="J37" i="11"/>
  <c r="G37" i="11"/>
  <c r="J40" i="11" s="1"/>
  <c r="J24" i="11"/>
  <c r="G61" i="11" s="1"/>
  <c r="I24" i="11"/>
  <c r="H24" i="11"/>
  <c r="G24" i="11"/>
  <c r="F24" i="11"/>
  <c r="E24" i="11"/>
  <c r="D24" i="11"/>
  <c r="C24" i="11"/>
  <c r="J23" i="11"/>
  <c r="I23" i="11"/>
  <c r="H23" i="11"/>
  <c r="C23" i="11"/>
  <c r="N22" i="11"/>
  <c r="M22" i="11"/>
  <c r="N23" i="11" s="1"/>
  <c r="L22" i="11"/>
  <c r="M23" i="11" s="1"/>
  <c r="K22" i="11"/>
  <c r="L23" i="11" s="1"/>
  <c r="J22" i="11"/>
  <c r="I22" i="11"/>
  <c r="H22" i="11"/>
  <c r="G22" i="11"/>
  <c r="F22" i="11"/>
  <c r="G23" i="11" s="1"/>
  <c r="E22" i="11"/>
  <c r="F23" i="11" s="1"/>
  <c r="D22" i="11"/>
  <c r="E23" i="11" s="1"/>
  <c r="C22" i="11"/>
  <c r="J21" i="11"/>
  <c r="G60" i="11" s="1"/>
  <c r="I21" i="11"/>
  <c r="H21" i="11"/>
  <c r="G21" i="11"/>
  <c r="F21" i="11"/>
  <c r="E21" i="11"/>
  <c r="D21" i="11"/>
  <c r="C21" i="11"/>
  <c r="D20" i="11"/>
  <c r="D26" i="11" s="1"/>
  <c r="C20" i="11"/>
  <c r="C26" i="11" s="1"/>
  <c r="N18" i="11"/>
  <c r="M18" i="11"/>
  <c r="L18" i="11"/>
  <c r="K18" i="11"/>
  <c r="J18" i="11"/>
  <c r="I18" i="11"/>
  <c r="H18" i="11"/>
  <c r="G18" i="11"/>
  <c r="F18" i="11"/>
  <c r="E18" i="11"/>
  <c r="N17" i="11"/>
  <c r="M17" i="11"/>
  <c r="L17" i="11"/>
  <c r="K17" i="11"/>
  <c r="J17" i="11"/>
  <c r="I17" i="11"/>
  <c r="H17" i="11"/>
  <c r="G17" i="11"/>
  <c r="F17" i="11"/>
  <c r="F20" i="11" s="1"/>
  <c r="E17" i="11"/>
  <c r="E20" i="11" s="1"/>
  <c r="J16" i="11"/>
  <c r="J20" i="11" s="1"/>
  <c r="J26" i="11" s="1"/>
  <c r="J28" i="11" s="1"/>
  <c r="I16" i="11"/>
  <c r="I19" i="11" s="1"/>
  <c r="H16" i="11"/>
  <c r="H19" i="11" s="1"/>
  <c r="G16" i="11"/>
  <c r="G20" i="11" s="1"/>
  <c r="G26" i="11" s="1"/>
  <c r="G28" i="11" s="1"/>
  <c r="F16" i="11"/>
  <c r="F19" i="11" s="1"/>
  <c r="E16" i="11"/>
  <c r="E19" i="11" s="1"/>
  <c r="D16" i="11"/>
  <c r="D19" i="11" s="1"/>
  <c r="C16" i="11"/>
  <c r="C19" i="11" s="1"/>
  <c r="J15" i="11"/>
  <c r="I15" i="11"/>
  <c r="H15" i="11"/>
  <c r="G15" i="11"/>
  <c r="F15" i="11"/>
  <c r="E15" i="11"/>
  <c r="D15" i="11"/>
  <c r="C15" i="11"/>
  <c r="H14" i="11"/>
  <c r="C14" i="11"/>
  <c r="J13" i="11"/>
  <c r="J14" i="11" s="1"/>
  <c r="I13" i="11"/>
  <c r="I14" i="11" s="1"/>
  <c r="H13" i="11"/>
  <c r="G13" i="11"/>
  <c r="G14" i="11" s="1"/>
  <c r="F13" i="11"/>
  <c r="E13" i="11"/>
  <c r="D13" i="11"/>
  <c r="C13" i="11"/>
  <c r="N7" i="11"/>
  <c r="M7" i="11"/>
  <c r="L7" i="11"/>
  <c r="K7" i="11"/>
  <c r="F7" i="11"/>
  <c r="E7" i="11"/>
  <c r="D7" i="11"/>
  <c r="I5" i="11"/>
  <c r="H5" i="11"/>
  <c r="G5" i="11"/>
  <c r="F5" i="11"/>
  <c r="F14" i="11" s="1"/>
  <c r="E5" i="11"/>
  <c r="E14" i="11" s="1"/>
  <c r="D5" i="11"/>
  <c r="D14" i="11" s="1"/>
  <c r="C5" i="11"/>
  <c r="G52" i="10"/>
  <c r="J45" i="10"/>
  <c r="J43" i="10"/>
  <c r="J42" i="10"/>
  <c r="G41" i="10"/>
  <c r="J34" i="10"/>
  <c r="J33" i="10"/>
  <c r="G33" i="10"/>
  <c r="J36" i="10" s="1"/>
  <c r="N7" i="10"/>
  <c r="M7" i="10"/>
  <c r="L7" i="10"/>
  <c r="K7" i="10"/>
  <c r="H37" i="6"/>
  <c r="H36" i="6"/>
  <c r="D24" i="15" l="1"/>
  <c r="D25" i="15" s="1"/>
  <c r="E25" i="15"/>
  <c r="G7" i="15"/>
  <c r="E14" i="15"/>
  <c r="E7" i="15"/>
  <c r="N24" i="15"/>
  <c r="N25" i="15" s="1"/>
  <c r="G25" i="15"/>
  <c r="L25" i="15"/>
  <c r="I25" i="15"/>
  <c r="K25" i="15"/>
  <c r="K22" i="15"/>
  <c r="J24" i="15" s="1"/>
  <c r="J25" i="15" s="1"/>
  <c r="J35" i="15"/>
  <c r="J38" i="15" s="1"/>
  <c r="G22" i="15"/>
  <c r="F24" i="15" s="1"/>
  <c r="F25" i="15" s="1"/>
  <c r="J38" i="14"/>
  <c r="C33" i="14"/>
  <c r="C49" i="14"/>
  <c r="C36" i="14"/>
  <c r="C44" i="14"/>
  <c r="J52" i="14"/>
  <c r="C9" i="14" s="1"/>
  <c r="C42" i="14"/>
  <c r="C46" i="14"/>
  <c r="J22" i="14"/>
  <c r="J24" i="14" s="1"/>
  <c r="C39" i="14"/>
  <c r="C43" i="14"/>
  <c r="C47" i="14"/>
  <c r="J36" i="14"/>
  <c r="C35" i="14"/>
  <c r="C41" i="14"/>
  <c r="J35" i="14"/>
  <c r="C40" i="14"/>
  <c r="C48" i="14"/>
  <c r="C45" i="14"/>
  <c r="J44" i="14"/>
  <c r="J47" i="14" s="1"/>
  <c r="C37" i="14"/>
  <c r="C34" i="14"/>
  <c r="C38" i="14"/>
  <c r="J22" i="10"/>
  <c r="M14" i="10"/>
  <c r="M22" i="10"/>
  <c r="E22" i="10"/>
  <c r="J14" i="10"/>
  <c r="L14" i="10"/>
  <c r="D7" i="10"/>
  <c r="L22" i="10"/>
  <c r="C14" i="10"/>
  <c r="D22" i="10"/>
  <c r="J51" i="10"/>
  <c r="J52" i="10" s="1"/>
  <c r="H24" i="10"/>
  <c r="F24" i="10"/>
  <c r="F25" i="10" s="1"/>
  <c r="F7" i="10"/>
  <c r="J44" i="10"/>
  <c r="J47" i="10" s="1"/>
  <c r="G14" i="10"/>
  <c r="N14" i="10"/>
  <c r="F14" i="10"/>
  <c r="E24" i="10"/>
  <c r="I23" i="12"/>
  <c r="J22" i="12" s="1"/>
  <c r="D23" i="12"/>
  <c r="E22" i="12" s="1"/>
  <c r="M23" i="12"/>
  <c r="F21" i="12"/>
  <c r="F23" i="12" s="1"/>
  <c r="G22" i="12" s="1"/>
  <c r="L21" i="12"/>
  <c r="L23" i="12" s="1"/>
  <c r="M22" i="12" s="1"/>
  <c r="K21" i="12"/>
  <c r="K23" i="12" s="1"/>
  <c r="L22" i="12" s="1"/>
  <c r="J21" i="12"/>
  <c r="J23" i="12" s="1"/>
  <c r="K22" i="12" s="1"/>
  <c r="I21" i="12"/>
  <c r="E21" i="12"/>
  <c r="E23" i="12" s="1"/>
  <c r="F22" i="12" s="1"/>
  <c r="H21" i="12"/>
  <c r="H23" i="12" s="1"/>
  <c r="I22" i="12" s="1"/>
  <c r="G21" i="12"/>
  <c r="G23" i="12" s="1"/>
  <c r="H22" i="12" s="1"/>
  <c r="M21" i="12"/>
  <c r="B32" i="12"/>
  <c r="M32" i="12" s="1"/>
  <c r="D19" i="12"/>
  <c r="B35" i="12"/>
  <c r="M35" i="12" s="1"/>
  <c r="D4" i="12"/>
  <c r="B30" i="12"/>
  <c r="M30" i="12" s="1"/>
  <c r="B38" i="12"/>
  <c r="M38" i="12" s="1"/>
  <c r="B36" i="12"/>
  <c r="M36" i="12" s="1"/>
  <c r="B31" i="12"/>
  <c r="M31" i="12" s="1"/>
  <c r="G29" i="11"/>
  <c r="J51" i="11"/>
  <c r="J29" i="11"/>
  <c r="E26" i="11"/>
  <c r="E28" i="11" s="1"/>
  <c r="E29" i="11" s="1"/>
  <c r="J42" i="11"/>
  <c r="F26" i="11"/>
  <c r="F28" i="11" s="1"/>
  <c r="F29" i="11" s="1"/>
  <c r="J19" i="11"/>
  <c r="K16" i="11"/>
  <c r="I7" i="11"/>
  <c r="H20" i="11"/>
  <c r="H26" i="11" s="1"/>
  <c r="H28" i="11" s="1"/>
  <c r="H29" i="11" s="1"/>
  <c r="J7" i="11"/>
  <c r="I20" i="11"/>
  <c r="I26" i="11" s="1"/>
  <c r="I28" i="11" s="1"/>
  <c r="I29" i="11" s="1"/>
  <c r="G19" i="11"/>
  <c r="G7" i="11"/>
  <c r="K23" i="11"/>
  <c r="H7" i="11"/>
  <c r="K21" i="11"/>
  <c r="L21" i="11" s="1"/>
  <c r="M21" i="11" s="1"/>
  <c r="N21" i="11" s="1"/>
  <c r="K24" i="11"/>
  <c r="L24" i="11" s="1"/>
  <c r="M24" i="11" s="1"/>
  <c r="N24" i="11" s="1"/>
  <c r="J38" i="10"/>
  <c r="H7" i="10"/>
  <c r="I7" i="10"/>
  <c r="J7" i="10"/>
  <c r="I24" i="10"/>
  <c r="J24" i="10"/>
  <c r="G7" i="10"/>
  <c r="C40" i="15" l="1"/>
  <c r="C28" i="15"/>
  <c r="C62" i="15"/>
  <c r="C37" i="15"/>
  <c r="C58" i="15"/>
  <c r="C45" i="15"/>
  <c r="C59" i="15"/>
  <c r="C34" i="15"/>
  <c r="C65" i="15"/>
  <c r="C61" i="15"/>
  <c r="C47" i="15"/>
  <c r="C41" i="15"/>
  <c r="C63" i="15"/>
  <c r="C69" i="15"/>
  <c r="C35" i="15"/>
  <c r="C66" i="15"/>
  <c r="C70" i="15"/>
  <c r="C71" i="15"/>
  <c r="C46" i="15"/>
  <c r="C60" i="15"/>
  <c r="C44" i="15"/>
  <c r="C42" i="15"/>
  <c r="C55" i="15"/>
  <c r="C48" i="15"/>
  <c r="C33" i="15"/>
  <c r="C56" i="15"/>
  <c r="C67" i="15"/>
  <c r="C36" i="15"/>
  <c r="C38" i="15"/>
  <c r="C64" i="15"/>
  <c r="C39" i="15"/>
  <c r="C57" i="15"/>
  <c r="C68" i="15"/>
  <c r="C43" i="15"/>
  <c r="C49" i="15"/>
  <c r="C70" i="14"/>
  <c r="C62" i="14"/>
  <c r="C67" i="14"/>
  <c r="C69" i="14"/>
  <c r="C61" i="14"/>
  <c r="C66" i="14"/>
  <c r="C58" i="14"/>
  <c r="C55" i="14"/>
  <c r="C68" i="14"/>
  <c r="C65" i="14"/>
  <c r="C57" i="14"/>
  <c r="C63" i="14"/>
  <c r="C60" i="14"/>
  <c r="C59" i="14"/>
  <c r="C64" i="14"/>
  <c r="C56" i="14"/>
  <c r="C71" i="14"/>
  <c r="I25" i="14"/>
  <c r="F25" i="14"/>
  <c r="N23" i="14"/>
  <c r="N24" i="14" s="1"/>
  <c r="N25" i="14" s="1"/>
  <c r="L25" i="14"/>
  <c r="E25" i="14"/>
  <c r="K25" i="14"/>
  <c r="M25" i="14"/>
  <c r="J25" i="14"/>
  <c r="G25" i="14"/>
  <c r="H25" i="14"/>
  <c r="H25" i="10"/>
  <c r="G25" i="10"/>
  <c r="E25" i="10"/>
  <c r="I25" i="10"/>
  <c r="J25" i="10"/>
  <c r="E25" i="12"/>
  <c r="D24" i="12" s="1"/>
  <c r="E19" i="12" s="1"/>
  <c r="F25" i="12" s="1"/>
  <c r="E24" i="12" s="1"/>
  <c r="F19" i="12" s="1"/>
  <c r="G25" i="12" s="1"/>
  <c r="F24" i="12" s="1"/>
  <c r="G19" i="12" s="1"/>
  <c r="H25" i="12" s="1"/>
  <c r="G24" i="12" s="1"/>
  <c r="H19" i="12" s="1"/>
  <c r="I25" i="12" s="1"/>
  <c r="H24" i="12" s="1"/>
  <c r="I19" i="12" s="1"/>
  <c r="J25" i="12" s="1"/>
  <c r="I24" i="12" s="1"/>
  <c r="J19" i="12" s="1"/>
  <c r="K25" i="12" s="1"/>
  <c r="J24" i="12" s="1"/>
  <c r="K19" i="12" s="1"/>
  <c r="L25" i="12" s="1"/>
  <c r="K24" i="12" s="1"/>
  <c r="L19" i="12" s="1"/>
  <c r="M25" i="12" s="1"/>
  <c r="L24" i="12" s="1"/>
  <c r="M19" i="12" s="1"/>
  <c r="N25" i="12" s="1"/>
  <c r="M24" i="12" s="1"/>
  <c r="C29" i="12" a="1"/>
  <c r="K20" i="11"/>
  <c r="K26" i="11" s="1"/>
  <c r="K28" i="11" s="1"/>
  <c r="K29" i="11" s="1"/>
  <c r="L16" i="11"/>
  <c r="K19" i="11"/>
  <c r="K24" i="10"/>
  <c r="K25" i="10" s="1"/>
  <c r="C28" i="14" l="1"/>
  <c r="J29" i="12"/>
  <c r="H29" i="12"/>
  <c r="G29" i="12"/>
  <c r="F29" i="12"/>
  <c r="E29" i="12"/>
  <c r="K29" i="12"/>
  <c r="L29" i="12"/>
  <c r="D29" i="12"/>
  <c r="C29" i="12"/>
  <c r="I29" i="12"/>
  <c r="L19" i="11"/>
  <c r="L20" i="11"/>
  <c r="L26" i="11" s="1"/>
  <c r="L28" i="11" s="1"/>
  <c r="L29" i="11" s="1"/>
  <c r="M16" i="11"/>
  <c r="L24" i="10"/>
  <c r="L25" i="10" s="1"/>
  <c r="M20" i="11" l="1"/>
  <c r="M26" i="11" s="1"/>
  <c r="M28" i="11" s="1"/>
  <c r="M29" i="11" s="1"/>
  <c r="N16" i="11"/>
  <c r="M19" i="11"/>
  <c r="M24" i="10"/>
  <c r="M25" i="10" s="1"/>
  <c r="N19" i="11" l="1"/>
  <c r="N20" i="11"/>
  <c r="N26" i="11" s="1"/>
  <c r="C51" i="11" l="1"/>
  <c r="C47" i="11"/>
  <c r="C43" i="11"/>
  <c r="C38" i="11"/>
  <c r="C49" i="11"/>
  <c r="C41" i="11"/>
  <c r="N27" i="11"/>
  <c r="N28" i="11" s="1"/>
  <c r="N29" i="11" s="1"/>
  <c r="C32" i="11" s="1"/>
  <c r="C48" i="11"/>
  <c r="C40" i="11"/>
  <c r="C37" i="11"/>
  <c r="C52" i="11"/>
  <c r="C39" i="11"/>
  <c r="C50" i="11"/>
  <c r="C46" i="11"/>
  <c r="C45" i="11"/>
  <c r="C53" i="11"/>
  <c r="C44" i="11"/>
  <c r="C42" i="11"/>
  <c r="C72" i="11"/>
  <c r="C70" i="11"/>
  <c r="C58" i="11"/>
  <c r="C69" i="11"/>
  <c r="C66" i="11"/>
  <c r="C65" i="11"/>
  <c r="C59" i="11"/>
  <c r="C73" i="11"/>
  <c r="C62" i="11"/>
  <c r="C64" i="11"/>
  <c r="C68" i="11"/>
  <c r="C61" i="11"/>
  <c r="C67" i="11"/>
  <c r="C74" i="11"/>
  <c r="C60" i="11"/>
  <c r="C63" i="11"/>
  <c r="C71" i="11"/>
  <c r="C48" i="10"/>
  <c r="C40" i="10"/>
  <c r="C38" i="10"/>
  <c r="C47" i="10"/>
  <c r="C43" i="10"/>
  <c r="C39" i="10"/>
  <c r="C46" i="10"/>
  <c r="C45" i="10"/>
  <c r="C37" i="10"/>
  <c r="N23" i="10"/>
  <c r="N24" i="10" s="1"/>
  <c r="N25" i="10" s="1"/>
  <c r="C28" i="10" s="1"/>
  <c r="C41" i="10"/>
  <c r="C49" i="10"/>
  <c r="C44" i="10"/>
  <c r="C36" i="10"/>
  <c r="C33" i="10"/>
  <c r="C35" i="10"/>
  <c r="C42" i="10"/>
  <c r="C34" i="10"/>
  <c r="C68" i="10"/>
  <c r="C57" i="10"/>
  <c r="C71" i="10"/>
  <c r="C61" i="10"/>
  <c r="C67" i="10"/>
  <c r="C69" i="10"/>
  <c r="C62" i="10"/>
  <c r="C59" i="10"/>
  <c r="C65" i="10"/>
  <c r="C56" i="10"/>
  <c r="C63" i="10"/>
  <c r="C55" i="10"/>
  <c r="C60" i="10"/>
  <c r="C66" i="10"/>
  <c r="C58" i="10"/>
  <c r="C70" i="10"/>
  <c r="C64" i="10"/>
</calcChain>
</file>

<file path=xl/comments1.xml><?xml version="1.0" encoding="utf-8"?>
<comments xmlns="http://schemas.openxmlformats.org/spreadsheetml/2006/main">
  <authors>
    <author>William Waller</author>
  </authors>
  <commentList>
    <comment ref="N23" authorId="0">
      <text>
        <r>
          <rPr>
            <b/>
            <sz val="9"/>
            <color indexed="81"/>
            <rFont val="Calibri"/>
            <family val="2"/>
          </rPr>
          <t>William Waller:</t>
        </r>
        <r>
          <rPr>
            <sz val="9"/>
            <color indexed="81"/>
            <rFont val="Calibri"/>
            <family val="2"/>
          </rPr>
          <t xml:space="preserve">
~= FCF_6*(1+g)/(R-g)</t>
        </r>
      </text>
    </comment>
  </commentList>
</comments>
</file>

<file path=xl/comments2.xml><?xml version="1.0" encoding="utf-8"?>
<comments xmlns="http://schemas.openxmlformats.org/spreadsheetml/2006/main">
  <authors>
    <author>William Waller</author>
  </authors>
  <commentList>
    <comment ref="N23" authorId="0">
      <text>
        <r>
          <rPr>
            <b/>
            <sz val="9"/>
            <color indexed="81"/>
            <rFont val="Calibri"/>
            <family val="2"/>
          </rPr>
          <t>William Waller:</t>
        </r>
        <r>
          <rPr>
            <sz val="9"/>
            <color indexed="81"/>
            <rFont val="Calibri"/>
            <family val="2"/>
          </rPr>
          <t xml:space="preserve">
~= FCF_6*(1+g)/(R-g)</t>
        </r>
      </text>
    </comment>
  </commentList>
</comments>
</file>

<file path=xl/comments3.xml><?xml version="1.0" encoding="utf-8"?>
<comments xmlns="http://schemas.openxmlformats.org/spreadsheetml/2006/main">
  <authors>
    <author>William Waller</author>
  </authors>
  <commentList>
    <comment ref="N23" authorId="0">
      <text>
        <r>
          <rPr>
            <b/>
            <sz val="9"/>
            <color indexed="81"/>
            <rFont val="Calibri"/>
            <family val="2"/>
          </rPr>
          <t>William Waller:</t>
        </r>
        <r>
          <rPr>
            <sz val="9"/>
            <color indexed="81"/>
            <rFont val="Calibri"/>
            <family val="2"/>
          </rPr>
          <t xml:space="preserve">
~= FCF_6*(1+g)/(R-g)</t>
        </r>
      </text>
    </comment>
  </commentList>
</comments>
</file>

<file path=xl/comments4.xml><?xml version="1.0" encoding="utf-8"?>
<comments xmlns="http://schemas.openxmlformats.org/spreadsheetml/2006/main">
  <authors>
    <author>William Waller</author>
  </authors>
  <commentList>
    <comment ref="N27" authorId="0">
      <text>
        <r>
          <rPr>
            <b/>
            <sz val="9"/>
            <color indexed="81"/>
            <rFont val="Calibri"/>
            <family val="2"/>
          </rPr>
          <t>William Waller:</t>
        </r>
        <r>
          <rPr>
            <sz val="9"/>
            <color indexed="81"/>
            <rFont val="Calibri"/>
            <family val="2"/>
          </rPr>
          <t xml:space="preserve">
~= FCF_6*(1+g)/(R-g)</t>
        </r>
      </text>
    </comment>
  </commentList>
</comments>
</file>

<file path=xl/sharedStrings.xml><?xml version="1.0" encoding="utf-8"?>
<sst xmlns="http://schemas.openxmlformats.org/spreadsheetml/2006/main" count="601" uniqueCount="267">
  <si>
    <t>Nabisco</t>
  </si>
  <si>
    <t>to</t>
  </si>
  <si>
    <t>billion</t>
  </si>
  <si>
    <t>Del Monte</t>
  </si>
  <si>
    <t>Planters</t>
  </si>
  <si>
    <t>Total</t>
  </si>
  <si>
    <t>Charles E. Hugel, Chairman</t>
  </si>
  <si>
    <t>Age 60; chairman of RJR Nabisco; president and chief executive officer of Combustion Engineering, Inc.</t>
  </si>
  <si>
    <t>750 shares</t>
  </si>
  <si>
    <t>John D. Macomber, Vice Chairman</t>
  </si>
  <si>
    <t>Age 60; chairman of Lasertechnics; retired chairman and chief executive officer of Celanese Corporation</t>
  </si>
  <si>
    <t>16,425 shares</t>
  </si>
  <si>
    <t>Martin S. Davis</t>
  </si>
  <si>
    <t>Age 61; chairman and CEO of Gulf and Western, Inc.</t>
  </si>
  <si>
    <t>1,000 shares</t>
  </si>
  <si>
    <t>William S. Anderson</t>
  </si>
  <si>
    <t>Age 69; retired chairman and chief executive officer of the Executive Committee of NCR Corporation</t>
  </si>
  <si>
    <t>1,500 shares</t>
  </si>
  <si>
    <t>Albert L. Butler, Jr.</t>
  </si>
  <si>
    <t>Age 70; president of Arista Company; chairman of RJR Nabisco’s Organization, Compensation, and Nominating Committee</t>
  </si>
  <si>
    <t>9,465 shares</t>
  </si>
  <si>
    <t>Dillon, Read &amp; Co.</t>
  </si>
  <si>
    <t>Lazard Freres, Inc.</t>
  </si>
  <si>
    <t>Skadden, Arps, Slate, Meagher and Flom</t>
  </si>
  <si>
    <t>Young, Conaway, Stargatt and Taylor</t>
  </si>
  <si>
    <t>Source:  Casewriter.</t>
  </si>
  <si>
    <r>
      <t>Exhibit 1</t>
    </r>
    <r>
      <rPr>
        <sz val="10"/>
        <rFont val="Arial"/>
      </rPr>
      <t xml:space="preserve">     Composition of the Special Committee of the RJR Nabisco Board of Directors to Consider Offers for the Company.</t>
    </r>
  </si>
  <si>
    <t>Committee Members:</t>
  </si>
  <si>
    <t>Biographical Sketch</t>
  </si>
  <si>
    <t>Common Stock Ownership</t>
  </si>
  <si>
    <t>Investment Bankers:</t>
  </si>
  <si>
    <t>Legal Counsel:</t>
  </si>
  <si>
    <t>Revenues</t>
  </si>
  <si>
    <t>Operating income</t>
  </si>
  <si>
    <t>Interest and debt expense</t>
  </si>
  <si>
    <t>Income before provision for income taxes</t>
  </si>
  <si>
    <t>Income from continuing operations</t>
  </si>
  <si>
    <t>Net income</t>
  </si>
  <si>
    <t>Earnings per share</t>
  </si>
  <si>
    <t>Dividends per share</t>
  </si>
  <si>
    <t>Closing stock price at year end</t>
  </si>
  <si>
    <t>Price/earnings at year end</t>
  </si>
  <si>
    <t>6.5x</t>
  </si>
  <si>
    <t>8.38x</t>
  </si>
  <si>
    <t>7.01x</t>
  </si>
  <si>
    <t>8.72x</t>
  </si>
  <si>
    <t>12.86x</t>
  </si>
  <si>
    <t>9.57x</t>
  </si>
  <si>
    <t>Source:  Company reports and Casewriter estimates.</t>
  </si>
  <si>
    <t>1982—Heublein acquired for $1.36 billion.</t>
  </si>
  <si>
    <t>1983—Energy Division sold for an after-tax gain of $275 million.</t>
  </si>
  <si>
    <t>1984—Divestiture of transportation division completed by spinning off common stock to Sea-Land Corp. (transportation accounted for as a discontinued operation since 1983).</t>
  </si>
  <si>
    <t>1985—Nabisco brands, Inc., acquired at a total cost of $4.9 billion.</t>
  </si>
  <si>
    <t>1986—Kentucky Fried Chicken sold at an after-tax loss of $39 million.</t>
  </si>
  <si>
    <t>1987—Heublein, Inc. sold at an after-tax gain of $215 million.</t>
  </si>
  <si>
    <r>
      <t>Exhibit 2</t>
    </r>
    <r>
      <rPr>
        <sz val="10"/>
        <rFont val="Arial"/>
      </rPr>
      <t xml:space="preserve">     Exhibit 2 Condensed Operating and Stockholder Information for RJR Nabisco, 1982-1987 (in millions of dollars, except per share data).</t>
    </r>
  </si>
  <si>
    <t>Operations:</t>
  </si>
  <si>
    <r>
      <t>Income from discontinued operations</t>
    </r>
    <r>
      <rPr>
        <vertAlign val="superscript"/>
        <sz val="10"/>
        <rFont val="Arial"/>
        <family val="2"/>
      </rPr>
      <t>a</t>
    </r>
  </si>
  <si>
    <t>Stockholder Information:</t>
  </si>
  <si>
    <r>
      <t>Numbers of shares at year end (millions)</t>
    </r>
    <r>
      <rPr>
        <vertAlign val="superscript"/>
        <sz val="10"/>
        <rFont val="Arial"/>
        <family val="2"/>
      </rPr>
      <t>b</t>
    </r>
  </si>
  <si>
    <r>
      <t>Beta</t>
    </r>
    <r>
      <rPr>
        <vertAlign val="superscript"/>
        <sz val="10"/>
        <rFont val="Arial"/>
        <family val="2"/>
      </rPr>
      <t>c</t>
    </r>
  </si>
  <si>
    <r>
      <t>a</t>
    </r>
    <r>
      <rPr>
        <sz val="8"/>
        <rFont val="Arial"/>
        <family val="2"/>
      </rPr>
      <t>Divestitures and acquisitions for the years 1982 to 1987 are as follows:</t>
    </r>
  </si>
  <si>
    <r>
      <t>b</t>
    </r>
    <r>
      <rPr>
        <sz val="8"/>
        <rFont val="Arial"/>
        <family val="2"/>
      </rPr>
      <t>Figures include a 2 1/2-for-1 stock split, effective May 17, 1985.</t>
    </r>
  </si>
  <si>
    <r>
      <t>c</t>
    </r>
    <r>
      <rPr>
        <sz val="8"/>
        <rFont val="Arial"/>
        <family val="2"/>
      </rPr>
      <t>Calculated using daily stock price data for each year by ordinary least-squares regression.</t>
    </r>
  </si>
  <si>
    <t>Cash</t>
  </si>
  <si>
    <t>Net receivables</t>
  </si>
  <si>
    <t>Inventories</t>
  </si>
  <si>
    <t>Other current assets</t>
  </si>
  <si>
    <t>Property, plant and equipment, net</t>
  </si>
  <si>
    <t>Goodwill and other intangibles</t>
  </si>
  <si>
    <t>Net assets of discontinued operations</t>
  </si>
  <si>
    <t>--</t>
  </si>
  <si>
    <t>Other assets</t>
  </si>
  <si>
    <t>Total assets</t>
  </si>
  <si>
    <t>Notes payable</t>
  </si>
  <si>
    <t>Accounts payable</t>
  </si>
  <si>
    <t>Current portion of long-term debt</t>
  </si>
  <si>
    <t>Income taxes payable</t>
  </si>
  <si>
    <t>Long-term debt</t>
  </si>
  <si>
    <t>Deferred income taxes</t>
  </si>
  <si>
    <t>Redeemable preferred stock</t>
  </si>
  <si>
    <t>Other noncurrent liabilities</t>
  </si>
  <si>
    <t>Total liabilities</t>
  </si>
  <si>
    <t>Stockholders’ equity</t>
  </si>
  <si>
    <t>Total liabilities and stockholders’ equity</t>
  </si>
  <si>
    <t>Source: Company reports.</t>
  </si>
  <si>
    <r>
      <t>Exhibit 3</t>
    </r>
    <r>
      <rPr>
        <sz val="10"/>
        <rFont val="Arial"/>
      </rPr>
      <t xml:space="preserve">     Consolidated Balance Sheets for RJR Nabisco, 1986-1987 (in millions of dollars).</t>
    </r>
  </si>
  <si>
    <t>Assets:</t>
  </si>
  <si>
    <t>Liabilities:</t>
  </si>
  <si>
    <t>Sales</t>
  </si>
  <si>
    <t>Operating profit</t>
  </si>
  <si>
    <t>Identifiable assets</t>
  </si>
  <si>
    <t>Depreciation</t>
  </si>
  <si>
    <t>Capital expenditures</t>
  </si>
  <si>
    <t>Operating profit/identifiable assets</t>
  </si>
  <si>
    <t>Restructuring expense</t>
  </si>
  <si>
    <t>$--</t>
  </si>
  <si>
    <t>Source:  Company reports.</t>
  </si>
  <si>
    <r>
      <t>Exhibit 4</t>
    </r>
    <r>
      <rPr>
        <sz val="10"/>
        <rFont val="Arial"/>
      </rPr>
      <t xml:space="preserve">      Financial Summary of RJR Nabisco by Business Segment, 1982-1987 (in millions of dollars).</t>
    </r>
  </si>
  <si>
    <r>
      <t>Other (including “corporate”):</t>
    </r>
    <r>
      <rPr>
        <vertAlign val="superscript"/>
        <sz val="10"/>
        <rFont val="Arial"/>
        <family val="2"/>
      </rPr>
      <t>a</t>
    </r>
  </si>
  <si>
    <t>Spirits and Wines:</t>
  </si>
  <si>
    <r>
      <t>Food Products</t>
    </r>
    <r>
      <rPr>
        <sz val="10"/>
        <rFont val="Arial"/>
      </rPr>
      <t>:</t>
    </r>
  </si>
  <si>
    <r>
      <t>Tobacco</t>
    </r>
    <r>
      <rPr>
        <sz val="10"/>
        <rFont val="Arial"/>
        <family val="2"/>
      </rPr>
      <t>:</t>
    </r>
  </si>
  <si>
    <r>
      <t>a</t>
    </r>
    <r>
      <rPr>
        <sz val="8"/>
        <rFont val="Arial"/>
        <family val="2"/>
      </rPr>
      <t>Includes earnings on cash and short-term investments and miscellaneous discontinued operations.</t>
    </r>
  </si>
  <si>
    <t>Tobacco sales</t>
  </si>
  <si>
    <t>Food sales</t>
  </si>
  <si>
    <t>Tobacco</t>
  </si>
  <si>
    <t>Food</t>
  </si>
  <si>
    <t>Corporate</t>
  </si>
  <si>
    <t>Interest</t>
  </si>
  <si>
    <t>Depreciation, amortization, &amp; deferred tax</t>
  </si>
  <si>
    <t>Change in working capital</t>
  </si>
  <si>
    <t>Source: Casewriter.</t>
  </si>
  <si>
    <r>
      <t>Exhibit 5</t>
    </r>
    <r>
      <rPr>
        <sz val="10"/>
        <rFont val="Arial"/>
      </rPr>
      <t xml:space="preserve">     Cash Flow Projections for RJR Nabisco Under Its Prebid Strategy, 1988-1998 (in millions of dollars).</t>
    </r>
  </si>
  <si>
    <r>
      <t>Cash flow available for capital payments</t>
    </r>
    <r>
      <rPr>
        <vertAlign val="superscript"/>
        <sz val="10"/>
        <rFont val="Arial"/>
        <family val="2"/>
      </rPr>
      <t>a</t>
    </r>
  </si>
  <si>
    <t>Panel A: Operating Information</t>
  </si>
  <si>
    <t>After-tax income</t>
  </si>
  <si>
    <t>Net proceeds from asset sales</t>
  </si>
  <si>
    <t>Panel B: Capital Structure</t>
  </si>
  <si>
    <t>Principal payments to:</t>
  </si>
  <si>
    <t>Assumed debt</t>
  </si>
  <si>
    <t>Bank debt</t>
  </si>
  <si>
    <t>Subordinated debt</t>
  </si>
  <si>
    <t>Preferred stock</t>
  </si>
  <si>
    <t>Convertible preferred stock</t>
  </si>
  <si>
    <t>Year-end book values:</t>
  </si>
  <si>
    <t>Common stock</t>
  </si>
  <si>
    <r>
      <t>Exhibit 6</t>
    </r>
    <r>
      <rPr>
        <sz val="10"/>
        <rFont val="Arial"/>
      </rPr>
      <t xml:space="preserve">     Cash Flow and Capital Structure Projections for RJR Nabisco Under the Management Group Strategy, 1989-1998 (in millions of dollars).</t>
    </r>
  </si>
  <si>
    <r>
      <t>Amortization</t>
    </r>
    <r>
      <rPr>
        <vertAlign val="superscript"/>
        <sz val="10"/>
        <rFont val="Arial"/>
        <family val="2"/>
      </rPr>
      <t>a</t>
    </r>
  </si>
  <si>
    <r>
      <t>Cash flow available for capital payments</t>
    </r>
    <r>
      <rPr>
        <vertAlign val="superscript"/>
        <sz val="10"/>
        <rFont val="Arial"/>
        <family val="2"/>
      </rPr>
      <t>b</t>
    </r>
  </si>
  <si>
    <r>
      <t>a</t>
    </r>
    <r>
      <rPr>
        <sz val="8"/>
        <rFont val="Arial"/>
        <family val="2"/>
      </rPr>
      <t>The amortization of goodwill of $338 million per year is from the proposed acquisition of RJR Nabisco at $22.9 billion which had the book value of $7.4 billion at the end of 1988. The difference between the purchase price and book value is amortized over 40 years using the straight-line method.</t>
    </r>
  </si>
  <si>
    <r>
      <t>b</t>
    </r>
    <r>
      <rPr>
        <sz val="8"/>
        <rFont val="Arial"/>
        <family val="2"/>
      </rPr>
      <t>Cash flow available for capital payments = net income + depreciation, amortization, and deferred tax - capital expenditures - change in working capital + net proceeds from asset sales.</t>
    </r>
  </si>
  <si>
    <t>Interest expense</t>
  </si>
  <si>
    <t>Depreciation, amortization &amp; deferred tax</t>
  </si>
  <si>
    <t>Noncash interest expense</t>
  </si>
  <si>
    <r>
      <t>Exhibit 7</t>
    </r>
    <r>
      <rPr>
        <sz val="10"/>
        <rFont val="Arial"/>
      </rPr>
      <t xml:space="preserve">     Cash Flow and Capital Structure Projections for RJR Nabisco Under KKR's Strategy, 1989-1998 (in millions of dollars).</t>
    </r>
  </si>
  <si>
    <r>
      <t>Converting debt</t>
    </r>
    <r>
      <rPr>
        <vertAlign val="superscript"/>
        <sz val="10"/>
        <rFont val="Arial"/>
        <family val="2"/>
      </rPr>
      <t>c</t>
    </r>
  </si>
  <si>
    <r>
      <t>a</t>
    </r>
    <r>
      <rPr>
        <sz val="8"/>
        <rFont val="Arial"/>
        <family val="2"/>
      </rPr>
      <t>The amortization of goodwill of $338 million per year is from the proposed acquisition of RJR Nabisco at $22.9 billion which had the book value of $7.4 billion at the end of 1988. The difference between the purchase price and the book value is amortized over 40 years using the straight-line method.</t>
    </r>
  </si>
  <si>
    <r>
      <t>b</t>
    </r>
    <r>
      <rPr>
        <sz val="8"/>
        <rFont val="Arial"/>
        <family val="2"/>
      </rPr>
      <t>Cash flow available for capital payment = net income + noncash interest + depreciation, amortization, and deferred tax - capital expenditures - change in working capital + net proceeds from asset sales.</t>
    </r>
  </si>
  <si>
    <r>
      <t>c</t>
    </r>
    <r>
      <rPr>
        <sz val="8"/>
        <rFont val="Arial"/>
        <family val="2"/>
      </rPr>
      <t>Assumes converting to equity in 1993.</t>
    </r>
  </si>
  <si>
    <t>Actions</t>
  </si>
  <si>
    <t>Cost</t>
  </si>
  <si>
    <t>P/L</t>
  </si>
  <si>
    <t>KFC Sale</t>
  </si>
  <si>
    <t>Heublein Sale</t>
  </si>
  <si>
    <t>Year</t>
  </si>
  <si>
    <t>SeaLand Spinoff</t>
  </si>
  <si>
    <t>Energy</t>
  </si>
  <si>
    <t>Heublein</t>
  </si>
  <si>
    <t xml:space="preserve">Seagate Disk Drive </t>
  </si>
  <si>
    <t>Discounted Cash Flow Analysis</t>
  </si>
  <si>
    <t>1999H</t>
  </si>
  <si>
    <t>2000P</t>
  </si>
  <si>
    <t>2001P</t>
  </si>
  <si>
    <t>2002P</t>
  </si>
  <si>
    <t>2003P</t>
  </si>
  <si>
    <t>2004P</t>
  </si>
  <si>
    <t>COGS (as percent of sales)</t>
  </si>
  <si>
    <t>Tax Rate</t>
  </si>
  <si>
    <t>EBITA Growth</t>
  </si>
  <si>
    <t>Cost of capital</t>
  </si>
  <si>
    <t>WACC</t>
  </si>
  <si>
    <t>Terminal growth rate</t>
  </si>
  <si>
    <t>Discounted Cash Flows</t>
  </si>
  <si>
    <t>Revenue</t>
  </si>
  <si>
    <t xml:space="preserve">COGS </t>
  </si>
  <si>
    <t>Gross Margin</t>
  </si>
  <si>
    <t>EBITA</t>
  </si>
  <si>
    <t>Interest on Cash</t>
  </si>
  <si>
    <t>Taxes</t>
  </si>
  <si>
    <t>Deprciation</t>
  </si>
  <si>
    <t>Net Working Capital</t>
  </si>
  <si>
    <t xml:space="preserve">Change in NWC </t>
  </si>
  <si>
    <t>Capex</t>
  </si>
  <si>
    <t>FCF</t>
  </si>
  <si>
    <t>Terminal Value</t>
  </si>
  <si>
    <t>Total Flows</t>
  </si>
  <si>
    <t>PV of flows</t>
  </si>
  <si>
    <t>Enterprise Value</t>
  </si>
  <si>
    <t>WACC Sensitivity Analysis</t>
  </si>
  <si>
    <t>Assumptions:</t>
  </si>
  <si>
    <t>Discount Rate</t>
  </si>
  <si>
    <t>EV</t>
  </si>
  <si>
    <t>Cost of Debt</t>
  </si>
  <si>
    <t>WACC- Original</t>
  </si>
  <si>
    <t>Coupon Rate</t>
  </si>
  <si>
    <t>E</t>
  </si>
  <si>
    <t>BV of Debt</t>
  </si>
  <si>
    <t>D</t>
  </si>
  <si>
    <t>Re</t>
  </si>
  <si>
    <t>Rd</t>
  </si>
  <si>
    <t>Tc</t>
  </si>
  <si>
    <t>Cost of Equity</t>
  </si>
  <si>
    <t>Shares Outstanding (M)</t>
  </si>
  <si>
    <t>Beta</t>
  </si>
  <si>
    <t>WACC- Target</t>
  </si>
  <si>
    <t>Rf</t>
  </si>
  <si>
    <t>E/TV</t>
  </si>
  <si>
    <t>Equity Premium</t>
  </si>
  <si>
    <t>D/TV</t>
  </si>
  <si>
    <t>Maket Cap</t>
  </si>
  <si>
    <t>New Working Captial</t>
  </si>
  <si>
    <t>As per questions</t>
  </si>
  <si>
    <t>Excess Cash</t>
  </si>
  <si>
    <t>OCC</t>
  </si>
  <si>
    <t>Operational Cash</t>
  </si>
  <si>
    <t>New Cash to Add</t>
  </si>
  <si>
    <t>Long Term Growth Sensitivity Analysis</t>
  </si>
  <si>
    <t>Prepitutiy Growth Rate</t>
  </si>
  <si>
    <t>Long Term Growth Factors</t>
  </si>
  <si>
    <t xml:space="preserve">Assumed </t>
  </si>
  <si>
    <t>Dep Growth</t>
  </si>
  <si>
    <t>CAGR (99-06)</t>
  </si>
  <si>
    <t>CAPEX Growth</t>
  </si>
  <si>
    <t>Interest on Debt</t>
  </si>
  <si>
    <t>Net Income</t>
  </si>
  <si>
    <t>OCC Sensitivity Analysis</t>
  </si>
  <si>
    <t>Debt</t>
  </si>
  <si>
    <t>Coverage Ratio</t>
  </si>
  <si>
    <t>Equity</t>
  </si>
  <si>
    <t>D/MC*</t>
  </si>
  <si>
    <t>Rating</t>
  </si>
  <si>
    <t>Rate</t>
  </si>
  <si>
    <t>EBIT T.I.E.</t>
  </si>
  <si>
    <t>D/V</t>
  </si>
  <si>
    <t>AAA</t>
  </si>
  <si>
    <t>17.5x</t>
  </si>
  <si>
    <t>AA</t>
  </si>
  <si>
    <t>10.8x</t>
  </si>
  <si>
    <t xml:space="preserve"> A</t>
  </si>
  <si>
    <t>6.8x</t>
  </si>
  <si>
    <t>Firm Value</t>
  </si>
  <si>
    <t>BBB</t>
  </si>
  <si>
    <t>3.9x</t>
  </si>
  <si>
    <t>Debt Value</t>
  </si>
  <si>
    <t>BB</t>
  </si>
  <si>
    <t>2.3x</t>
  </si>
  <si>
    <t>Interest Rate</t>
  </si>
  <si>
    <t>B</t>
  </si>
  <si>
    <t>1.0x</t>
  </si>
  <si>
    <t>Interest Expense</t>
  </si>
  <si>
    <t>*Total Debt as % of Market Cap**</t>
  </si>
  <si>
    <t xml:space="preserve">**Market Cap = the sum of total debt, minority interest, preferred equity and year-end market value of equity  </t>
  </si>
  <si>
    <t xml:space="preserve">Maturity </t>
  </si>
  <si>
    <t>Average Principal</t>
  </si>
  <si>
    <t>Debt Schedule</t>
  </si>
  <si>
    <t>2005P</t>
  </si>
  <si>
    <t xml:space="preserve">Beginning Balance </t>
  </si>
  <si>
    <t>Unlevered FCF</t>
  </si>
  <si>
    <t>Interest Owed</t>
  </si>
  <si>
    <t>FCF With Interest</t>
  </si>
  <si>
    <t>End Balance</t>
  </si>
  <si>
    <t>Ending Balance</t>
  </si>
  <si>
    <t>Flows to Equity</t>
  </si>
  <si>
    <t>Selling Period</t>
  </si>
  <si>
    <t xml:space="preserve">IRR </t>
  </si>
  <si>
    <t>IRR</t>
  </si>
  <si>
    <t xml:space="preserve">Estimated Acceptable Rates of Return </t>
  </si>
  <si>
    <t>1987H</t>
  </si>
  <si>
    <t>1988E</t>
  </si>
  <si>
    <t>Operating Income</t>
  </si>
  <si>
    <t>NWC</t>
  </si>
  <si>
    <t>Current Assets</t>
  </si>
  <si>
    <t>Current Liabilities</t>
  </si>
  <si>
    <t>RJR Prebid</t>
  </si>
  <si>
    <t>Asset Sales</t>
  </si>
  <si>
    <t>RJR KKR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</si>
</sst>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_);\(0\)"/>
    <numFmt numFmtId="169" formatCode="&quot;$&quot;#,##0.0_);\(&quot;$&quot;#,##0.0\)"/>
    <numFmt numFmtId="170" formatCode="&quot;$&quot;#,##0;[Red]&quot;$&quot;#,##0"/>
    <numFmt numFmtId="171" formatCode="&quot;$&quot;#,##0.00;[Red]&quot;$&quot;#,##0.00"/>
    <numFmt numFmtId="172" formatCode="#,##0;[Red]#,##0"/>
    <numFmt numFmtId="173" formatCode="0;[Red]0"/>
    <numFmt numFmtId="174" formatCode="0.00;[Red]0.00"/>
    <numFmt numFmtId="175" formatCode="0.0;[Red]0.0"/>
    <numFmt numFmtId="176" formatCode="0.0%"/>
    <numFmt numFmtId="177" formatCode="_([$$-409]* #,##0.00_);_([$$-409]* \(#,##0.00\);_([$$-409]* &quot;-&quot;??_);_(@_)"/>
    <numFmt numFmtId="178" formatCode="0.0000%"/>
    <numFmt numFmtId="179" formatCode="_(&quot;$&quot;* #,##0_);_(&quot;$&quot;* \(#,##0\);_(&quot;$&quot;* &quot;-&quot;??_);_(@_)"/>
    <numFmt numFmtId="180" formatCode="0.000%"/>
    <numFmt numFmtId="185" formatCode="&quot;$&quot;#,##0.00"/>
    <numFmt numFmtId="191" formatCode="0.000"/>
  </numFmts>
  <fonts count="2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0" tint="-0.249977111117893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Arial"/>
      <family val="2"/>
    </font>
    <font>
      <b/>
      <sz val="12"/>
      <color rgb="FF000000"/>
      <name val="Calibri"/>
      <family val="2"/>
    </font>
    <font>
      <i/>
      <sz val="12"/>
      <color theme="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12"/>
      <color rgb="FF2F2F2F"/>
      <name val="Calibri"/>
      <family val="2"/>
    </font>
    <font>
      <sz val="12"/>
      <color rgb="FF363636"/>
      <name val="Calibri"/>
      <family val="2"/>
    </font>
    <font>
      <sz val="12"/>
      <color rgb="FF2F2F2F"/>
      <name val="Calibri"/>
      <family val="2"/>
    </font>
    <font>
      <sz val="12"/>
      <color theme="0"/>
      <name val="Calibri"/>
      <family val="2"/>
    </font>
    <font>
      <outline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horizontal="right"/>
    </xf>
    <xf numFmtId="0" fontId="10" fillId="0" borderId="0"/>
    <xf numFmtId="0" fontId="8" fillId="0" borderId="0">
      <alignment horizontal="right"/>
    </xf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216">
    <xf numFmtId="0" fontId="0" fillId="0" borderId="0" xfId="0">
      <alignment horizontal="righ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0" fillId="0" borderId="1" xfId="0" applyBorder="1">
      <alignment horizontal="right"/>
    </xf>
    <xf numFmtId="0" fontId="1" fillId="0" borderId="1" xfId="0" applyFont="1" applyBorder="1" applyAlignment="1">
      <alignment horizontal="left"/>
    </xf>
    <xf numFmtId="169" fontId="0" fillId="0" borderId="0" xfId="0" applyNumberFormat="1" applyAlignment="1">
      <alignment horizontal="left"/>
    </xf>
    <xf numFmtId="16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174" fontId="0" fillId="0" borderId="0" xfId="0" applyNumberFormat="1" applyAlignment="1">
      <alignment horizontal="right"/>
    </xf>
    <xf numFmtId="175" fontId="0" fillId="0" borderId="0" xfId="0" applyNumberFormat="1" applyAlignment="1">
      <alignment horizontal="right"/>
    </xf>
    <xf numFmtId="173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indent="2"/>
    </xf>
    <xf numFmtId="170" fontId="0" fillId="0" borderId="0" xfId="0" applyNumberFormat="1" applyAlignment="1">
      <alignment horizontal="right" indent="2"/>
    </xf>
    <xf numFmtId="172" fontId="0" fillId="0" borderId="0" xfId="0" applyNumberFormat="1" applyAlignment="1">
      <alignment horizontal="right" indent="2"/>
    </xf>
    <xf numFmtId="170" fontId="1" fillId="0" borderId="0" xfId="0" applyNumberFormat="1" applyFont="1" applyAlignment="1">
      <alignment horizontal="right" indent="2"/>
    </xf>
    <xf numFmtId="0" fontId="0" fillId="0" borderId="0" xfId="0" applyAlignment="1">
      <alignment horizontal="right" indent="2"/>
    </xf>
    <xf numFmtId="170" fontId="0" fillId="0" borderId="0" xfId="0" applyNumberFormat="1" applyAlignment="1">
      <alignment horizontal="right" indent="1"/>
    </xf>
    <xf numFmtId="172" fontId="0" fillId="0" borderId="0" xfId="0" applyNumberFormat="1" applyAlignment="1">
      <alignment horizontal="right" indent="1"/>
    </xf>
    <xf numFmtId="173" fontId="0" fillId="0" borderId="0" xfId="0" applyNumberFormat="1" applyAlignment="1">
      <alignment horizontal="right" indent="1"/>
    </xf>
    <xf numFmtId="176" fontId="0" fillId="0" borderId="0" xfId="0" applyNumberFormat="1" applyAlignment="1">
      <alignment horizontal="right" indent="1"/>
    </xf>
    <xf numFmtId="0" fontId="0" fillId="0" borderId="0" xfId="0" applyAlignment="1">
      <alignment horizontal="right" indent="1"/>
    </xf>
    <xf numFmtId="168" fontId="0" fillId="0" borderId="0" xfId="0" applyNumberFormat="1" applyAlignment="1">
      <alignment horizontal="right" indent="1"/>
    </xf>
    <xf numFmtId="3" fontId="0" fillId="0" borderId="0" xfId="0" applyNumberFormat="1" applyAlignment="1">
      <alignment horizontal="right" indent="1"/>
    </xf>
    <xf numFmtId="1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indent="2"/>
    </xf>
    <xf numFmtId="172" fontId="0" fillId="0" borderId="0" xfId="0" applyNumberFormat="1" applyAlignment="1">
      <alignment horizontal="left"/>
    </xf>
    <xf numFmtId="172" fontId="1" fillId="0" borderId="1" xfId="0" applyNumberFormat="1" applyFont="1" applyBorder="1" applyAlignment="1">
      <alignment horizontal="left"/>
    </xf>
    <xf numFmtId="172" fontId="1" fillId="0" borderId="0" xfId="0" applyNumberFormat="1" applyFont="1" applyAlignment="1">
      <alignment horizontal="left"/>
    </xf>
    <xf numFmtId="173" fontId="0" fillId="0" borderId="0" xfId="0" applyNumberFormat="1" applyAlignment="1">
      <alignment horizontal="left"/>
    </xf>
    <xf numFmtId="17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 indent="1"/>
    </xf>
    <xf numFmtId="173" fontId="1" fillId="0" borderId="0" xfId="0" applyNumberFormat="1" applyFont="1" applyAlignment="1">
      <alignment horizontal="right" indent="1"/>
    </xf>
    <xf numFmtId="172" fontId="1" fillId="0" borderId="0" xfId="0" applyNumberFormat="1" applyFont="1" applyAlignment="1">
      <alignment horizontal="right" indent="1"/>
    </xf>
    <xf numFmtId="172" fontId="1" fillId="0" borderId="1" xfId="0" applyNumberFormat="1" applyFont="1" applyBorder="1" applyAlignment="1">
      <alignment horizontal="right" inden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1" xfId="0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/>
    </xf>
    <xf numFmtId="0" fontId="8" fillId="0" borderId="0" xfId="0" applyFont="1">
      <alignment horizontal="right"/>
    </xf>
    <xf numFmtId="0" fontId="8" fillId="0" borderId="0" xfId="0" applyFont="1" applyAlignment="1">
      <alignment horizontal="left" vertical="top" wrapText="1"/>
    </xf>
    <xf numFmtId="173" fontId="0" fillId="0" borderId="0" xfId="0" applyNumberFormat="1">
      <alignment horizontal="right"/>
    </xf>
    <xf numFmtId="0" fontId="11" fillId="0" borderId="0" xfId="1" applyFont="1" applyAlignment="1">
      <alignment horizontal="center"/>
    </xf>
    <xf numFmtId="0" fontId="12" fillId="0" borderId="0" xfId="1" applyFont="1"/>
    <xf numFmtId="0" fontId="12" fillId="0" borderId="0" xfId="1" applyFont="1" applyAlignment="1">
      <alignment horizontal="center"/>
    </xf>
    <xf numFmtId="0" fontId="13" fillId="0" borderId="0" xfId="1" applyFont="1"/>
    <xf numFmtId="0" fontId="14" fillId="0" borderId="1" xfId="2" applyFont="1" applyBorder="1" applyAlignment="1">
      <alignment horizontal="center"/>
    </xf>
    <xf numFmtId="10" fontId="15" fillId="0" borderId="0" xfId="3" applyNumberFormat="1" applyFont="1"/>
    <xf numFmtId="9" fontId="12" fillId="0" borderId="0" xfId="4" applyFont="1"/>
    <xf numFmtId="0" fontId="15" fillId="0" borderId="0" xfId="2" applyFont="1">
      <alignment horizontal="right"/>
    </xf>
    <xf numFmtId="2" fontId="12" fillId="0" borderId="0" xfId="1" applyNumberFormat="1" applyFont="1"/>
    <xf numFmtId="4" fontId="12" fillId="0" borderId="0" xfId="1" applyNumberFormat="1" applyFont="1"/>
    <xf numFmtId="0" fontId="11" fillId="0" borderId="0" xfId="1" applyFont="1"/>
    <xf numFmtId="3" fontId="15" fillId="0" borderId="0" xfId="2" applyNumberFormat="1" applyFont="1">
      <alignment horizontal="right"/>
    </xf>
    <xf numFmtId="44" fontId="15" fillId="0" borderId="0" xfId="5" applyFont="1" applyBorder="1"/>
    <xf numFmtId="43" fontId="15" fillId="0" borderId="0" xfId="6" applyFont="1"/>
    <xf numFmtId="0" fontId="12" fillId="0" borderId="1" xfId="1" applyFont="1" applyBorder="1"/>
    <xf numFmtId="43" fontId="15" fillId="0" borderId="1" xfId="6" applyFont="1" applyBorder="1"/>
    <xf numFmtId="0" fontId="12" fillId="0" borderId="2" xfId="1" applyFont="1" applyBorder="1"/>
    <xf numFmtId="0" fontId="12" fillId="0" borderId="3" xfId="1" applyFont="1" applyBorder="1"/>
    <xf numFmtId="2" fontId="15" fillId="0" borderId="0" xfId="6" applyNumberFormat="1" applyFont="1" applyBorder="1"/>
    <xf numFmtId="2" fontId="12" fillId="0" borderId="3" xfId="1" applyNumberFormat="1" applyFont="1" applyBorder="1"/>
    <xf numFmtId="2" fontId="12" fillId="0" borderId="1" xfId="1" applyNumberFormat="1" applyFont="1" applyBorder="1"/>
    <xf numFmtId="0" fontId="12" fillId="0" borderId="0" xfId="1" applyFont="1" applyBorder="1"/>
    <xf numFmtId="43" fontId="15" fillId="0" borderId="0" xfId="6" applyFont="1" applyBorder="1"/>
    <xf numFmtId="43" fontId="15" fillId="0" borderId="0" xfId="6" applyFont="1" applyAlignment="1">
      <alignment horizontal="right"/>
    </xf>
    <xf numFmtId="170" fontId="15" fillId="0" borderId="0" xfId="6" applyNumberFormat="1" applyFont="1" applyAlignment="1">
      <alignment horizontal="right"/>
    </xf>
    <xf numFmtId="0" fontId="12" fillId="0" borderId="4" xfId="1" applyFont="1" applyBorder="1"/>
    <xf numFmtId="43" fontId="15" fillId="0" borderId="4" xfId="6" applyFont="1" applyBorder="1" applyAlignment="1">
      <alignment horizontal="center"/>
    </xf>
    <xf numFmtId="43" fontId="12" fillId="0" borderId="0" xfId="1" applyNumberFormat="1" applyFont="1"/>
    <xf numFmtId="43" fontId="15" fillId="0" borderId="0" xfId="6" applyFont="1" applyBorder="1" applyAlignment="1">
      <alignment horizontal="center"/>
    </xf>
    <xf numFmtId="177" fontId="12" fillId="0" borderId="0" xfId="1" applyNumberFormat="1" applyFont="1"/>
    <xf numFmtId="44" fontId="15" fillId="0" borderId="0" xfId="7" applyFont="1"/>
    <xf numFmtId="43" fontId="15" fillId="0" borderId="0" xfId="6" applyFont="1" applyBorder="1" applyAlignment="1"/>
    <xf numFmtId="44" fontId="15" fillId="0" borderId="0" xfId="7" applyFont="1" applyBorder="1" applyAlignment="1"/>
    <xf numFmtId="0" fontId="16" fillId="0" borderId="0" xfId="2" applyFont="1">
      <alignment horizontal="right"/>
    </xf>
    <xf numFmtId="2" fontId="15" fillId="0" borderId="0" xfId="6" applyNumberFormat="1" applyFont="1"/>
    <xf numFmtId="0" fontId="11" fillId="0" borderId="5" xfId="1" applyFont="1" applyBorder="1" applyAlignment="1">
      <alignment horizontal="center"/>
    </xf>
    <xf numFmtId="0" fontId="11" fillId="0" borderId="6" xfId="1" applyFont="1" applyBorder="1" applyAlignment="1">
      <alignment horizontal="center"/>
    </xf>
    <xf numFmtId="0" fontId="17" fillId="0" borderId="0" xfId="1" applyFont="1"/>
    <xf numFmtId="0" fontId="18" fillId="0" borderId="7" xfId="1" applyFont="1" applyBorder="1" applyAlignment="1">
      <alignment horizontal="center"/>
    </xf>
    <xf numFmtId="0" fontId="18" fillId="0" borderId="8" xfId="1" applyFont="1" applyBorder="1" applyAlignment="1">
      <alignment horizontal="center"/>
    </xf>
    <xf numFmtId="0" fontId="18" fillId="2" borderId="0" xfId="1" applyFont="1" applyFill="1" applyAlignment="1">
      <alignment horizontal="center"/>
    </xf>
    <xf numFmtId="0" fontId="18" fillId="0" borderId="0" xfId="1" applyFont="1" applyFill="1" applyAlignment="1"/>
    <xf numFmtId="10" fontId="15" fillId="0" borderId="9" xfId="3" applyNumberFormat="1" applyFont="1" applyBorder="1" applyAlignment="1">
      <alignment horizontal="center"/>
    </xf>
    <xf numFmtId="44" fontId="15" fillId="0" borderId="10" xfId="7" applyFont="1" applyBorder="1"/>
    <xf numFmtId="44" fontId="12" fillId="0" borderId="0" xfId="1" applyNumberFormat="1" applyFont="1"/>
    <xf numFmtId="10" fontId="12" fillId="0" borderId="0" xfId="1" applyNumberFormat="1" applyFont="1"/>
    <xf numFmtId="3" fontId="12" fillId="0" borderId="0" xfId="1" applyNumberFormat="1" applyFont="1"/>
    <xf numFmtId="10" fontId="12" fillId="0" borderId="0" xfId="4" applyNumberFormat="1" applyFont="1"/>
    <xf numFmtId="178" fontId="12" fillId="0" borderId="0" xfId="1" applyNumberFormat="1" applyFont="1"/>
    <xf numFmtId="10" fontId="15" fillId="0" borderId="9" xfId="3" applyNumberFormat="1" applyFont="1" applyFill="1" applyBorder="1" applyAlignment="1">
      <alignment horizontal="center"/>
    </xf>
    <xf numFmtId="179" fontId="12" fillId="0" borderId="0" xfId="1" applyNumberFormat="1" applyFont="1"/>
    <xf numFmtId="0" fontId="15" fillId="0" borderId="0" xfId="2" applyFont="1" applyAlignment="1">
      <alignment horizontal="left"/>
    </xf>
    <xf numFmtId="10" fontId="15" fillId="0" borderId="11" xfId="3" applyNumberFormat="1" applyFont="1" applyBorder="1" applyAlignment="1">
      <alignment horizontal="center"/>
    </xf>
    <xf numFmtId="44" fontId="15" fillId="0" borderId="12" xfId="7" applyFont="1" applyBorder="1"/>
    <xf numFmtId="0" fontId="15" fillId="0" borderId="0" xfId="2" applyFont="1" applyAlignment="1"/>
    <xf numFmtId="0" fontId="15" fillId="0" borderId="0" xfId="2" applyFont="1" applyAlignment="1">
      <alignment vertical="top"/>
    </xf>
    <xf numFmtId="0" fontId="12" fillId="0" borderId="8" xfId="1" applyFont="1" applyBorder="1" applyAlignment="1">
      <alignment horizontal="center"/>
    </xf>
    <xf numFmtId="180" fontId="15" fillId="0" borderId="0" xfId="3" applyNumberFormat="1" applyFont="1"/>
    <xf numFmtId="0" fontId="16" fillId="0" borderId="0" xfId="2" applyFont="1" applyAlignment="1">
      <alignment horizontal="left"/>
    </xf>
    <xf numFmtId="10" fontId="16" fillId="0" borderId="0" xfId="4" applyNumberFormat="1" applyFont="1" applyAlignment="1">
      <alignment horizontal="right"/>
    </xf>
    <xf numFmtId="43" fontId="15" fillId="0" borderId="2" xfId="6" applyFont="1" applyBorder="1"/>
    <xf numFmtId="2" fontId="12" fillId="0" borderId="2" xfId="1" applyNumberFormat="1" applyFont="1" applyBorder="1"/>
    <xf numFmtId="10" fontId="15" fillId="0" borderId="5" xfId="3" applyNumberFormat="1" applyFont="1" applyBorder="1" applyAlignment="1">
      <alignment horizontal="center"/>
    </xf>
    <xf numFmtId="44" fontId="15" fillId="0" borderId="6" xfId="7" applyFont="1" applyBorder="1"/>
    <xf numFmtId="0" fontId="15" fillId="0" borderId="5" xfId="2" applyFont="1" applyBorder="1" applyAlignment="1">
      <alignment horizontal="left"/>
    </xf>
    <xf numFmtId="0" fontId="15" fillId="0" borderId="13" xfId="2" applyFont="1" applyBorder="1" applyAlignment="1">
      <alignment horizontal="left"/>
    </xf>
    <xf numFmtId="176" fontId="15" fillId="0" borderId="6" xfId="2" applyNumberFormat="1" applyFont="1" applyBorder="1">
      <alignment horizontal="right"/>
    </xf>
    <xf numFmtId="0" fontId="14" fillId="0" borderId="7" xfId="2" applyFont="1" applyBorder="1" applyAlignment="1">
      <alignment horizontal="center"/>
    </xf>
    <xf numFmtId="0" fontId="14" fillId="0" borderId="14" xfId="2" applyFont="1" applyBorder="1" applyAlignment="1">
      <alignment horizontal="center"/>
    </xf>
    <xf numFmtId="0" fontId="14" fillId="0" borderId="8" xfId="2" applyFont="1" applyBorder="1" applyAlignment="1">
      <alignment horizontal="center"/>
    </xf>
    <xf numFmtId="0" fontId="15" fillId="0" borderId="9" xfId="2" applyFont="1" applyBorder="1" applyAlignment="1">
      <alignment horizontal="left"/>
    </xf>
    <xf numFmtId="0" fontId="15" fillId="0" borderId="0" xfId="2" applyFont="1" applyBorder="1" applyAlignment="1">
      <alignment horizontal="left"/>
    </xf>
    <xf numFmtId="176" fontId="15" fillId="0" borderId="10" xfId="2" applyNumberFormat="1" applyFont="1" applyBorder="1">
      <alignment horizontal="right"/>
    </xf>
    <xf numFmtId="0" fontId="15" fillId="0" borderId="11" xfId="2" applyFont="1" applyBorder="1" applyAlignment="1"/>
    <xf numFmtId="0" fontId="15" fillId="0" borderId="4" xfId="2" applyFont="1" applyBorder="1" applyAlignment="1"/>
    <xf numFmtId="0" fontId="15" fillId="0" borderId="12" xfId="2" applyFont="1" applyBorder="1" applyAlignment="1"/>
    <xf numFmtId="176" fontId="15" fillId="0" borderId="9" xfId="2" applyNumberFormat="1" applyFont="1" applyBorder="1" applyAlignment="1">
      <alignment horizontal="right"/>
    </xf>
    <xf numFmtId="0" fontId="14" fillId="0" borderId="1" xfId="2" applyNumberFormat="1" applyFont="1" applyBorder="1" applyAlignment="1">
      <alignment horizontal="center"/>
    </xf>
    <xf numFmtId="10" fontId="15" fillId="0" borderId="1" xfId="2" applyNumberFormat="1" applyFont="1" applyBorder="1" applyAlignment="1">
      <alignment horizontal="right"/>
    </xf>
    <xf numFmtId="0" fontId="15" fillId="0" borderId="10" xfId="2" applyFont="1" applyBorder="1" applyAlignment="1">
      <alignment horizontal="right"/>
    </xf>
    <xf numFmtId="0" fontId="15" fillId="0" borderId="11" xfId="2" applyFont="1" applyBorder="1" applyAlignment="1">
      <alignment horizontal="left"/>
    </xf>
    <xf numFmtId="0" fontId="15" fillId="0" borderId="4" xfId="2" applyFont="1" applyBorder="1" applyAlignment="1">
      <alignment horizontal="left"/>
    </xf>
    <xf numFmtId="0" fontId="15" fillId="0" borderId="12" xfId="2" applyFont="1" applyBorder="1">
      <alignment horizontal="right"/>
    </xf>
    <xf numFmtId="0" fontId="15" fillId="0" borderId="7" xfId="2" applyFont="1" applyBorder="1" applyAlignment="1">
      <alignment horizontal="left"/>
    </xf>
    <xf numFmtId="0" fontId="15" fillId="0" borderId="14" xfId="2" applyFont="1" applyBorder="1" applyAlignment="1">
      <alignment horizontal="left"/>
    </xf>
    <xf numFmtId="0" fontId="15" fillId="0" borderId="8" xfId="2" applyFont="1" applyBorder="1">
      <alignment horizontal="right"/>
    </xf>
    <xf numFmtId="44" fontId="15" fillId="0" borderId="10" xfId="2" applyNumberFormat="1" applyFont="1" applyBorder="1">
      <alignment horizontal="right"/>
    </xf>
    <xf numFmtId="10" fontId="15" fillId="0" borderId="10" xfId="4" applyNumberFormat="1" applyFont="1" applyBorder="1" applyAlignment="1">
      <alignment horizontal="right"/>
    </xf>
    <xf numFmtId="176" fontId="15" fillId="0" borderId="11" xfId="2" applyNumberFormat="1" applyFont="1" applyBorder="1" applyAlignment="1">
      <alignment horizontal="right"/>
    </xf>
    <xf numFmtId="0" fontId="14" fillId="0" borderId="4" xfId="2" applyNumberFormat="1" applyFont="1" applyBorder="1" applyAlignment="1">
      <alignment horizontal="center"/>
    </xf>
    <xf numFmtId="10" fontId="15" fillId="0" borderId="4" xfId="2" applyNumberFormat="1" applyFont="1" applyBorder="1" applyAlignment="1">
      <alignment horizontal="right"/>
    </xf>
    <xf numFmtId="0" fontId="15" fillId="0" borderId="12" xfId="2" applyFont="1" applyBorder="1" applyAlignment="1">
      <alignment horizontal="right"/>
    </xf>
    <xf numFmtId="44" fontId="15" fillId="0" borderId="12" xfId="2" applyNumberFormat="1" applyFont="1" applyBorder="1">
      <alignment horizontal="right"/>
    </xf>
    <xf numFmtId="0" fontId="15" fillId="0" borderId="10" xfId="2" applyFont="1" applyBorder="1">
      <alignment horizontal="right"/>
    </xf>
    <xf numFmtId="0" fontId="21" fillId="0" borderId="0" xfId="2" applyFont="1">
      <alignment horizontal="right"/>
    </xf>
    <xf numFmtId="0" fontId="22" fillId="0" borderId="0" xfId="2" applyFont="1" applyAlignment="1"/>
    <xf numFmtId="0" fontId="15" fillId="0" borderId="6" xfId="2" applyFont="1" applyBorder="1">
      <alignment horizontal="right"/>
    </xf>
    <xf numFmtId="0" fontId="23" fillId="0" borderId="0" xfId="2" applyFont="1">
      <alignment horizontal="right"/>
    </xf>
    <xf numFmtId="0" fontId="15" fillId="0" borderId="0" xfId="2" applyFont="1" applyBorder="1">
      <alignment horizontal="right"/>
    </xf>
    <xf numFmtId="44" fontId="15" fillId="0" borderId="0" xfId="2" applyNumberFormat="1" applyFont="1" applyBorder="1">
      <alignment horizontal="right"/>
    </xf>
    <xf numFmtId="0" fontId="22" fillId="0" borderId="0" xfId="2" applyFont="1">
      <alignment horizontal="right"/>
    </xf>
    <xf numFmtId="0" fontId="14" fillId="0" borderId="0" xfId="2" applyFont="1" applyAlignment="1"/>
    <xf numFmtId="0" fontId="15" fillId="0" borderId="0" xfId="2" applyFont="1" applyFill="1">
      <alignment horizontal="right"/>
    </xf>
    <xf numFmtId="0" fontId="15" fillId="0" borderId="9" xfId="2" applyFont="1" applyFill="1" applyBorder="1">
      <alignment horizontal="right"/>
    </xf>
    <xf numFmtId="0" fontId="14" fillId="0" borderId="15" xfId="2" applyFont="1" applyBorder="1" applyAlignment="1">
      <alignment horizontal="center"/>
    </xf>
    <xf numFmtId="0" fontId="15" fillId="0" borderId="0" xfId="2" applyFont="1" applyFill="1" applyBorder="1">
      <alignment horizontal="right"/>
    </xf>
    <xf numFmtId="0" fontId="15" fillId="0" borderId="9" xfId="2" applyFont="1" applyFill="1" applyBorder="1" applyAlignment="1">
      <alignment horizontal="left"/>
    </xf>
    <xf numFmtId="2" fontId="15" fillId="0" borderId="0" xfId="2" applyNumberFormat="1" applyFont="1" applyFill="1" applyBorder="1">
      <alignment horizontal="right"/>
    </xf>
    <xf numFmtId="2" fontId="15" fillId="0" borderId="10" xfId="2" applyNumberFormat="1" applyFont="1" applyFill="1" applyBorder="1">
      <alignment horizontal="right"/>
    </xf>
    <xf numFmtId="0" fontId="15" fillId="0" borderId="16" xfId="2" applyFont="1" applyFill="1" applyBorder="1" applyAlignment="1">
      <alignment horizontal="left"/>
    </xf>
    <xf numFmtId="0" fontId="15" fillId="0" borderId="1" xfId="2" applyFont="1" applyFill="1" applyBorder="1">
      <alignment horizontal="right"/>
    </xf>
    <xf numFmtId="2" fontId="15" fillId="0" borderId="1" xfId="2" applyNumberFormat="1" applyFont="1" applyFill="1" applyBorder="1">
      <alignment horizontal="right"/>
    </xf>
    <xf numFmtId="2" fontId="15" fillId="0" borderId="15" xfId="2" applyNumberFormat="1" applyFont="1" applyFill="1" applyBorder="1">
      <alignment horizontal="right"/>
    </xf>
    <xf numFmtId="0" fontId="15" fillId="0" borderId="11" xfId="2" applyFont="1" applyFill="1" applyBorder="1" applyAlignment="1">
      <alignment horizontal="left"/>
    </xf>
    <xf numFmtId="0" fontId="15" fillId="0" borderId="4" xfId="2" applyFont="1" applyFill="1" applyBorder="1">
      <alignment horizontal="right"/>
    </xf>
    <xf numFmtId="2" fontId="15" fillId="0" borderId="4" xfId="2" applyNumberFormat="1" applyFont="1" applyFill="1" applyBorder="1">
      <alignment horizontal="right"/>
    </xf>
    <xf numFmtId="2" fontId="15" fillId="0" borderId="12" xfId="2" applyNumberFormat="1" applyFont="1" applyFill="1" applyBorder="1">
      <alignment horizontal="right"/>
    </xf>
    <xf numFmtId="0" fontId="24" fillId="0" borderId="0" xfId="2" applyFont="1" applyFill="1" applyBorder="1" applyAlignment="1">
      <alignment horizontal="left"/>
    </xf>
    <xf numFmtId="2" fontId="24" fillId="0" borderId="0" xfId="2" applyNumberFormat="1" applyFont="1" applyFill="1" applyBorder="1">
      <alignment horizontal="right"/>
    </xf>
    <xf numFmtId="10" fontId="15" fillId="0" borderId="0" xfId="2" applyNumberFormat="1" applyFont="1" applyFill="1" applyBorder="1">
      <alignment horizontal="right"/>
    </xf>
    <xf numFmtId="0" fontId="15" fillId="0" borderId="9" xfId="2" applyFont="1" applyBorder="1">
      <alignment horizontal="right"/>
    </xf>
    <xf numFmtId="0" fontId="15" fillId="0" borderId="7" xfId="2" applyFont="1" applyBorder="1">
      <alignment horizontal="right"/>
    </xf>
    <xf numFmtId="176" fontId="15" fillId="0" borderId="14" xfId="4" applyNumberFormat="1" applyFont="1" applyBorder="1" applyAlignment="1">
      <alignment horizontal="right"/>
    </xf>
    <xf numFmtId="0" fontId="14" fillId="0" borderId="8" xfId="2" applyFont="1" applyBorder="1">
      <alignment horizontal="right"/>
    </xf>
    <xf numFmtId="44" fontId="15" fillId="0" borderId="17" xfId="2" applyNumberFormat="1" applyFont="1" applyBorder="1">
      <alignment horizontal="right"/>
    </xf>
    <xf numFmtId="43" fontId="15" fillId="0" borderId="0" xfId="2" applyNumberFormat="1" applyFont="1" applyFill="1" applyBorder="1">
      <alignment horizontal="right"/>
    </xf>
    <xf numFmtId="176" fontId="14" fillId="0" borderId="17" xfId="2" applyNumberFormat="1" applyFont="1" applyBorder="1">
      <alignment horizontal="right"/>
    </xf>
    <xf numFmtId="0" fontId="15" fillId="0" borderId="18" xfId="2" applyFont="1" applyBorder="1" applyAlignment="1">
      <alignment horizontal="center" wrapText="1"/>
    </xf>
    <xf numFmtId="0" fontId="15" fillId="0" borderId="17" xfId="2" applyFont="1" applyBorder="1" applyAlignment="1">
      <alignment horizontal="center" wrapText="1"/>
    </xf>
    <xf numFmtId="0" fontId="15" fillId="0" borderId="19" xfId="2" applyFont="1" applyBorder="1" applyAlignment="1">
      <alignment horizontal="center" wrapText="1"/>
    </xf>
    <xf numFmtId="0" fontId="25" fillId="0" borderId="0" xfId="2" applyFont="1" applyBorder="1">
      <alignment horizontal="right"/>
    </xf>
    <xf numFmtId="44" fontId="15" fillId="0" borderId="19" xfId="2" applyNumberFormat="1" applyFont="1" applyBorder="1">
      <alignment horizontal="right"/>
    </xf>
    <xf numFmtId="0" fontId="15" fillId="0" borderId="4" xfId="2" applyFont="1" applyBorder="1">
      <alignment horizontal="right"/>
    </xf>
    <xf numFmtId="0" fontId="25" fillId="0" borderId="4" xfId="2" applyFont="1" applyBorder="1">
      <alignment horizontal="right"/>
    </xf>
    <xf numFmtId="43" fontId="15" fillId="0" borderId="4" xfId="2" applyNumberFormat="1" applyFont="1" applyFill="1" applyBorder="1">
      <alignment horizontal="right"/>
    </xf>
    <xf numFmtId="176" fontId="14" fillId="0" borderId="19" xfId="2" applyNumberFormat="1" applyFont="1" applyBorder="1">
      <alignment horizontal="right"/>
    </xf>
    <xf numFmtId="44" fontId="15" fillId="0" borderId="0" xfId="2" applyNumberFormat="1" applyFont="1">
      <alignment horizontal="right"/>
    </xf>
    <xf numFmtId="179" fontId="15" fillId="0" borderId="0" xfId="5" applyNumberFormat="1" applyFont="1" applyBorder="1"/>
    <xf numFmtId="179" fontId="15" fillId="0" borderId="0" xfId="6" applyNumberFormat="1" applyFont="1" applyBorder="1"/>
    <xf numFmtId="179" fontId="15" fillId="0" borderId="0" xfId="6" applyNumberFormat="1" applyFont="1" applyBorder="1" applyAlignment="1">
      <alignment horizontal="center"/>
    </xf>
    <xf numFmtId="179" fontId="15" fillId="0" borderId="1" xfId="6" applyNumberFormat="1" applyFont="1" applyBorder="1"/>
    <xf numFmtId="179" fontId="12" fillId="0" borderId="1" xfId="1" applyNumberFormat="1" applyFont="1" applyBorder="1"/>
    <xf numFmtId="179" fontId="15" fillId="0" borderId="0" xfId="0" applyNumberFormat="1" applyFont="1" applyAlignment="1">
      <alignment horizontal="right"/>
    </xf>
    <xf numFmtId="170" fontId="0" fillId="0" borderId="0" xfId="0" applyNumberFormat="1">
      <alignment horizontal="right"/>
    </xf>
    <xf numFmtId="185" fontId="0" fillId="0" borderId="0" xfId="0" applyNumberFormat="1" applyAlignment="1">
      <alignment horizontal="right"/>
    </xf>
    <xf numFmtId="174" fontId="0" fillId="0" borderId="0" xfId="0" applyNumberFormat="1">
      <alignment horizontal="right"/>
    </xf>
    <xf numFmtId="191" fontId="12" fillId="0" borderId="0" xfId="1" applyNumberFormat="1" applyFont="1"/>
    <xf numFmtId="179" fontId="15" fillId="0" borderId="4" xfId="6" applyNumberFormat="1" applyFont="1" applyBorder="1"/>
  </cellXfs>
  <cellStyles count="8">
    <cellStyle name="Comma 2" xfId="6"/>
    <cellStyle name="Currency 2" xfId="5"/>
    <cellStyle name="Currency 2 2" xfId="7"/>
    <cellStyle name="Normal" xfId="0" builtinId="0"/>
    <cellStyle name="Normal 2" xfId="1"/>
    <cellStyle name="Normal 3" xfId="2"/>
    <cellStyle name="Percent 2" xfId="3"/>
    <cellStyle name="Percent 3" xfId="4"/>
  </cellStyles>
  <dxfs count="1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agate%20Technology%20Buyout%20mai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ket Share"/>
      <sheetName val="Historical Industry"/>
      <sheetName val="Seagate Historical"/>
      <sheetName val="Veritas"/>
      <sheetName val="Comps"/>
      <sheetName val="Seagate Projections"/>
      <sheetName val="DCFU"/>
      <sheetName val="DCFL"/>
      <sheetName val="Debt Payment"/>
      <sheetName val="Interest-Ratings"/>
    </sheetNames>
    <sheetDataSet>
      <sheetData sheetId="0"/>
      <sheetData sheetId="1"/>
      <sheetData sheetId="2"/>
      <sheetData sheetId="3"/>
      <sheetData sheetId="4">
        <row r="7">
          <cell r="D7">
            <v>6802</v>
          </cell>
        </row>
        <row r="8">
          <cell r="D8">
            <v>5250</v>
          </cell>
        </row>
        <row r="9">
          <cell r="D9">
            <v>1552</v>
          </cell>
        </row>
        <row r="11">
          <cell r="D11">
            <v>613</v>
          </cell>
        </row>
        <row r="12">
          <cell r="D12">
            <v>398</v>
          </cell>
        </row>
        <row r="15">
          <cell r="D15">
            <v>603</v>
          </cell>
        </row>
        <row r="27">
          <cell r="D27">
            <v>1773</v>
          </cell>
        </row>
        <row r="31">
          <cell r="D31">
            <v>8620</v>
          </cell>
        </row>
        <row r="32">
          <cell r="D32">
            <v>1.2</v>
          </cell>
        </row>
        <row r="33">
          <cell r="D33">
            <v>704</v>
          </cell>
        </row>
        <row r="35">
          <cell r="D35">
            <v>64.25</v>
          </cell>
        </row>
        <row r="36">
          <cell r="D36">
            <v>227.2</v>
          </cell>
        </row>
        <row r="41">
          <cell r="Q41">
            <v>0.72020405596597614</v>
          </cell>
        </row>
        <row r="43">
          <cell r="Q43">
            <v>0.7431280717332277</v>
          </cell>
        </row>
      </sheetData>
      <sheetData sheetId="5">
        <row r="7">
          <cell r="B7">
            <v>6619</v>
          </cell>
          <cell r="C7">
            <v>7417</v>
          </cell>
          <cell r="D7">
            <v>8564</v>
          </cell>
          <cell r="E7">
            <v>9504</v>
          </cell>
          <cell r="F7">
            <v>10416</v>
          </cell>
          <cell r="G7">
            <v>11359</v>
          </cell>
          <cell r="H7">
            <v>12350</v>
          </cell>
        </row>
        <row r="8">
          <cell r="B8">
            <v>0.19096540262879588</v>
          </cell>
          <cell r="C8">
            <v>0.18996899015774571</v>
          </cell>
          <cell r="D8">
            <v>0.19803829985987856</v>
          </cell>
          <cell r="E8">
            <v>0.21496212121212122</v>
          </cell>
          <cell r="F8">
            <v>0.22196620583717358</v>
          </cell>
          <cell r="G8">
            <v>0.2310062505502245</v>
          </cell>
        </row>
        <row r="9">
          <cell r="B9">
            <v>1264</v>
          </cell>
          <cell r="C9">
            <v>1409</v>
          </cell>
          <cell r="D9">
            <v>1696</v>
          </cell>
          <cell r="E9">
            <v>2043</v>
          </cell>
          <cell r="F9">
            <v>2312</v>
          </cell>
          <cell r="G9">
            <v>2624</v>
          </cell>
          <cell r="H9">
            <v>3026</v>
          </cell>
        </row>
        <row r="12">
          <cell r="B12">
            <v>141</v>
          </cell>
          <cell r="C12">
            <v>189</v>
          </cell>
          <cell r="D12">
            <v>316</v>
          </cell>
          <cell r="E12">
            <v>449</v>
          </cell>
          <cell r="F12">
            <v>499</v>
          </cell>
          <cell r="G12">
            <v>614</v>
          </cell>
          <cell r="H12">
            <v>724</v>
          </cell>
        </row>
        <row r="14">
          <cell r="B14">
            <v>625</v>
          </cell>
          <cell r="C14">
            <v>626</v>
          </cell>
          <cell r="D14">
            <v>642</v>
          </cell>
          <cell r="E14">
            <v>666</v>
          </cell>
          <cell r="F14">
            <v>708</v>
          </cell>
          <cell r="G14">
            <v>726</v>
          </cell>
          <cell r="H14">
            <v>729</v>
          </cell>
        </row>
        <row r="16">
          <cell r="B16">
            <v>627</v>
          </cell>
          <cell r="C16">
            <v>690</v>
          </cell>
          <cell r="D16">
            <v>720</v>
          </cell>
          <cell r="E16">
            <v>795</v>
          </cell>
          <cell r="F16">
            <v>700</v>
          </cell>
          <cell r="G16">
            <v>725</v>
          </cell>
          <cell r="H16">
            <v>750</v>
          </cell>
        </row>
      </sheetData>
      <sheetData sheetId="6">
        <row r="6">
          <cell r="E6">
            <v>0.34</v>
          </cell>
          <cell r="F6">
            <v>0.34</v>
          </cell>
          <cell r="G6">
            <v>0.34</v>
          </cell>
          <cell r="H6">
            <v>0.34</v>
          </cell>
          <cell r="I6">
            <v>0.34</v>
          </cell>
          <cell r="J6">
            <v>0.34</v>
          </cell>
          <cell r="K6">
            <v>0.34</v>
          </cell>
          <cell r="L6">
            <v>0.34</v>
          </cell>
          <cell r="M6">
            <v>0.34</v>
          </cell>
          <cell r="N6">
            <v>0.34</v>
          </cell>
        </row>
        <row r="25">
          <cell r="N25">
            <v>821.89879467764013</v>
          </cell>
        </row>
        <row r="27">
          <cell r="E27">
            <v>45.787599999999998</v>
          </cell>
          <cell r="F27">
            <v>161.39519999999993</v>
          </cell>
          <cell r="G27">
            <v>198.1751999999999</v>
          </cell>
          <cell r="H27">
            <v>368.1751999999999</v>
          </cell>
          <cell r="I27">
            <v>437.0752</v>
          </cell>
          <cell r="J27">
            <v>487.6751999999999</v>
          </cell>
          <cell r="K27">
            <v>553.88346279936638</v>
          </cell>
          <cell r="L27">
            <v>630.54964168085769</v>
          </cell>
          <cell r="M27">
            <v>719.27413808961649</v>
          </cell>
        </row>
        <row r="31">
          <cell r="C31">
            <v>7517.4040452508507</v>
          </cell>
        </row>
      </sheetData>
      <sheetData sheetId="7">
        <row r="27">
          <cell r="N27">
            <v>8189.6202701168313</v>
          </cell>
        </row>
      </sheetData>
      <sheetData sheetId="8">
        <row r="21">
          <cell r="D21">
            <v>216.31907071235116</v>
          </cell>
          <cell r="E21">
            <v>164.85667071235116</v>
          </cell>
          <cell r="F21">
            <v>164.85667071235116</v>
          </cell>
          <cell r="G21">
            <v>164.85667071235116</v>
          </cell>
          <cell r="H21">
            <v>164.85667071235116</v>
          </cell>
          <cell r="I21">
            <v>164.85667071235116</v>
          </cell>
          <cell r="J21">
            <v>164.85667071235116</v>
          </cell>
          <cell r="K21">
            <v>164.85667071235116</v>
          </cell>
          <cell r="L21">
            <v>164.85667071235116</v>
          </cell>
          <cell r="M21">
            <v>164.85667071235116</v>
          </cell>
        </row>
      </sheetData>
      <sheetData sheetId="9">
        <row r="6">
          <cell r="E6">
            <v>7.7200000000000005E-2</v>
          </cell>
        </row>
        <row r="13">
          <cell r="D13">
            <v>5.8400000000000001E-2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3" sqref="A3"/>
    </sheetView>
  </sheetViews>
  <sheetFormatPr defaultRowHeight="13.2" x14ac:dyDescent="0.25"/>
  <cols>
    <col min="1" max="1" width="12.44140625" customWidth="1"/>
    <col min="2" max="5" width="8.6640625" customWidth="1"/>
  </cols>
  <sheetData>
    <row r="1" spans="1:5" x14ac:dyDescent="0.25">
      <c r="A1" s="4"/>
      <c r="B1" s="4"/>
      <c r="C1" s="4"/>
      <c r="D1" s="4"/>
      <c r="E1" s="4"/>
    </row>
    <row r="2" spans="1:5" x14ac:dyDescent="0.25">
      <c r="A2" s="1" t="s">
        <v>0</v>
      </c>
      <c r="B2" s="2">
        <v>8</v>
      </c>
      <c r="C2" s="1" t="s">
        <v>1</v>
      </c>
      <c r="D2" s="6">
        <v>9.5</v>
      </c>
      <c r="E2" s="1" t="s">
        <v>2</v>
      </c>
    </row>
    <row r="3" spans="1:5" x14ac:dyDescent="0.25">
      <c r="A3" s="1" t="s">
        <v>3</v>
      </c>
      <c r="B3" s="2">
        <v>3</v>
      </c>
      <c r="C3" s="1" t="s">
        <v>1</v>
      </c>
      <c r="D3" s="2">
        <v>4</v>
      </c>
      <c r="E3" s="1" t="s">
        <v>2</v>
      </c>
    </row>
    <row r="4" spans="1:5" x14ac:dyDescent="0.25">
      <c r="A4" s="1" t="s">
        <v>4</v>
      </c>
      <c r="B4" s="6">
        <v>1.5</v>
      </c>
      <c r="C4" s="1" t="s">
        <v>1</v>
      </c>
      <c r="D4" s="2">
        <v>2</v>
      </c>
      <c r="E4" s="1" t="s">
        <v>2</v>
      </c>
    </row>
    <row r="5" spans="1:5" x14ac:dyDescent="0.25">
      <c r="A5" s="1"/>
      <c r="B5" s="3"/>
      <c r="C5" s="1"/>
      <c r="D5" s="2"/>
      <c r="E5" s="1"/>
    </row>
    <row r="6" spans="1:5" x14ac:dyDescent="0.25">
      <c r="A6" s="5" t="s">
        <v>5</v>
      </c>
      <c r="B6" s="7">
        <v>12.5</v>
      </c>
      <c r="C6" s="5" t="s">
        <v>1</v>
      </c>
      <c r="D6" s="7">
        <v>15.5</v>
      </c>
      <c r="E6" s="5" t="s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5" sqref="A5"/>
    </sheetView>
  </sheetViews>
  <sheetFormatPr defaultRowHeight="13.2" x14ac:dyDescent="0.25"/>
  <cols>
    <col min="1" max="1" width="37.33203125" customWidth="1"/>
    <col min="2" max="2" width="27.109375" customWidth="1"/>
    <col min="3" max="3" width="24.88671875" customWidth="1"/>
  </cols>
  <sheetData>
    <row r="1" spans="1:3" ht="25.5" customHeight="1" x14ac:dyDescent="0.25">
      <c r="A1" s="51" t="s">
        <v>26</v>
      </c>
      <c r="B1" s="51"/>
      <c r="C1" s="51"/>
    </row>
    <row r="2" spans="1:3" x14ac:dyDescent="0.25">
      <c r="A2" s="53"/>
      <c r="B2" s="53"/>
      <c r="C2" s="53"/>
    </row>
    <row r="3" spans="1:3" x14ac:dyDescent="0.25">
      <c r="A3" s="9" t="s">
        <v>27</v>
      </c>
      <c r="B3" s="9" t="s">
        <v>28</v>
      </c>
      <c r="C3" s="9" t="s">
        <v>29</v>
      </c>
    </row>
    <row r="4" spans="1:3" x14ac:dyDescent="0.25">
      <c r="A4" s="9"/>
      <c r="B4" s="9"/>
      <c r="C4" s="9"/>
    </row>
    <row r="5" spans="1:3" ht="52.8" x14ac:dyDescent="0.25">
      <c r="A5" s="11" t="s">
        <v>6</v>
      </c>
      <c r="B5" s="10" t="s">
        <v>7</v>
      </c>
      <c r="C5" s="12" t="s">
        <v>8</v>
      </c>
    </row>
    <row r="6" spans="1:3" x14ac:dyDescent="0.25">
      <c r="A6" s="11"/>
      <c r="B6" s="10"/>
      <c r="C6" s="12"/>
    </row>
    <row r="7" spans="1:3" ht="52.8" x14ac:dyDescent="0.25">
      <c r="A7" s="11" t="s">
        <v>9</v>
      </c>
      <c r="B7" s="10" t="s">
        <v>10</v>
      </c>
      <c r="C7" s="12" t="s">
        <v>11</v>
      </c>
    </row>
    <row r="8" spans="1:3" x14ac:dyDescent="0.25">
      <c r="A8" s="11"/>
      <c r="B8" s="10"/>
      <c r="C8" s="12"/>
    </row>
    <row r="9" spans="1:3" ht="26.4" x14ac:dyDescent="0.25">
      <c r="A9" s="11" t="s">
        <v>12</v>
      </c>
      <c r="B9" s="10" t="s">
        <v>13</v>
      </c>
      <c r="C9" s="12" t="s">
        <v>14</v>
      </c>
    </row>
    <row r="10" spans="1:3" x14ac:dyDescent="0.25">
      <c r="A10" s="11"/>
      <c r="B10" s="10"/>
      <c r="C10" s="12"/>
    </row>
    <row r="11" spans="1:3" ht="52.8" x14ac:dyDescent="0.25">
      <c r="A11" s="11" t="s">
        <v>15</v>
      </c>
      <c r="B11" s="10" t="s">
        <v>16</v>
      </c>
      <c r="C11" s="12" t="s">
        <v>17</v>
      </c>
    </row>
    <row r="12" spans="1:3" x14ac:dyDescent="0.25">
      <c r="A12" s="11"/>
      <c r="B12" s="10"/>
      <c r="C12" s="12"/>
    </row>
    <row r="13" spans="1:3" ht="66" x14ac:dyDescent="0.25">
      <c r="A13" s="11" t="s">
        <v>18</v>
      </c>
      <c r="B13" s="10" t="s">
        <v>19</v>
      </c>
      <c r="C13" s="12" t="s">
        <v>20</v>
      </c>
    </row>
    <row r="14" spans="1:3" x14ac:dyDescent="0.25">
      <c r="A14" s="11"/>
      <c r="B14" s="10"/>
      <c r="C14" s="12"/>
    </row>
    <row r="15" spans="1:3" x14ac:dyDescent="0.25">
      <c r="A15" s="9" t="s">
        <v>30</v>
      </c>
      <c r="B15" s="1"/>
      <c r="C15" s="1"/>
    </row>
    <row r="16" spans="1:3" x14ac:dyDescent="0.25">
      <c r="A16" s="9"/>
      <c r="B16" s="1"/>
      <c r="C16" s="1"/>
    </row>
    <row r="17" spans="1:3" x14ac:dyDescent="0.25">
      <c r="A17" s="1" t="s">
        <v>21</v>
      </c>
      <c r="B17" s="1"/>
      <c r="C17" s="1"/>
    </row>
    <row r="18" spans="1:3" x14ac:dyDescent="0.25">
      <c r="A18" s="1"/>
      <c r="B18" s="1"/>
      <c r="C18" s="1"/>
    </row>
    <row r="19" spans="1:3" x14ac:dyDescent="0.25">
      <c r="A19" s="1" t="s">
        <v>22</v>
      </c>
      <c r="B19" s="1"/>
      <c r="C19" s="1"/>
    </row>
    <row r="20" spans="1:3" x14ac:dyDescent="0.25">
      <c r="A20" s="1"/>
      <c r="B20" s="1"/>
      <c r="C20" s="1"/>
    </row>
    <row r="21" spans="1:3" x14ac:dyDescent="0.25">
      <c r="A21" s="9" t="s">
        <v>31</v>
      </c>
      <c r="B21" s="1"/>
      <c r="C21" s="1"/>
    </row>
    <row r="22" spans="1:3" x14ac:dyDescent="0.25">
      <c r="A22" s="1"/>
      <c r="B22" s="1"/>
      <c r="C22" s="1"/>
    </row>
    <row r="23" spans="1:3" x14ac:dyDescent="0.25">
      <c r="A23" s="1" t="s">
        <v>23</v>
      </c>
      <c r="B23" s="1"/>
      <c r="C23" s="1"/>
    </row>
    <row r="24" spans="1:3" x14ac:dyDescent="0.25">
      <c r="A24" s="1"/>
      <c r="B24" s="1"/>
      <c r="C24" s="1"/>
    </row>
    <row r="25" spans="1:3" x14ac:dyDescent="0.25">
      <c r="A25" s="1" t="s">
        <v>24</v>
      </c>
      <c r="B25" s="1"/>
      <c r="C25" s="1"/>
    </row>
    <row r="26" spans="1:3" x14ac:dyDescent="0.25">
      <c r="A26" s="1"/>
      <c r="B26" s="1"/>
      <c r="C26" s="1"/>
    </row>
    <row r="27" spans="1:3" x14ac:dyDescent="0.25">
      <c r="A27" s="52" t="s">
        <v>25</v>
      </c>
      <c r="B27" s="52"/>
      <c r="C27" s="52"/>
    </row>
  </sheetData>
  <mergeCells count="3">
    <mergeCell ref="A1:C1"/>
    <mergeCell ref="A27:C27"/>
    <mergeCell ref="A2:C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I18" sqref="I18"/>
    </sheetView>
  </sheetViews>
  <sheetFormatPr defaultRowHeight="13.2" x14ac:dyDescent="0.25"/>
  <cols>
    <col min="1" max="1" width="37.109375" customWidth="1"/>
    <col min="2" max="7" width="8.6640625" customWidth="1"/>
  </cols>
  <sheetData>
    <row r="1" spans="1:7" ht="25.5" customHeight="1" x14ac:dyDescent="0.25">
      <c r="A1" s="51" t="s">
        <v>55</v>
      </c>
      <c r="B1" s="51"/>
      <c r="C1" s="51"/>
      <c r="D1" s="51"/>
      <c r="E1" s="51"/>
      <c r="F1" s="51"/>
      <c r="G1" s="5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4"/>
      <c r="B3" s="17">
        <v>1982</v>
      </c>
      <c r="C3" s="17">
        <v>1983</v>
      </c>
      <c r="D3" s="17">
        <v>1984</v>
      </c>
      <c r="E3" s="17">
        <v>1985</v>
      </c>
      <c r="F3" s="17">
        <v>1986</v>
      </c>
      <c r="G3" s="17">
        <v>1987</v>
      </c>
    </row>
    <row r="4" spans="1:7" x14ac:dyDescent="0.25">
      <c r="A4" s="13" t="s">
        <v>56</v>
      </c>
      <c r="B4" s="1"/>
      <c r="C4" s="1"/>
      <c r="D4" s="1"/>
      <c r="E4" s="1"/>
      <c r="F4" s="1"/>
      <c r="G4" s="1"/>
    </row>
    <row r="5" spans="1:7" x14ac:dyDescent="0.25">
      <c r="A5" s="1" t="s">
        <v>32</v>
      </c>
      <c r="B5" s="19">
        <v>7323</v>
      </c>
      <c r="C5" s="19">
        <v>7565</v>
      </c>
      <c r="D5" s="19">
        <v>8200</v>
      </c>
      <c r="E5" s="19">
        <v>11622</v>
      </c>
      <c r="F5" s="19">
        <v>15102</v>
      </c>
      <c r="G5" s="19">
        <v>15766</v>
      </c>
    </row>
    <row r="6" spans="1:7" x14ac:dyDescent="0.25">
      <c r="A6" s="1" t="s">
        <v>33</v>
      </c>
      <c r="B6" s="21">
        <v>1142</v>
      </c>
      <c r="C6" s="21">
        <v>1205</v>
      </c>
      <c r="D6" s="21">
        <v>1412</v>
      </c>
      <c r="E6" s="21">
        <v>1949</v>
      </c>
      <c r="F6" s="21">
        <v>2340</v>
      </c>
      <c r="G6" s="21">
        <v>2304</v>
      </c>
    </row>
    <row r="7" spans="1:7" x14ac:dyDescent="0.25">
      <c r="A7" s="1" t="s">
        <v>34</v>
      </c>
      <c r="B7" s="22">
        <v>180</v>
      </c>
      <c r="C7" s="22">
        <v>177</v>
      </c>
      <c r="D7" s="22">
        <v>166</v>
      </c>
      <c r="E7" s="22">
        <v>337</v>
      </c>
      <c r="F7" s="22">
        <v>565</v>
      </c>
      <c r="G7" s="22">
        <v>489</v>
      </c>
    </row>
    <row r="8" spans="1:7" x14ac:dyDescent="0.25">
      <c r="A8" s="1" t="s">
        <v>35</v>
      </c>
      <c r="B8" s="21">
        <v>1012</v>
      </c>
      <c r="C8" s="21">
        <v>1110</v>
      </c>
      <c r="D8" s="21">
        <v>1353</v>
      </c>
      <c r="E8" s="21">
        <v>1663</v>
      </c>
      <c r="F8" s="21">
        <v>1782</v>
      </c>
      <c r="G8" s="21">
        <v>1816</v>
      </c>
    </row>
    <row r="9" spans="1:7" x14ac:dyDescent="0.25">
      <c r="A9" s="1" t="s">
        <v>36</v>
      </c>
      <c r="B9" s="22">
        <v>548</v>
      </c>
      <c r="C9" s="22">
        <v>626</v>
      </c>
      <c r="D9" s="22">
        <v>747</v>
      </c>
      <c r="E9" s="22">
        <v>917</v>
      </c>
      <c r="F9" s="21">
        <v>1025</v>
      </c>
      <c r="G9" s="21">
        <v>1081</v>
      </c>
    </row>
    <row r="10" spans="1:7" ht="15.6" x14ac:dyDescent="0.25">
      <c r="A10" s="1" t="s">
        <v>57</v>
      </c>
      <c r="B10" s="22">
        <v>322</v>
      </c>
      <c r="C10" s="22">
        <v>255</v>
      </c>
      <c r="D10" s="22">
        <v>463</v>
      </c>
      <c r="E10" s="22">
        <v>84</v>
      </c>
      <c r="F10" s="22">
        <v>39</v>
      </c>
      <c r="G10" s="22">
        <v>128</v>
      </c>
    </row>
    <row r="11" spans="1:7" x14ac:dyDescent="0.25">
      <c r="A11" s="8" t="s">
        <v>37</v>
      </c>
      <c r="B11" s="25">
        <v>870</v>
      </c>
      <c r="C11" s="25">
        <v>881</v>
      </c>
      <c r="D11" s="26">
        <v>1210</v>
      </c>
      <c r="E11" s="26">
        <v>1001</v>
      </c>
      <c r="F11" s="26">
        <v>1064</v>
      </c>
      <c r="G11" s="26">
        <v>1209</v>
      </c>
    </row>
    <row r="12" spans="1:7" x14ac:dyDescent="0.25">
      <c r="A12" s="13" t="s">
        <v>58</v>
      </c>
      <c r="B12" s="18"/>
      <c r="C12" s="18"/>
      <c r="D12" s="18"/>
      <c r="E12" s="18"/>
      <c r="F12" s="18"/>
      <c r="G12" s="18"/>
    </row>
    <row r="13" spans="1:7" x14ac:dyDescent="0.25">
      <c r="A13" s="1" t="s">
        <v>38</v>
      </c>
      <c r="B13" s="20">
        <v>3.13</v>
      </c>
      <c r="C13" s="20">
        <v>2.9</v>
      </c>
      <c r="D13" s="20">
        <v>4.1100000000000003</v>
      </c>
      <c r="E13" s="20">
        <v>3.6</v>
      </c>
      <c r="F13" s="20">
        <v>3.83</v>
      </c>
      <c r="G13" s="20">
        <v>4.7</v>
      </c>
    </row>
    <row r="14" spans="1:7" x14ac:dyDescent="0.25">
      <c r="A14" s="1" t="s">
        <v>39</v>
      </c>
      <c r="B14" s="23">
        <v>1.1399999999999999</v>
      </c>
      <c r="C14" s="23">
        <v>1.22</v>
      </c>
      <c r="D14" s="23">
        <v>1.3</v>
      </c>
      <c r="E14" s="23">
        <v>1.41</v>
      </c>
      <c r="F14" s="23">
        <v>1.51</v>
      </c>
      <c r="G14" s="23">
        <v>1.76</v>
      </c>
    </row>
    <row r="15" spans="1:7" x14ac:dyDescent="0.25">
      <c r="A15" s="1" t="s">
        <v>40</v>
      </c>
      <c r="B15" s="212">
        <v>20.399999999999999</v>
      </c>
      <c r="C15" s="212">
        <v>24.3</v>
      </c>
      <c r="D15" s="212">
        <v>28.8</v>
      </c>
      <c r="E15" s="212">
        <v>31.38</v>
      </c>
      <c r="F15" s="212">
        <v>49.25</v>
      </c>
      <c r="G15" s="212">
        <v>45</v>
      </c>
    </row>
    <row r="16" spans="1:7" x14ac:dyDescent="0.25">
      <c r="A16" s="1" t="s">
        <v>41</v>
      </c>
      <c r="B16" s="24" t="s">
        <v>42</v>
      </c>
      <c r="C16" s="23" t="s">
        <v>43</v>
      </c>
      <c r="D16" s="23" t="s">
        <v>44</v>
      </c>
      <c r="E16" s="23" t="s">
        <v>45</v>
      </c>
      <c r="F16" s="23" t="s">
        <v>46</v>
      </c>
      <c r="G16" s="23" t="s">
        <v>47</v>
      </c>
    </row>
    <row r="17" spans="1:11" ht="15.6" x14ac:dyDescent="0.25">
      <c r="A17" s="1" t="s">
        <v>59</v>
      </c>
      <c r="B17" s="24">
        <v>281.5</v>
      </c>
      <c r="C17" s="24">
        <v>283.2</v>
      </c>
      <c r="D17" s="24">
        <v>258.39999999999998</v>
      </c>
      <c r="E17" s="24">
        <v>250.6</v>
      </c>
      <c r="F17" s="24">
        <v>250.4</v>
      </c>
      <c r="G17" s="24">
        <v>247.4</v>
      </c>
    </row>
    <row r="18" spans="1:11" ht="15.6" x14ac:dyDescent="0.25">
      <c r="A18" s="1" t="s">
        <v>60</v>
      </c>
      <c r="B18" s="23">
        <v>0.8</v>
      </c>
      <c r="C18" s="23">
        <v>0.7</v>
      </c>
      <c r="D18" s="23">
        <v>0.74</v>
      </c>
      <c r="E18" s="23">
        <v>1.21</v>
      </c>
      <c r="F18" s="23">
        <v>1.24</v>
      </c>
      <c r="G18" s="23">
        <v>0.67</v>
      </c>
      <c r="I18" s="213">
        <f>AVERAGE(B18:G18)</f>
        <v>0.89333333333333342</v>
      </c>
    </row>
    <row r="19" spans="1:11" x14ac:dyDescent="0.25">
      <c r="A19" s="16"/>
      <c r="B19" s="16"/>
      <c r="C19" s="16"/>
      <c r="D19" s="16"/>
      <c r="E19" s="16"/>
      <c r="F19" s="16"/>
      <c r="G19" s="16"/>
    </row>
    <row r="20" spans="1:11" x14ac:dyDescent="0.25">
      <c r="A20" s="54"/>
      <c r="B20" s="54"/>
      <c r="C20" s="54"/>
      <c r="D20" s="54"/>
      <c r="E20" s="54"/>
      <c r="F20" s="54"/>
      <c r="G20" s="54"/>
    </row>
    <row r="21" spans="1:11" x14ac:dyDescent="0.25">
      <c r="A21" s="55" t="s">
        <v>48</v>
      </c>
      <c r="B21" s="56"/>
      <c r="C21" s="56"/>
      <c r="D21" s="56"/>
      <c r="E21" s="56"/>
      <c r="F21" s="56"/>
      <c r="G21" s="56"/>
    </row>
    <row r="22" spans="1:11" x14ac:dyDescent="0.25">
      <c r="A22" s="55"/>
      <c r="B22" s="56"/>
      <c r="C22" s="56"/>
      <c r="D22" s="56"/>
      <c r="E22" s="56"/>
      <c r="F22" s="56"/>
      <c r="G22" s="56"/>
    </row>
    <row r="23" spans="1:11" x14ac:dyDescent="0.25">
      <c r="A23" s="57" t="s">
        <v>61</v>
      </c>
      <c r="B23" s="56"/>
      <c r="C23" s="56"/>
      <c r="D23" s="56"/>
      <c r="E23" s="56"/>
      <c r="F23" s="56"/>
      <c r="G23" s="56"/>
      <c r="H23" s="66" t="s">
        <v>145</v>
      </c>
      <c r="I23" s="65" t="s">
        <v>140</v>
      </c>
      <c r="J23" s="65" t="s">
        <v>141</v>
      </c>
      <c r="K23" s="65" t="s">
        <v>142</v>
      </c>
    </row>
    <row r="24" spans="1:11" x14ac:dyDescent="0.25">
      <c r="A24" s="55" t="s">
        <v>49</v>
      </c>
      <c r="B24" s="56"/>
      <c r="C24" s="56"/>
      <c r="D24" s="56"/>
      <c r="E24" s="56"/>
      <c r="F24" s="56"/>
      <c r="G24" s="56"/>
      <c r="H24" s="10">
        <v>1982</v>
      </c>
      <c r="I24" s="65" t="s">
        <v>148</v>
      </c>
      <c r="J24">
        <v>1360</v>
      </c>
    </row>
    <row r="25" spans="1:11" x14ac:dyDescent="0.25">
      <c r="A25" s="55" t="s">
        <v>50</v>
      </c>
      <c r="B25" s="56"/>
      <c r="C25" s="56"/>
      <c r="D25" s="56"/>
      <c r="E25" s="56"/>
      <c r="F25" s="56"/>
      <c r="G25" s="56"/>
      <c r="H25" s="10">
        <v>1983</v>
      </c>
      <c r="I25" s="65" t="s">
        <v>147</v>
      </c>
      <c r="K25">
        <v>275</v>
      </c>
    </row>
    <row r="26" spans="1:11" ht="25.5" customHeight="1" x14ac:dyDescent="0.25">
      <c r="A26" s="55" t="s">
        <v>51</v>
      </c>
      <c r="B26" s="56"/>
      <c r="C26" s="56"/>
      <c r="D26" s="56"/>
      <c r="E26" s="56"/>
      <c r="F26" s="56"/>
      <c r="G26" s="56"/>
      <c r="H26" s="10">
        <v>1984</v>
      </c>
      <c r="I26" s="65" t="s">
        <v>146</v>
      </c>
    </row>
    <row r="27" spans="1:11" x14ac:dyDescent="0.25">
      <c r="A27" s="55" t="s">
        <v>52</v>
      </c>
      <c r="B27" s="56"/>
      <c r="C27" s="56"/>
      <c r="D27" s="56"/>
      <c r="E27" s="56"/>
      <c r="F27" s="56"/>
      <c r="G27" s="56"/>
      <c r="H27" s="10">
        <v>1985</v>
      </c>
      <c r="I27" s="65" t="s">
        <v>0</v>
      </c>
      <c r="J27">
        <v>4900</v>
      </c>
    </row>
    <row r="28" spans="1:11" x14ac:dyDescent="0.25">
      <c r="A28" s="55" t="s">
        <v>53</v>
      </c>
      <c r="B28" s="56"/>
      <c r="C28" s="56"/>
      <c r="D28" s="56"/>
      <c r="E28" s="56"/>
      <c r="F28" s="56"/>
      <c r="G28" s="56"/>
      <c r="H28" s="10">
        <v>1986</v>
      </c>
      <c r="I28" s="65" t="s">
        <v>143</v>
      </c>
      <c r="K28">
        <v>-39</v>
      </c>
    </row>
    <row r="29" spans="1:11" x14ac:dyDescent="0.25">
      <c r="A29" s="55" t="s">
        <v>54</v>
      </c>
      <c r="B29" s="56"/>
      <c r="C29" s="56"/>
      <c r="D29" s="56"/>
      <c r="E29" s="56"/>
      <c r="F29" s="56"/>
      <c r="G29" s="56"/>
      <c r="H29" s="10">
        <v>1987</v>
      </c>
      <c r="I29" s="65" t="s">
        <v>144</v>
      </c>
      <c r="K29">
        <v>215</v>
      </c>
    </row>
    <row r="30" spans="1:11" x14ac:dyDescent="0.25">
      <c r="A30" s="57" t="s">
        <v>62</v>
      </c>
      <c r="B30" s="56"/>
      <c r="C30" s="56"/>
      <c r="D30" s="56"/>
      <c r="E30" s="56"/>
      <c r="F30" s="56"/>
      <c r="G30" s="56"/>
    </row>
    <row r="31" spans="1:11" x14ac:dyDescent="0.25">
      <c r="A31" s="57" t="s">
        <v>63</v>
      </c>
      <c r="B31" s="56"/>
      <c r="C31" s="56"/>
      <c r="D31" s="56"/>
      <c r="E31" s="56"/>
      <c r="F31" s="56"/>
      <c r="G31" s="56"/>
    </row>
    <row r="32" spans="1:11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</sheetData>
  <mergeCells count="13">
    <mergeCell ref="A24:G24"/>
    <mergeCell ref="A25:G25"/>
    <mergeCell ref="A26:G26"/>
    <mergeCell ref="A1:G1"/>
    <mergeCell ref="A20:G20"/>
    <mergeCell ref="A21:G21"/>
    <mergeCell ref="A22:G22"/>
    <mergeCell ref="A31:G31"/>
    <mergeCell ref="A27:G27"/>
    <mergeCell ref="A28:G28"/>
    <mergeCell ref="A29:G29"/>
    <mergeCell ref="A30:G30"/>
    <mergeCell ref="A23:G23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33" sqref="C33"/>
    </sheetView>
  </sheetViews>
  <sheetFormatPr defaultRowHeight="13.2" x14ac:dyDescent="0.25"/>
  <cols>
    <col min="1" max="1" width="54.88671875" customWidth="1"/>
    <col min="2" max="3" width="12.6640625" customWidth="1"/>
  </cols>
  <sheetData>
    <row r="1" spans="1:3" x14ac:dyDescent="0.25">
      <c r="A1" s="51" t="s">
        <v>86</v>
      </c>
      <c r="B1" s="51"/>
      <c r="C1" s="51"/>
    </row>
    <row r="2" spans="1:3" x14ac:dyDescent="0.25">
      <c r="A2" s="58"/>
      <c r="B2" s="58"/>
      <c r="C2" s="58"/>
    </row>
    <row r="3" spans="1:3" x14ac:dyDescent="0.25">
      <c r="A3" s="14"/>
      <c r="B3" s="17">
        <v>1986</v>
      </c>
      <c r="C3" s="17">
        <v>1987</v>
      </c>
    </row>
    <row r="4" spans="1:3" x14ac:dyDescent="0.25">
      <c r="A4" s="13" t="s">
        <v>87</v>
      </c>
      <c r="B4" s="1"/>
      <c r="C4" s="1"/>
    </row>
    <row r="5" spans="1:3" x14ac:dyDescent="0.25">
      <c r="A5" s="1" t="s">
        <v>64</v>
      </c>
      <c r="B5" s="28">
        <v>827</v>
      </c>
      <c r="C5" s="28">
        <v>1088</v>
      </c>
    </row>
    <row r="6" spans="1:3" x14ac:dyDescent="0.25">
      <c r="A6" s="1" t="s">
        <v>65</v>
      </c>
      <c r="B6" s="29">
        <v>1675</v>
      </c>
      <c r="C6" s="29">
        <v>1745</v>
      </c>
    </row>
    <row r="7" spans="1:3" x14ac:dyDescent="0.25">
      <c r="A7" s="1" t="s">
        <v>66</v>
      </c>
      <c r="B7" s="29">
        <v>2620</v>
      </c>
      <c r="C7" s="29">
        <v>2678</v>
      </c>
    </row>
    <row r="8" spans="1:3" x14ac:dyDescent="0.25">
      <c r="A8" s="1" t="s">
        <v>67</v>
      </c>
      <c r="B8" s="29">
        <v>273</v>
      </c>
      <c r="C8" s="29">
        <v>329</v>
      </c>
    </row>
    <row r="9" spans="1:3" x14ac:dyDescent="0.25">
      <c r="A9" s="1" t="s">
        <v>68</v>
      </c>
      <c r="B9" s="29">
        <v>5343</v>
      </c>
      <c r="C9" s="29">
        <v>5847</v>
      </c>
    </row>
    <row r="10" spans="1:3" x14ac:dyDescent="0.25">
      <c r="A10" s="1" t="s">
        <v>69</v>
      </c>
      <c r="B10" s="29">
        <v>4603</v>
      </c>
      <c r="C10" s="29">
        <v>4525</v>
      </c>
    </row>
    <row r="11" spans="1:3" x14ac:dyDescent="0.25">
      <c r="A11" s="1" t="s">
        <v>70</v>
      </c>
      <c r="B11" s="29">
        <v>716</v>
      </c>
      <c r="C11" s="29" t="s">
        <v>71</v>
      </c>
    </row>
    <row r="12" spans="1:3" x14ac:dyDescent="0.25">
      <c r="A12" s="1" t="s">
        <v>72</v>
      </c>
      <c r="B12" s="29">
        <v>644</v>
      </c>
      <c r="C12" s="29">
        <v>649</v>
      </c>
    </row>
    <row r="13" spans="1:3" x14ac:dyDescent="0.25">
      <c r="A13" s="27" t="s">
        <v>73</v>
      </c>
      <c r="B13" s="30">
        <v>16701</v>
      </c>
      <c r="C13" s="30">
        <v>16861</v>
      </c>
    </row>
    <row r="14" spans="1:3" x14ac:dyDescent="0.25">
      <c r="A14" s="13" t="s">
        <v>88</v>
      </c>
      <c r="B14" s="31"/>
      <c r="C14" s="31"/>
    </row>
    <row r="15" spans="1:3" x14ac:dyDescent="0.25">
      <c r="A15" s="1" t="s">
        <v>74</v>
      </c>
      <c r="B15" s="28">
        <v>518</v>
      </c>
      <c r="C15" s="28">
        <v>442</v>
      </c>
    </row>
    <row r="16" spans="1:3" x14ac:dyDescent="0.25">
      <c r="A16" s="1" t="s">
        <v>75</v>
      </c>
      <c r="B16" s="29">
        <v>2923</v>
      </c>
      <c r="C16" s="29">
        <v>3187</v>
      </c>
    </row>
    <row r="17" spans="1:3" x14ac:dyDescent="0.25">
      <c r="A17" s="1" t="s">
        <v>76</v>
      </c>
      <c r="B17" s="29">
        <v>423</v>
      </c>
      <c r="C17" s="29">
        <v>162</v>
      </c>
    </row>
    <row r="18" spans="1:3" x14ac:dyDescent="0.25">
      <c r="A18" s="1" t="s">
        <v>77</v>
      </c>
      <c r="B18" s="29">
        <v>202</v>
      </c>
      <c r="C18" s="29">
        <v>332</v>
      </c>
    </row>
    <row r="19" spans="1:3" x14ac:dyDescent="0.25">
      <c r="A19" s="1" t="s">
        <v>78</v>
      </c>
      <c r="B19" s="29">
        <v>4833</v>
      </c>
      <c r="C19" s="29">
        <v>3884</v>
      </c>
    </row>
    <row r="20" spans="1:3" x14ac:dyDescent="0.25">
      <c r="A20" s="1" t="s">
        <v>79</v>
      </c>
      <c r="B20" s="29">
        <v>751</v>
      </c>
      <c r="C20" s="29">
        <v>846</v>
      </c>
    </row>
    <row r="21" spans="1:3" x14ac:dyDescent="0.25">
      <c r="A21" s="1" t="s">
        <v>80</v>
      </c>
      <c r="B21" s="29">
        <v>291</v>
      </c>
      <c r="C21" s="29">
        <v>173</v>
      </c>
    </row>
    <row r="22" spans="1:3" x14ac:dyDescent="0.25">
      <c r="A22" s="1" t="s">
        <v>81</v>
      </c>
      <c r="B22" s="29">
        <v>1448</v>
      </c>
      <c r="C22" s="29">
        <v>1797</v>
      </c>
    </row>
    <row r="23" spans="1:3" x14ac:dyDescent="0.25">
      <c r="A23" s="27" t="s">
        <v>82</v>
      </c>
      <c r="B23" s="30">
        <v>11389</v>
      </c>
      <c r="C23" s="30">
        <v>10823</v>
      </c>
    </row>
    <row r="24" spans="1:3" x14ac:dyDescent="0.25">
      <c r="A24" s="1" t="s">
        <v>83</v>
      </c>
      <c r="B24" s="29">
        <v>5312</v>
      </c>
      <c r="C24" s="29">
        <v>6038</v>
      </c>
    </row>
    <row r="25" spans="1:3" x14ac:dyDescent="0.25">
      <c r="A25" s="27" t="s">
        <v>84</v>
      </c>
      <c r="B25" s="30">
        <v>16701</v>
      </c>
      <c r="C25" s="30">
        <v>16861</v>
      </c>
    </row>
    <row r="26" spans="1:3" x14ac:dyDescent="0.25">
      <c r="A26" s="16"/>
      <c r="B26" s="16"/>
      <c r="C26" s="16"/>
    </row>
    <row r="27" spans="1:3" x14ac:dyDescent="0.25">
      <c r="A27" s="54"/>
      <c r="B27" s="54"/>
      <c r="C27" s="54"/>
    </row>
    <row r="28" spans="1:3" x14ac:dyDescent="0.25">
      <c r="A28" s="52" t="s">
        <v>85</v>
      </c>
      <c r="B28" s="52"/>
      <c r="C28" s="52"/>
    </row>
    <row r="29" spans="1:3" x14ac:dyDescent="0.25">
      <c r="C29" s="65">
        <v>1987</v>
      </c>
    </row>
    <row r="30" spans="1:3" x14ac:dyDescent="0.25">
      <c r="A30" s="65" t="s">
        <v>262</v>
      </c>
      <c r="B30" s="211">
        <f>B5+B6+B7</f>
        <v>5122</v>
      </c>
      <c r="C30" s="211">
        <f>C5+C6+C7</f>
        <v>5511</v>
      </c>
    </row>
    <row r="31" spans="1:3" x14ac:dyDescent="0.25">
      <c r="A31" s="65" t="s">
        <v>263</v>
      </c>
      <c r="B31" s="211">
        <f>B15+B16+B17+B18</f>
        <v>4066</v>
      </c>
      <c r="C31" s="211">
        <f>C15+C16+C17+C18</f>
        <v>4123</v>
      </c>
    </row>
    <row r="32" spans="1:3" x14ac:dyDescent="0.25">
      <c r="A32" s="65" t="s">
        <v>261</v>
      </c>
      <c r="B32" s="211">
        <f>B30-B31</f>
        <v>1056</v>
      </c>
      <c r="C32" s="211">
        <f>C30-C31</f>
        <v>1388</v>
      </c>
    </row>
    <row r="33" spans="1:3" x14ac:dyDescent="0.25">
      <c r="A33" s="65" t="s">
        <v>261</v>
      </c>
      <c r="C33" s="211">
        <f>C32-B32</f>
        <v>332</v>
      </c>
    </row>
  </sheetData>
  <mergeCells count="4">
    <mergeCell ref="A1:C1"/>
    <mergeCell ref="A2:C2"/>
    <mergeCell ref="A27:C27"/>
    <mergeCell ref="A28:C28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G1"/>
    </sheetView>
  </sheetViews>
  <sheetFormatPr defaultRowHeight="13.2" x14ac:dyDescent="0.25"/>
  <cols>
    <col min="1" max="1" width="33.33203125" customWidth="1"/>
    <col min="2" max="7" width="9.33203125" customWidth="1"/>
  </cols>
  <sheetData>
    <row r="1" spans="1:7" x14ac:dyDescent="0.25">
      <c r="A1" s="61" t="s">
        <v>98</v>
      </c>
      <c r="B1" s="61"/>
      <c r="C1" s="61"/>
      <c r="D1" s="61"/>
      <c r="E1" s="61"/>
      <c r="F1" s="61"/>
      <c r="G1" s="61"/>
    </row>
    <row r="2" spans="1:7" x14ac:dyDescent="0.25">
      <c r="A2" s="58"/>
      <c r="B2" s="58"/>
      <c r="C2" s="58"/>
      <c r="D2" s="58"/>
      <c r="E2" s="58"/>
      <c r="F2" s="58"/>
      <c r="G2" s="58"/>
    </row>
    <row r="3" spans="1:7" x14ac:dyDescent="0.25">
      <c r="A3" s="14"/>
      <c r="B3" s="17">
        <v>1982</v>
      </c>
      <c r="C3" s="17">
        <v>1983</v>
      </c>
      <c r="D3" s="17">
        <v>1984</v>
      </c>
      <c r="E3" s="17">
        <v>1985</v>
      </c>
      <c r="F3" s="17">
        <v>1986</v>
      </c>
      <c r="G3" s="17">
        <v>1987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3" t="s">
        <v>102</v>
      </c>
      <c r="B5" s="1"/>
      <c r="C5" s="1"/>
      <c r="D5" s="1"/>
      <c r="E5" s="1"/>
      <c r="F5" s="1"/>
      <c r="G5" s="1"/>
    </row>
    <row r="6" spans="1:7" x14ac:dyDescent="0.25">
      <c r="A6" s="1" t="s">
        <v>89</v>
      </c>
      <c r="B6" s="32">
        <v>4822</v>
      </c>
      <c r="C6" s="32">
        <v>4807</v>
      </c>
      <c r="D6" s="32">
        <v>5178</v>
      </c>
      <c r="E6" s="32">
        <v>5422</v>
      </c>
      <c r="F6" s="32">
        <v>5866</v>
      </c>
      <c r="G6" s="32">
        <v>6346</v>
      </c>
    </row>
    <row r="7" spans="1:7" x14ac:dyDescent="0.25">
      <c r="A7" s="1" t="s">
        <v>90</v>
      </c>
      <c r="B7" s="33">
        <v>1187</v>
      </c>
      <c r="C7" s="33">
        <v>1150</v>
      </c>
      <c r="D7" s="33">
        <v>1305</v>
      </c>
      <c r="E7" s="33">
        <v>1483</v>
      </c>
      <c r="F7" s="33">
        <v>1659</v>
      </c>
      <c r="G7" s="33">
        <v>1821</v>
      </c>
    </row>
    <row r="8" spans="1:7" x14ac:dyDescent="0.25">
      <c r="A8" s="1" t="s">
        <v>91</v>
      </c>
      <c r="B8" s="33">
        <v>3219</v>
      </c>
      <c r="C8" s="33">
        <v>3378</v>
      </c>
      <c r="D8" s="33">
        <v>3812</v>
      </c>
      <c r="E8" s="33">
        <v>4496</v>
      </c>
      <c r="F8" s="33">
        <v>4882</v>
      </c>
      <c r="G8" s="33">
        <v>5208</v>
      </c>
    </row>
    <row r="9" spans="1:7" x14ac:dyDescent="0.25">
      <c r="A9" s="1" t="s">
        <v>92</v>
      </c>
      <c r="B9" s="34">
        <v>81</v>
      </c>
      <c r="C9" s="34">
        <v>78</v>
      </c>
      <c r="D9" s="34">
        <v>107</v>
      </c>
      <c r="E9" s="34">
        <v>146</v>
      </c>
      <c r="F9" s="34">
        <v>205</v>
      </c>
      <c r="G9" s="34">
        <v>244</v>
      </c>
    </row>
    <row r="10" spans="1:7" x14ac:dyDescent="0.25">
      <c r="A10" s="1" t="s">
        <v>93</v>
      </c>
      <c r="B10" s="34">
        <v>238</v>
      </c>
      <c r="C10" s="34">
        <v>383</v>
      </c>
      <c r="D10" s="34">
        <v>527</v>
      </c>
      <c r="E10" s="34">
        <v>647</v>
      </c>
      <c r="F10" s="34">
        <v>613</v>
      </c>
      <c r="G10" s="34">
        <v>433</v>
      </c>
    </row>
    <row r="11" spans="1:7" x14ac:dyDescent="0.25">
      <c r="A11" s="1" t="s">
        <v>94</v>
      </c>
      <c r="B11" s="35">
        <v>0.36899999999999999</v>
      </c>
      <c r="C11" s="35">
        <v>0.34</v>
      </c>
      <c r="D11" s="35">
        <v>0.34200000000000003</v>
      </c>
      <c r="E11" s="35">
        <v>0.33</v>
      </c>
      <c r="F11" s="35">
        <v>0.34</v>
      </c>
      <c r="G11" s="35">
        <v>0.35</v>
      </c>
    </row>
    <row r="12" spans="1:7" x14ac:dyDescent="0.25">
      <c r="A12" s="1" t="s">
        <v>95</v>
      </c>
      <c r="B12" s="36" t="s">
        <v>71</v>
      </c>
      <c r="C12" s="36" t="s">
        <v>71</v>
      </c>
      <c r="D12" s="36" t="s">
        <v>71</v>
      </c>
      <c r="E12" s="36" t="s">
        <v>71</v>
      </c>
      <c r="F12" s="36" t="s">
        <v>71</v>
      </c>
      <c r="G12" s="37">
        <v>-261</v>
      </c>
    </row>
    <row r="13" spans="1:7" x14ac:dyDescent="0.25">
      <c r="A13" s="1"/>
      <c r="B13" s="36"/>
      <c r="C13" s="36"/>
      <c r="D13" s="36"/>
      <c r="E13" s="36"/>
      <c r="F13" s="36"/>
      <c r="G13" s="36"/>
    </row>
    <row r="14" spans="1:7" x14ac:dyDescent="0.25">
      <c r="A14" s="13" t="s">
        <v>101</v>
      </c>
      <c r="B14" s="36"/>
      <c r="C14" s="36"/>
      <c r="D14" s="36"/>
      <c r="E14" s="36"/>
      <c r="F14" s="36"/>
      <c r="G14" s="36"/>
    </row>
    <row r="15" spans="1:7" x14ac:dyDescent="0.25">
      <c r="A15" s="1" t="s">
        <v>89</v>
      </c>
      <c r="B15" s="32">
        <v>2501</v>
      </c>
      <c r="C15" s="32">
        <v>2758</v>
      </c>
      <c r="D15" s="32">
        <v>3022</v>
      </c>
      <c r="E15" s="32">
        <v>6200</v>
      </c>
      <c r="F15" s="32">
        <v>9236</v>
      </c>
      <c r="G15" s="32">
        <v>9420</v>
      </c>
    </row>
    <row r="16" spans="1:7" x14ac:dyDescent="0.25">
      <c r="A16" s="1" t="s">
        <v>90</v>
      </c>
      <c r="B16" s="34">
        <v>21</v>
      </c>
      <c r="C16" s="34">
        <v>129</v>
      </c>
      <c r="D16" s="34">
        <v>181</v>
      </c>
      <c r="E16" s="34">
        <v>549</v>
      </c>
      <c r="F16" s="34">
        <v>820</v>
      </c>
      <c r="G16" s="34">
        <v>915</v>
      </c>
    </row>
    <row r="17" spans="1:7" x14ac:dyDescent="0.25">
      <c r="A17" s="1" t="s">
        <v>91</v>
      </c>
      <c r="B17" s="38">
        <v>1710</v>
      </c>
      <c r="C17" s="38">
        <v>1761</v>
      </c>
      <c r="D17" s="38">
        <v>2211</v>
      </c>
      <c r="E17" s="38">
        <v>9598</v>
      </c>
      <c r="F17" s="38">
        <v>9822</v>
      </c>
      <c r="G17" s="38">
        <v>10117</v>
      </c>
    </row>
    <row r="18" spans="1:7" x14ac:dyDescent="0.25">
      <c r="A18" s="1" t="s">
        <v>92</v>
      </c>
      <c r="B18" s="34">
        <v>51</v>
      </c>
      <c r="C18" s="34">
        <v>56</v>
      </c>
      <c r="D18" s="34">
        <v>68</v>
      </c>
      <c r="E18" s="34">
        <v>195</v>
      </c>
      <c r="F18" s="34">
        <v>376</v>
      </c>
      <c r="G18" s="34">
        <v>380</v>
      </c>
    </row>
    <row r="19" spans="1:7" x14ac:dyDescent="0.25">
      <c r="A19" s="1" t="s">
        <v>93</v>
      </c>
      <c r="B19" s="34">
        <v>84</v>
      </c>
      <c r="C19" s="34">
        <v>94</v>
      </c>
      <c r="D19" s="34">
        <v>86</v>
      </c>
      <c r="E19" s="34">
        <v>279</v>
      </c>
      <c r="F19" s="34">
        <v>344</v>
      </c>
      <c r="G19" s="34">
        <v>445</v>
      </c>
    </row>
    <row r="20" spans="1:7" x14ac:dyDescent="0.25">
      <c r="A20" s="1" t="s">
        <v>94</v>
      </c>
      <c r="B20" s="35">
        <v>1.2E-2</v>
      </c>
      <c r="C20" s="35">
        <v>7.2999999999999995E-2</v>
      </c>
      <c r="D20" s="35">
        <v>8.2000000000000003E-2</v>
      </c>
      <c r="E20" s="35">
        <v>0.06</v>
      </c>
      <c r="F20" s="35">
        <v>0.08</v>
      </c>
      <c r="G20" s="35">
        <v>0.09</v>
      </c>
    </row>
    <row r="21" spans="1:7" x14ac:dyDescent="0.25">
      <c r="A21" s="1" t="s">
        <v>95</v>
      </c>
      <c r="B21" s="36" t="s">
        <v>71</v>
      </c>
      <c r="C21" s="36" t="s">
        <v>71</v>
      </c>
      <c r="D21" s="36" t="s">
        <v>71</v>
      </c>
      <c r="E21" s="36" t="s">
        <v>71</v>
      </c>
      <c r="F21" s="36" t="s">
        <v>71</v>
      </c>
      <c r="G21" s="34">
        <v>18</v>
      </c>
    </row>
    <row r="22" spans="1:7" x14ac:dyDescent="0.25">
      <c r="A22" s="1"/>
      <c r="B22" s="36"/>
      <c r="C22" s="36"/>
      <c r="D22" s="36"/>
      <c r="E22" s="36"/>
      <c r="F22" s="36"/>
      <c r="G22" s="36"/>
    </row>
    <row r="23" spans="1:7" x14ac:dyDescent="0.25">
      <c r="A23" s="13" t="s">
        <v>100</v>
      </c>
      <c r="B23" s="36"/>
      <c r="C23" s="36"/>
      <c r="D23" s="36"/>
      <c r="E23" s="36"/>
      <c r="F23" s="36"/>
      <c r="G23" s="36"/>
    </row>
    <row r="24" spans="1:7" x14ac:dyDescent="0.25">
      <c r="A24" s="1" t="s">
        <v>89</v>
      </c>
      <c r="B24" s="32">
        <v>392</v>
      </c>
      <c r="C24" s="32">
        <v>746</v>
      </c>
      <c r="D24" s="32">
        <v>703</v>
      </c>
      <c r="E24" s="32">
        <v>766</v>
      </c>
      <c r="F24" s="32">
        <v>876</v>
      </c>
      <c r="G24" s="32" t="s">
        <v>96</v>
      </c>
    </row>
    <row r="25" spans="1:7" x14ac:dyDescent="0.25">
      <c r="A25" s="1" t="s">
        <v>90</v>
      </c>
      <c r="B25" s="34">
        <v>53</v>
      </c>
      <c r="C25" s="34">
        <v>113</v>
      </c>
      <c r="D25" s="34">
        <v>122</v>
      </c>
      <c r="E25" s="34">
        <v>131</v>
      </c>
      <c r="F25" s="34">
        <v>138</v>
      </c>
      <c r="G25" s="36" t="s">
        <v>71</v>
      </c>
    </row>
    <row r="26" spans="1:7" x14ac:dyDescent="0.25">
      <c r="A26" s="1" t="s">
        <v>91</v>
      </c>
      <c r="B26" s="38">
        <v>1084</v>
      </c>
      <c r="C26" s="34">
        <v>740</v>
      </c>
      <c r="D26" s="34">
        <v>815</v>
      </c>
      <c r="E26" s="34">
        <v>895</v>
      </c>
      <c r="F26" s="34">
        <v>991</v>
      </c>
      <c r="G26" s="36" t="s">
        <v>71</v>
      </c>
    </row>
    <row r="27" spans="1:7" x14ac:dyDescent="0.25">
      <c r="A27" s="1" t="s">
        <v>92</v>
      </c>
      <c r="B27" s="34">
        <v>14</v>
      </c>
      <c r="C27" s="34">
        <v>24</v>
      </c>
      <c r="D27" s="34">
        <v>22</v>
      </c>
      <c r="E27" s="34">
        <v>24</v>
      </c>
      <c r="F27" s="34">
        <v>30</v>
      </c>
      <c r="G27" s="36" t="s">
        <v>71</v>
      </c>
    </row>
    <row r="28" spans="1:7" x14ac:dyDescent="0.25">
      <c r="A28" s="1" t="s">
        <v>93</v>
      </c>
      <c r="B28" s="34">
        <v>11</v>
      </c>
      <c r="C28" s="34">
        <v>13</v>
      </c>
      <c r="D28" s="34">
        <v>13</v>
      </c>
      <c r="E28" s="34">
        <v>26</v>
      </c>
      <c r="F28" s="34">
        <v>25</v>
      </c>
      <c r="G28" s="36" t="s">
        <v>71</v>
      </c>
    </row>
    <row r="29" spans="1:7" x14ac:dyDescent="0.25">
      <c r="A29" s="1" t="s">
        <v>94</v>
      </c>
      <c r="B29" s="35">
        <v>4.9000000000000002E-2</v>
      </c>
      <c r="C29" s="35">
        <v>0.153</v>
      </c>
      <c r="D29" s="35">
        <v>0.15</v>
      </c>
      <c r="E29" s="35">
        <v>0.14599999999999999</v>
      </c>
      <c r="F29" s="35">
        <v>0.14000000000000001</v>
      </c>
      <c r="G29" s="36" t="s">
        <v>71</v>
      </c>
    </row>
    <row r="30" spans="1:7" x14ac:dyDescent="0.25">
      <c r="A30" s="1" t="s">
        <v>95</v>
      </c>
      <c r="B30" s="36" t="s">
        <v>71</v>
      </c>
      <c r="C30" s="36" t="s">
        <v>71</v>
      </c>
      <c r="D30" s="36" t="s">
        <v>71</v>
      </c>
      <c r="E30" s="36" t="s">
        <v>71</v>
      </c>
      <c r="F30" s="36" t="s">
        <v>71</v>
      </c>
      <c r="G30" s="36" t="s">
        <v>71</v>
      </c>
    </row>
    <row r="31" spans="1:7" x14ac:dyDescent="0.25">
      <c r="A31" s="1"/>
      <c r="B31" s="36"/>
      <c r="C31" s="36"/>
      <c r="D31" s="36"/>
      <c r="E31" s="36"/>
      <c r="F31" s="36"/>
      <c r="G31" s="36"/>
    </row>
    <row r="32" spans="1:7" ht="15.6" x14ac:dyDescent="0.25">
      <c r="A32" s="13" t="s">
        <v>99</v>
      </c>
      <c r="B32" s="36"/>
      <c r="C32" s="36"/>
      <c r="D32" s="36"/>
      <c r="E32" s="36"/>
      <c r="F32" s="36"/>
      <c r="G32" s="36"/>
    </row>
    <row r="33" spans="1:8" x14ac:dyDescent="0.25">
      <c r="A33" s="1" t="s">
        <v>89</v>
      </c>
      <c r="B33" s="32" t="s">
        <v>96</v>
      </c>
      <c r="C33" s="32" t="s">
        <v>96</v>
      </c>
      <c r="D33" s="32" t="s">
        <v>96</v>
      </c>
      <c r="E33" s="32" t="s">
        <v>96</v>
      </c>
      <c r="F33" s="32" t="s">
        <v>96</v>
      </c>
      <c r="G33" s="32" t="s">
        <v>96</v>
      </c>
    </row>
    <row r="34" spans="1:8" x14ac:dyDescent="0.25">
      <c r="A34" s="1" t="s">
        <v>90</v>
      </c>
      <c r="B34" s="37">
        <v>-66</v>
      </c>
      <c r="C34" s="37">
        <v>-74</v>
      </c>
      <c r="D34" s="37">
        <v>-74</v>
      </c>
      <c r="E34" s="37">
        <v>-83</v>
      </c>
      <c r="F34" s="37">
        <v>-139</v>
      </c>
      <c r="G34" s="37">
        <v>-182</v>
      </c>
    </row>
    <row r="35" spans="1:8" x14ac:dyDescent="0.25">
      <c r="A35" s="1" t="s">
        <v>91</v>
      </c>
      <c r="B35" s="38">
        <v>3106</v>
      </c>
      <c r="C35" s="38">
        <v>3197</v>
      </c>
      <c r="D35" s="38">
        <v>2257</v>
      </c>
      <c r="E35" s="38">
        <v>1684</v>
      </c>
      <c r="F35" s="38">
        <v>1319</v>
      </c>
      <c r="G35" s="38">
        <v>1536</v>
      </c>
    </row>
    <row r="36" spans="1:8" x14ac:dyDescent="0.25">
      <c r="A36" s="1" t="s">
        <v>92</v>
      </c>
      <c r="B36" s="34">
        <v>11</v>
      </c>
      <c r="C36" s="34">
        <v>16</v>
      </c>
      <c r="D36" s="34">
        <v>16</v>
      </c>
      <c r="E36" s="34">
        <v>13</v>
      </c>
      <c r="F36" s="34">
        <v>24</v>
      </c>
      <c r="G36" s="34">
        <v>28</v>
      </c>
      <c r="H36" s="67">
        <f>SUM(B36:G36)</f>
        <v>108</v>
      </c>
    </row>
    <row r="37" spans="1:8" x14ac:dyDescent="0.25">
      <c r="A37" s="1" t="s">
        <v>93</v>
      </c>
      <c r="B37" s="34">
        <v>16</v>
      </c>
      <c r="C37" s="34">
        <v>15</v>
      </c>
      <c r="D37" s="34">
        <v>29</v>
      </c>
      <c r="E37" s="34">
        <v>20</v>
      </c>
      <c r="F37" s="34">
        <v>65</v>
      </c>
      <c r="G37" s="34">
        <v>58</v>
      </c>
      <c r="H37" s="67">
        <f>SUM(B37:G37)</f>
        <v>203</v>
      </c>
    </row>
    <row r="38" spans="1:8" x14ac:dyDescent="0.25">
      <c r="A38" s="1" t="s">
        <v>94</v>
      </c>
      <c r="B38" s="35">
        <v>-2.1000000000000001E-2</v>
      </c>
      <c r="C38" s="35">
        <v>-2.3E-2</v>
      </c>
      <c r="D38" s="35">
        <v>-3.3000000000000002E-2</v>
      </c>
      <c r="E38" s="35">
        <v>-0.05</v>
      </c>
      <c r="F38" s="35">
        <v>-0.105</v>
      </c>
      <c r="G38" s="35">
        <v>-0.11899999999999999</v>
      </c>
    </row>
    <row r="39" spans="1:8" x14ac:dyDescent="0.25">
      <c r="A39" s="1" t="s">
        <v>95</v>
      </c>
      <c r="B39" s="36" t="s">
        <v>71</v>
      </c>
      <c r="C39" s="36" t="s">
        <v>71</v>
      </c>
      <c r="D39" s="36" t="s">
        <v>71</v>
      </c>
      <c r="E39" s="36" t="s">
        <v>71</v>
      </c>
      <c r="F39" s="36" t="s">
        <v>71</v>
      </c>
      <c r="G39" s="37">
        <v>-7</v>
      </c>
    </row>
    <row r="40" spans="1:8" x14ac:dyDescent="0.25">
      <c r="A40" s="16"/>
      <c r="B40" s="16"/>
      <c r="C40" s="16"/>
      <c r="D40" s="16"/>
      <c r="E40" s="16"/>
      <c r="F40" s="16"/>
      <c r="G40" s="16"/>
    </row>
    <row r="41" spans="1:8" x14ac:dyDescent="0.25">
      <c r="A41" s="54"/>
      <c r="B41" s="54"/>
      <c r="C41" s="54"/>
      <c r="D41" s="54"/>
      <c r="E41" s="54"/>
      <c r="F41" s="54"/>
      <c r="G41" s="54"/>
    </row>
    <row r="42" spans="1:8" x14ac:dyDescent="0.25">
      <c r="A42" s="52" t="s">
        <v>97</v>
      </c>
      <c r="B42" s="52"/>
      <c r="C42" s="52"/>
      <c r="D42" s="52"/>
      <c r="E42" s="52"/>
      <c r="F42" s="52"/>
      <c r="G42" s="52"/>
    </row>
    <row r="43" spans="1:8" x14ac:dyDescent="0.25">
      <c r="A43" s="52"/>
      <c r="B43" s="52"/>
      <c r="C43" s="52"/>
      <c r="D43" s="52"/>
      <c r="E43" s="52"/>
      <c r="F43" s="52"/>
      <c r="G43" s="52"/>
    </row>
    <row r="44" spans="1:8" x14ac:dyDescent="0.25">
      <c r="A44" s="59" t="s">
        <v>103</v>
      </c>
      <c r="B44" s="52"/>
      <c r="C44" s="52"/>
      <c r="D44" s="52"/>
      <c r="E44" s="52"/>
      <c r="F44" s="52"/>
      <c r="G44" s="52"/>
    </row>
    <row r="45" spans="1:8" x14ac:dyDescent="0.25">
      <c r="A45" s="60"/>
      <c r="B45" s="60"/>
      <c r="C45" s="60"/>
      <c r="D45" s="60"/>
      <c r="E45" s="60"/>
      <c r="F45" s="60"/>
      <c r="G45" s="60"/>
    </row>
    <row r="46" spans="1:8" x14ac:dyDescent="0.25">
      <c r="A46" s="1"/>
      <c r="B46" s="1"/>
      <c r="C46" s="1"/>
      <c r="D46" s="1"/>
      <c r="E46" s="1"/>
      <c r="F46" s="1"/>
      <c r="G46" s="1"/>
    </row>
  </sheetData>
  <mergeCells count="7">
    <mergeCell ref="A44:G44"/>
    <mergeCell ref="A45:G45"/>
    <mergeCell ref="A43:G43"/>
    <mergeCell ref="A1:G1"/>
    <mergeCell ref="A2:G2"/>
    <mergeCell ref="A41:G41"/>
    <mergeCell ref="A42:G4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A15" sqref="A15"/>
    </sheetView>
  </sheetViews>
  <sheetFormatPr defaultRowHeight="13.2" x14ac:dyDescent="0.25"/>
  <cols>
    <col min="1" max="1" width="39.6640625" customWidth="1"/>
    <col min="2" max="11" width="7.6640625" customWidth="1"/>
  </cols>
  <sheetData>
    <row r="1" spans="1:11" ht="25.5" customHeight="1" x14ac:dyDescent="0.25">
      <c r="A1" s="51" t="s">
        <v>127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1" x14ac:dyDescent="0.25">
      <c r="A3" s="14"/>
      <c r="B3" s="15">
        <v>1989</v>
      </c>
      <c r="C3" s="15">
        <v>1990</v>
      </c>
      <c r="D3" s="15">
        <v>1991</v>
      </c>
      <c r="E3" s="15">
        <v>1992</v>
      </c>
      <c r="F3" s="15">
        <v>1993</v>
      </c>
      <c r="G3" s="15">
        <v>1994</v>
      </c>
      <c r="H3" s="15">
        <v>1995</v>
      </c>
      <c r="I3" s="15">
        <v>1996</v>
      </c>
      <c r="J3" s="15">
        <v>1997</v>
      </c>
      <c r="K3" s="15">
        <v>1998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8" t="s">
        <v>115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89</v>
      </c>
      <c r="B6" s="41">
        <v>7650</v>
      </c>
      <c r="C6" s="41">
        <v>8293</v>
      </c>
      <c r="D6" s="41">
        <v>8983</v>
      </c>
      <c r="E6" s="41">
        <v>9731</v>
      </c>
      <c r="F6" s="41">
        <v>10540</v>
      </c>
      <c r="G6" s="41">
        <v>11418</v>
      </c>
      <c r="H6" s="41">
        <v>12368</v>
      </c>
      <c r="I6" s="41">
        <v>13397</v>
      </c>
      <c r="J6" s="41">
        <v>14514</v>
      </c>
      <c r="K6" s="41">
        <v>15723</v>
      </c>
    </row>
    <row r="7" spans="1:11" x14ac:dyDescent="0.25">
      <c r="A7" s="1" t="s">
        <v>33</v>
      </c>
      <c r="B7" s="41">
        <v>1917</v>
      </c>
      <c r="C7" s="41">
        <v>2385</v>
      </c>
      <c r="D7" s="41">
        <v>2814</v>
      </c>
      <c r="E7" s="41">
        <v>3266</v>
      </c>
      <c r="F7" s="41">
        <v>3589</v>
      </c>
      <c r="G7" s="41">
        <v>3945</v>
      </c>
      <c r="H7" s="41">
        <v>4337</v>
      </c>
      <c r="I7" s="41">
        <v>4768</v>
      </c>
      <c r="J7" s="41">
        <v>5243</v>
      </c>
      <c r="K7" s="41">
        <v>5766</v>
      </c>
    </row>
    <row r="8" spans="1:11" x14ac:dyDescent="0.25">
      <c r="A8" s="1" t="s">
        <v>109</v>
      </c>
      <c r="B8" s="41">
        <v>2792</v>
      </c>
      <c r="C8" s="41">
        <v>1353</v>
      </c>
      <c r="D8" s="41">
        <v>1286</v>
      </c>
      <c r="E8" s="41">
        <v>1183</v>
      </c>
      <c r="F8" s="41">
        <v>1037</v>
      </c>
      <c r="G8" s="44">
        <v>850</v>
      </c>
      <c r="H8" s="44">
        <v>624</v>
      </c>
      <c r="I8" s="44">
        <v>351</v>
      </c>
      <c r="J8" s="44">
        <v>0</v>
      </c>
      <c r="K8" s="44">
        <v>0</v>
      </c>
    </row>
    <row r="9" spans="1:11" ht="15.6" x14ac:dyDescent="0.25">
      <c r="A9" s="1" t="s">
        <v>128</v>
      </c>
      <c r="B9" s="44">
        <v>388</v>
      </c>
      <c r="C9" s="44">
        <v>388</v>
      </c>
      <c r="D9" s="44">
        <v>388</v>
      </c>
      <c r="E9" s="44">
        <v>388</v>
      </c>
      <c r="F9" s="44">
        <v>388</v>
      </c>
      <c r="G9" s="44">
        <v>388</v>
      </c>
      <c r="H9" s="44">
        <v>388</v>
      </c>
      <c r="I9" s="44">
        <v>388</v>
      </c>
      <c r="J9" s="44">
        <v>388</v>
      </c>
      <c r="K9" s="44">
        <v>388</v>
      </c>
    </row>
    <row r="10" spans="1:11" x14ac:dyDescent="0.25">
      <c r="A10" s="1" t="s">
        <v>116</v>
      </c>
      <c r="B10" s="46">
        <v>-965</v>
      </c>
      <c r="C10" s="44">
        <v>293</v>
      </c>
      <c r="D10" s="44">
        <v>621</v>
      </c>
      <c r="E10" s="44">
        <v>987</v>
      </c>
      <c r="F10" s="41">
        <v>1297</v>
      </c>
      <c r="G10" s="41">
        <v>1655</v>
      </c>
      <c r="H10" s="41">
        <v>2063</v>
      </c>
      <c r="I10" s="41">
        <v>2527</v>
      </c>
      <c r="J10" s="41">
        <v>3073</v>
      </c>
      <c r="K10" s="41">
        <v>3418</v>
      </c>
    </row>
    <row r="11" spans="1:11" x14ac:dyDescent="0.25">
      <c r="A11" s="1" t="s">
        <v>110</v>
      </c>
      <c r="B11" s="44">
        <v>777</v>
      </c>
      <c r="C11" s="44">
        <v>725</v>
      </c>
      <c r="D11" s="44">
        <v>726</v>
      </c>
      <c r="E11" s="44">
        <v>735</v>
      </c>
      <c r="F11" s="44">
        <v>749</v>
      </c>
      <c r="G11" s="44">
        <v>754</v>
      </c>
      <c r="H11" s="44">
        <v>758</v>
      </c>
      <c r="I11" s="44">
        <v>763</v>
      </c>
      <c r="J11" s="44">
        <v>769</v>
      </c>
      <c r="K11" s="44">
        <v>774</v>
      </c>
    </row>
    <row r="12" spans="1:11" x14ac:dyDescent="0.25">
      <c r="A12" s="1" t="s">
        <v>93</v>
      </c>
      <c r="B12" s="44">
        <v>432</v>
      </c>
      <c r="C12" s="44">
        <v>381</v>
      </c>
      <c r="D12" s="44">
        <v>380</v>
      </c>
      <c r="E12" s="44">
        <v>389</v>
      </c>
      <c r="F12" s="44">
        <v>396</v>
      </c>
      <c r="G12" s="44">
        <v>402</v>
      </c>
      <c r="H12" s="44">
        <v>412</v>
      </c>
      <c r="I12" s="44">
        <v>422</v>
      </c>
      <c r="J12" s="44">
        <v>432</v>
      </c>
      <c r="K12" s="44">
        <v>442</v>
      </c>
    </row>
    <row r="13" spans="1:11" x14ac:dyDescent="0.25">
      <c r="A13" s="1" t="s">
        <v>111</v>
      </c>
      <c r="B13" s="44">
        <v>41</v>
      </c>
      <c r="C13" s="44">
        <v>45</v>
      </c>
      <c r="D13" s="44">
        <v>48</v>
      </c>
      <c r="E13" s="44">
        <v>52</v>
      </c>
      <c r="F13" s="44">
        <v>57</v>
      </c>
      <c r="G13" s="44">
        <v>61</v>
      </c>
      <c r="H13" s="44">
        <v>67</v>
      </c>
      <c r="I13" s="44">
        <v>72</v>
      </c>
      <c r="J13" s="44">
        <v>78</v>
      </c>
      <c r="K13" s="44">
        <v>85</v>
      </c>
    </row>
    <row r="14" spans="1:11" x14ac:dyDescent="0.25">
      <c r="A14" s="1" t="s">
        <v>117</v>
      </c>
      <c r="B14" s="41">
        <v>12680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</row>
    <row r="15" spans="1:11" ht="15.6" x14ac:dyDescent="0.25">
      <c r="A15" s="1" t="s">
        <v>129</v>
      </c>
      <c r="B15" s="41">
        <v>12018</v>
      </c>
      <c r="C15" s="44">
        <v>593</v>
      </c>
      <c r="D15" s="44">
        <v>919</v>
      </c>
      <c r="E15" s="41">
        <v>1282</v>
      </c>
      <c r="F15" s="41">
        <v>1594</v>
      </c>
      <c r="G15" s="41">
        <v>1946</v>
      </c>
      <c r="H15" s="41">
        <v>2344</v>
      </c>
      <c r="I15" s="41">
        <v>2797</v>
      </c>
      <c r="J15" s="41">
        <v>3332</v>
      </c>
      <c r="K15" s="41">
        <v>3666</v>
      </c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8" t="s">
        <v>118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119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120</v>
      </c>
      <c r="B19" s="44">
        <v>310</v>
      </c>
      <c r="C19" s="44">
        <v>375</v>
      </c>
      <c r="D19" s="44">
        <v>721</v>
      </c>
      <c r="E19" s="44">
        <v>816</v>
      </c>
      <c r="F19" s="44">
        <v>400</v>
      </c>
      <c r="G19" s="44">
        <v>728</v>
      </c>
      <c r="H19" s="41">
        <v>1854</v>
      </c>
      <c r="I19" s="44">
        <v>0</v>
      </c>
      <c r="J19" s="44">
        <v>0</v>
      </c>
      <c r="K19" s="44">
        <v>0</v>
      </c>
    </row>
    <row r="20" spans="1:11" x14ac:dyDescent="0.25">
      <c r="A20" s="1" t="s">
        <v>121</v>
      </c>
      <c r="B20" s="41">
        <v>11708</v>
      </c>
      <c r="C20" s="1">
        <v>218</v>
      </c>
      <c r="D20" s="1">
        <v>198</v>
      </c>
      <c r="E20" s="1">
        <v>466</v>
      </c>
      <c r="F20" s="41">
        <v>1194</v>
      </c>
      <c r="G20" s="41">
        <v>1217</v>
      </c>
      <c r="H20" s="44">
        <v>0</v>
      </c>
      <c r="I20" s="44">
        <v>0</v>
      </c>
      <c r="J20" s="44">
        <v>0</v>
      </c>
      <c r="K20" s="44">
        <v>0</v>
      </c>
    </row>
    <row r="21" spans="1:11" x14ac:dyDescent="0.25">
      <c r="A21" s="1" t="s">
        <v>122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490</v>
      </c>
      <c r="I21" s="41">
        <v>2510</v>
      </c>
      <c r="J21" s="44">
        <v>0</v>
      </c>
      <c r="K21" s="44">
        <v>0</v>
      </c>
    </row>
    <row r="22" spans="1:11" x14ac:dyDescent="0.25">
      <c r="A22" s="1" t="s">
        <v>123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287</v>
      </c>
      <c r="J22" s="41">
        <v>3332</v>
      </c>
      <c r="K22" s="41">
        <v>3327</v>
      </c>
    </row>
    <row r="23" spans="1:11" x14ac:dyDescent="0.25">
      <c r="A23" s="1" t="s">
        <v>124</v>
      </c>
      <c r="B23" s="44">
        <v>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339</v>
      </c>
    </row>
    <row r="24" spans="1:11" x14ac:dyDescent="0.25">
      <c r="A24" s="27" t="s">
        <v>5</v>
      </c>
      <c r="B24" s="43">
        <v>12018</v>
      </c>
      <c r="C24" s="8">
        <v>593</v>
      </c>
      <c r="D24" s="8">
        <v>919</v>
      </c>
      <c r="E24" s="43">
        <v>1282</v>
      </c>
      <c r="F24" s="43">
        <v>1594</v>
      </c>
      <c r="G24" s="43">
        <v>1946</v>
      </c>
      <c r="H24" s="43">
        <v>2344</v>
      </c>
      <c r="I24" s="43">
        <v>2797</v>
      </c>
      <c r="J24" s="43">
        <v>3332</v>
      </c>
      <c r="K24" s="43">
        <v>3666</v>
      </c>
    </row>
    <row r="25" spans="1:11" x14ac:dyDescent="0.25">
      <c r="A25" s="1" t="s">
        <v>125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120</v>
      </c>
      <c r="B26" s="41">
        <v>4894</v>
      </c>
      <c r="C26" s="41">
        <v>4519</v>
      </c>
      <c r="D26" s="41">
        <v>3798</v>
      </c>
      <c r="E26" s="41">
        <v>2982</v>
      </c>
      <c r="F26" s="41">
        <v>2582</v>
      </c>
      <c r="G26" s="41">
        <v>1854</v>
      </c>
      <c r="H26" s="44">
        <v>0</v>
      </c>
      <c r="I26" s="44">
        <v>0</v>
      </c>
      <c r="J26" s="44">
        <v>0</v>
      </c>
      <c r="K26" s="44">
        <v>0</v>
      </c>
    </row>
    <row r="27" spans="1:11" x14ac:dyDescent="0.25">
      <c r="A27" s="1" t="s">
        <v>121</v>
      </c>
      <c r="B27" s="41">
        <v>3292</v>
      </c>
      <c r="C27" s="41">
        <v>3075</v>
      </c>
      <c r="D27" s="41">
        <v>2877</v>
      </c>
      <c r="E27" s="41">
        <v>2411</v>
      </c>
      <c r="F27" s="41">
        <v>1217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</row>
    <row r="28" spans="1:11" x14ac:dyDescent="0.25">
      <c r="A28" s="1" t="s">
        <v>122</v>
      </c>
      <c r="B28" s="41">
        <v>3000</v>
      </c>
      <c r="C28" s="41">
        <v>3000</v>
      </c>
      <c r="D28" s="41">
        <v>3000</v>
      </c>
      <c r="E28" s="41">
        <v>3000</v>
      </c>
      <c r="F28" s="41">
        <v>3000</v>
      </c>
      <c r="G28" s="41">
        <v>3000</v>
      </c>
      <c r="H28" s="41">
        <v>2510</v>
      </c>
      <c r="I28" s="44">
        <v>0</v>
      </c>
      <c r="J28" s="44">
        <v>0</v>
      </c>
      <c r="K28" s="44">
        <v>0</v>
      </c>
    </row>
    <row r="29" spans="1:11" x14ac:dyDescent="0.25">
      <c r="A29" s="27" t="s">
        <v>5</v>
      </c>
      <c r="B29" s="43">
        <v>11186</v>
      </c>
      <c r="C29" s="43">
        <v>10594</v>
      </c>
      <c r="D29" s="43">
        <v>9675</v>
      </c>
      <c r="E29" s="43">
        <v>8393</v>
      </c>
      <c r="F29" s="43">
        <v>6799</v>
      </c>
      <c r="G29" s="43">
        <v>4854</v>
      </c>
      <c r="H29" s="43">
        <v>2510</v>
      </c>
      <c r="I29" s="45">
        <v>0</v>
      </c>
      <c r="J29" s="45">
        <v>0</v>
      </c>
      <c r="K29" s="45">
        <v>0</v>
      </c>
    </row>
    <row r="30" spans="1:11" x14ac:dyDescent="0.25">
      <c r="A30" s="1" t="s">
        <v>123</v>
      </c>
      <c r="B30" s="41">
        <v>1632</v>
      </c>
      <c r="C30" s="41">
        <v>1938</v>
      </c>
      <c r="D30" s="41">
        <v>2303</v>
      </c>
      <c r="E30" s="41">
        <v>2736</v>
      </c>
      <c r="F30" s="41">
        <v>3250</v>
      </c>
      <c r="G30" s="41">
        <v>3861</v>
      </c>
      <c r="H30" s="41">
        <v>4587</v>
      </c>
      <c r="I30" s="41">
        <v>5162</v>
      </c>
      <c r="J30" s="41">
        <v>2801</v>
      </c>
      <c r="K30" s="44">
        <v>0</v>
      </c>
    </row>
    <row r="31" spans="1:11" x14ac:dyDescent="0.25">
      <c r="A31" s="1" t="s">
        <v>124</v>
      </c>
      <c r="B31" s="41">
        <v>1035</v>
      </c>
      <c r="C31" s="41">
        <v>1229</v>
      </c>
      <c r="D31" s="41">
        <v>1460</v>
      </c>
      <c r="E31" s="41">
        <v>1735</v>
      </c>
      <c r="F31" s="41">
        <v>2061</v>
      </c>
      <c r="G31" s="41">
        <v>2448</v>
      </c>
      <c r="H31" s="41">
        <v>2909</v>
      </c>
      <c r="I31" s="41">
        <v>3455</v>
      </c>
      <c r="J31" s="41">
        <v>4105</v>
      </c>
      <c r="K31" s="41">
        <v>4538</v>
      </c>
    </row>
    <row r="32" spans="1:11" x14ac:dyDescent="0.25">
      <c r="A32" s="1" t="s">
        <v>126</v>
      </c>
      <c r="B32" s="41">
        <v>1535</v>
      </c>
      <c r="C32" s="41">
        <v>1828</v>
      </c>
      <c r="D32" s="41">
        <v>2449</v>
      </c>
      <c r="E32" s="41">
        <v>3436</v>
      </c>
      <c r="F32" s="41">
        <v>4733</v>
      </c>
      <c r="G32" s="41">
        <v>6388</v>
      </c>
      <c r="H32" s="41">
        <v>8451</v>
      </c>
      <c r="I32" s="41">
        <v>10978</v>
      </c>
      <c r="J32" s="41">
        <v>14051</v>
      </c>
      <c r="K32" s="41">
        <v>17469</v>
      </c>
    </row>
    <row r="33" spans="1:11" x14ac:dyDescent="0.25">
      <c r="A33" s="40" t="s">
        <v>5</v>
      </c>
      <c r="B33" s="42">
        <v>4202</v>
      </c>
      <c r="C33" s="42">
        <v>4995</v>
      </c>
      <c r="D33" s="42">
        <v>6212</v>
      </c>
      <c r="E33" s="42">
        <v>7907</v>
      </c>
      <c r="F33" s="42">
        <v>10044</v>
      </c>
      <c r="G33" s="42">
        <v>12697</v>
      </c>
      <c r="H33" s="42">
        <v>15947</v>
      </c>
      <c r="I33" s="42">
        <v>19595</v>
      </c>
      <c r="J33" s="42">
        <v>20957</v>
      </c>
      <c r="K33" s="42">
        <v>22007</v>
      </c>
    </row>
    <row r="34" spans="1:11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</row>
    <row r="35" spans="1:11" x14ac:dyDescent="0.25">
      <c r="A35" s="52" t="s">
        <v>112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</row>
    <row r="36" spans="1:11" x14ac:dyDescent="0.25">
      <c r="A36" s="52"/>
      <c r="B36" s="60"/>
      <c r="C36" s="60"/>
      <c r="D36" s="60"/>
      <c r="E36" s="60"/>
      <c r="F36" s="60"/>
      <c r="G36" s="60"/>
      <c r="H36" s="60"/>
      <c r="I36" s="60"/>
      <c r="J36" s="60"/>
      <c r="K36" s="60"/>
    </row>
    <row r="37" spans="1:11" ht="25.5" customHeight="1" x14ac:dyDescent="0.25">
      <c r="A37" s="62" t="s">
        <v>130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</row>
    <row r="38" spans="1:11" x14ac:dyDescent="0.25">
      <c r="A38" s="63"/>
      <c r="B38" s="56"/>
      <c r="C38" s="56"/>
      <c r="D38" s="56"/>
      <c r="E38" s="56"/>
      <c r="F38" s="56"/>
      <c r="G38" s="56"/>
      <c r="H38" s="56"/>
      <c r="I38" s="56"/>
      <c r="J38" s="56"/>
      <c r="K38" s="56"/>
    </row>
    <row r="39" spans="1:11" ht="25.5" customHeight="1" x14ac:dyDescent="0.25">
      <c r="A39" s="62" t="s">
        <v>131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</row>
    <row r="40" spans="1:11" x14ac:dyDescent="0.2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mergeCells count="9">
    <mergeCell ref="A37:K37"/>
    <mergeCell ref="A38:K38"/>
    <mergeCell ref="A39:K39"/>
    <mergeCell ref="A40:K40"/>
    <mergeCell ref="A1:K1"/>
    <mergeCell ref="A34:K34"/>
    <mergeCell ref="A35:K35"/>
    <mergeCell ref="A36:K36"/>
    <mergeCell ref="A2:K2"/>
  </mergeCells>
  <phoneticPr fontId="2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tabSelected="1" zoomScaleNormal="110" workbookViewId="0">
      <selection activeCell="H11" sqref="H11"/>
    </sheetView>
  </sheetViews>
  <sheetFormatPr defaultColWidth="10.77734375" defaultRowHeight="15.6" x14ac:dyDescent="0.3"/>
  <cols>
    <col min="1" max="1" width="10.77734375" style="69"/>
    <col min="2" max="2" width="34.33203125" style="69" customWidth="1"/>
    <col min="3" max="4" width="13.5546875" style="69" bestFit="1" customWidth="1"/>
    <col min="5" max="5" width="13.44140625" style="69" customWidth="1"/>
    <col min="6" max="9" width="13.5546875" style="69" bestFit="1" customWidth="1"/>
    <col min="10" max="10" width="12.44140625" style="69" customWidth="1"/>
    <col min="11" max="17" width="12.6640625" style="69" customWidth="1"/>
    <col min="18" max="16384" width="10.77734375" style="69"/>
  </cols>
  <sheetData>
    <row r="1" spans="2:17" x14ac:dyDescent="0.3">
      <c r="B1" s="68" t="s">
        <v>264</v>
      </c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2:17" x14ac:dyDescent="0.3">
      <c r="B2" s="70" t="s">
        <v>150</v>
      </c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2:17" x14ac:dyDescent="0.3">
      <c r="C3" s="71"/>
      <c r="D3" s="71">
        <v>0</v>
      </c>
      <c r="E3" s="71">
        <v>1</v>
      </c>
      <c r="F3" s="71">
        <v>2</v>
      </c>
      <c r="G3" s="71">
        <v>3</v>
      </c>
      <c r="H3" s="71">
        <v>4</v>
      </c>
      <c r="I3" s="71">
        <v>5</v>
      </c>
      <c r="J3" s="71">
        <v>6</v>
      </c>
      <c r="K3" s="71">
        <v>7</v>
      </c>
      <c r="L3" s="71">
        <v>8</v>
      </c>
      <c r="M3" s="71">
        <v>9</v>
      </c>
      <c r="N3" s="71">
        <v>10</v>
      </c>
      <c r="O3" s="71"/>
      <c r="P3" s="71"/>
      <c r="Q3" s="71"/>
    </row>
    <row r="4" spans="2:17" x14ac:dyDescent="0.3">
      <c r="C4" s="72" t="s">
        <v>258</v>
      </c>
      <c r="D4" s="72" t="s">
        <v>259</v>
      </c>
      <c r="E4" s="72" t="str">
        <f>(LEFT($D$4,4)+E3)&amp;"E"</f>
        <v>1989E</v>
      </c>
      <c r="F4" s="72" t="str">
        <f t="shared" ref="F4:N4" si="0">(LEFT($D$4,4)+F3)&amp;"E"</f>
        <v>1990E</v>
      </c>
      <c r="G4" s="72" t="str">
        <f t="shared" si="0"/>
        <v>1991E</v>
      </c>
      <c r="H4" s="72" t="str">
        <f t="shared" si="0"/>
        <v>1992E</v>
      </c>
      <c r="I4" s="72" t="str">
        <f t="shared" si="0"/>
        <v>1993E</v>
      </c>
      <c r="J4" s="72" t="str">
        <f t="shared" si="0"/>
        <v>1994E</v>
      </c>
      <c r="K4" s="72" t="str">
        <f t="shared" si="0"/>
        <v>1995E</v>
      </c>
      <c r="L4" s="72" t="str">
        <f t="shared" si="0"/>
        <v>1996E</v>
      </c>
      <c r="M4" s="72" t="str">
        <f t="shared" si="0"/>
        <v>1997E</v>
      </c>
      <c r="N4" s="72" t="str">
        <f t="shared" si="0"/>
        <v>1998E</v>
      </c>
      <c r="O4" s="72"/>
      <c r="P4" s="72"/>
      <c r="Q4" s="72"/>
    </row>
    <row r="5" spans="2:17" x14ac:dyDescent="0.3">
      <c r="B5" s="69" t="s">
        <v>157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</row>
    <row r="6" spans="2:17" x14ac:dyDescent="0.3">
      <c r="B6" s="69" t="s">
        <v>158</v>
      </c>
      <c r="C6" s="73">
        <v>0.34</v>
      </c>
      <c r="D6" s="73">
        <v>0.34</v>
      </c>
      <c r="E6" s="73">
        <v>0.34</v>
      </c>
      <c r="F6" s="73">
        <v>0.34</v>
      </c>
      <c r="G6" s="73">
        <v>0.34</v>
      </c>
      <c r="H6" s="73">
        <v>0.34</v>
      </c>
      <c r="I6" s="73">
        <v>0.34</v>
      </c>
      <c r="J6" s="73">
        <v>0.34</v>
      </c>
      <c r="K6" s="73">
        <v>0.34</v>
      </c>
      <c r="L6" s="73">
        <v>0.34</v>
      </c>
      <c r="M6" s="73">
        <v>0.34</v>
      </c>
      <c r="N6" s="73">
        <v>0.34</v>
      </c>
      <c r="O6" s="73"/>
      <c r="P6" s="73"/>
      <c r="Q6" s="73"/>
    </row>
    <row r="7" spans="2:17" x14ac:dyDescent="0.3">
      <c r="B7" s="69" t="s">
        <v>159</v>
      </c>
      <c r="C7" s="74"/>
      <c r="D7" s="74">
        <f>D16/C16-1</f>
        <v>0.12489660876757647</v>
      </c>
      <c r="E7" s="74">
        <f t="shared" ref="E7:J7" si="1">E16/D16-1</f>
        <v>0.1014705882352942</v>
      </c>
      <c r="F7" s="74">
        <f t="shared" si="1"/>
        <v>0.15487316421895869</v>
      </c>
      <c r="G7" s="74">
        <f t="shared" si="1"/>
        <v>0.16936416184971104</v>
      </c>
      <c r="H7" s="74">
        <f t="shared" si="1"/>
        <v>0.11665842807711324</v>
      </c>
      <c r="I7" s="74">
        <f t="shared" si="1"/>
        <v>0.12262062859672418</v>
      </c>
      <c r="J7" s="74">
        <f t="shared" si="1"/>
        <v>0.12697160883280767</v>
      </c>
      <c r="K7" s="74">
        <f>G55</f>
        <v>0.15</v>
      </c>
      <c r="L7" s="74">
        <f>H55</f>
        <v>0</v>
      </c>
      <c r="M7" s="74">
        <f>I53</f>
        <v>0</v>
      </c>
      <c r="N7" s="74">
        <f>J53</f>
        <v>0</v>
      </c>
      <c r="O7" s="74"/>
      <c r="P7" s="74"/>
      <c r="Q7" s="74"/>
    </row>
    <row r="8" spans="2:17" x14ac:dyDescent="0.3">
      <c r="L8" s="75"/>
      <c r="P8" s="75"/>
    </row>
    <row r="9" spans="2:17" x14ac:dyDescent="0.3">
      <c r="B9" s="69" t="s">
        <v>160</v>
      </c>
      <c r="C9" s="73">
        <f>J52</f>
        <v>0.112</v>
      </c>
      <c r="D9" s="69" t="s">
        <v>204</v>
      </c>
      <c r="L9" s="75"/>
      <c r="P9" s="75"/>
    </row>
    <row r="10" spans="2:17" x14ac:dyDescent="0.3">
      <c r="B10" s="69" t="s">
        <v>162</v>
      </c>
      <c r="C10" s="73">
        <v>0.02</v>
      </c>
      <c r="L10" s="76"/>
    </row>
    <row r="11" spans="2:17" x14ac:dyDescent="0.3">
      <c r="L11" s="77"/>
      <c r="P11" s="75"/>
    </row>
    <row r="12" spans="2:17" x14ac:dyDescent="0.3">
      <c r="B12" s="78" t="s">
        <v>163</v>
      </c>
      <c r="P12" s="79"/>
    </row>
    <row r="13" spans="2:17" x14ac:dyDescent="0.3">
      <c r="B13" s="89" t="s">
        <v>164</v>
      </c>
      <c r="C13" s="205">
        <f>RJRCondensed!G5</f>
        <v>15766</v>
      </c>
      <c r="D13" s="205">
        <f>RJRPrebid!B7</f>
        <v>16950</v>
      </c>
      <c r="E13" s="205">
        <f>RJRPrebid!C7</f>
        <v>18088</v>
      </c>
      <c r="F13" s="205">
        <f>RJRPrebid!D7</f>
        <v>19676</v>
      </c>
      <c r="G13" s="205">
        <f>RJRPrebid!E7</f>
        <v>21075</v>
      </c>
      <c r="H13" s="205">
        <f>RJRPrebid!F7</f>
        <v>22578</v>
      </c>
      <c r="I13" s="205">
        <f>RJRPrebid!G7</f>
        <v>24191</v>
      </c>
      <c r="J13" s="205">
        <f>RJRPrebid!H7</f>
        <v>25925</v>
      </c>
      <c r="K13" s="205">
        <f>RJRPrebid!I7</f>
        <v>27788</v>
      </c>
      <c r="L13" s="205">
        <f>RJRPrebid!J7</f>
        <v>29790</v>
      </c>
      <c r="M13" s="205">
        <f>RJRPrebid!K7</f>
        <v>31942</v>
      </c>
      <c r="N13" s="205">
        <f>RJRPrebid!L7</f>
        <v>34256</v>
      </c>
      <c r="O13" s="75"/>
      <c r="P13" s="75"/>
    </row>
    <row r="14" spans="2:17" ht="16.2" thickBot="1" x14ac:dyDescent="0.35">
      <c r="B14" s="93" t="s">
        <v>165</v>
      </c>
      <c r="C14" s="215">
        <f>C13-C15</f>
        <v>13462</v>
      </c>
      <c r="D14" s="215">
        <f t="shared" ref="D14:N14" si="2">D13-D15</f>
        <v>14297</v>
      </c>
      <c r="E14" s="215">
        <f t="shared" si="2"/>
        <v>15190</v>
      </c>
      <c r="F14" s="215">
        <f t="shared" si="2"/>
        <v>16340</v>
      </c>
      <c r="G14" s="215">
        <f t="shared" si="2"/>
        <v>17237</v>
      </c>
      <c r="H14" s="215">
        <f t="shared" si="2"/>
        <v>18362</v>
      </c>
      <c r="I14" s="215">
        <f t="shared" si="2"/>
        <v>19557</v>
      </c>
      <c r="J14" s="215">
        <f t="shared" si="2"/>
        <v>20832</v>
      </c>
      <c r="K14" s="215">
        <f t="shared" si="2"/>
        <v>22192</v>
      </c>
      <c r="L14" s="215">
        <f t="shared" si="2"/>
        <v>23641</v>
      </c>
      <c r="M14" s="215">
        <f t="shared" si="2"/>
        <v>25186</v>
      </c>
      <c r="N14" s="215">
        <f t="shared" si="2"/>
        <v>26832</v>
      </c>
    </row>
    <row r="15" spans="2:17" ht="16.2" thickBot="1" x14ac:dyDescent="0.35">
      <c r="B15" s="93" t="s">
        <v>260</v>
      </c>
      <c r="C15" s="215">
        <f>RJRCondensed!G6</f>
        <v>2304</v>
      </c>
      <c r="D15" s="215">
        <f>RJRPrebid!B12</f>
        <v>2653</v>
      </c>
      <c r="E15" s="215">
        <f>RJRPrebid!C12</f>
        <v>2898</v>
      </c>
      <c r="F15" s="215">
        <f>RJRPrebid!D12</f>
        <v>3336</v>
      </c>
      <c r="G15" s="215">
        <f>RJRPrebid!E12</f>
        <v>3838</v>
      </c>
      <c r="H15" s="215">
        <f>RJRPrebid!F12</f>
        <v>4216</v>
      </c>
      <c r="I15" s="215">
        <f>RJRPrebid!G12</f>
        <v>4634</v>
      </c>
      <c r="J15" s="215">
        <f>RJRPrebid!H12</f>
        <v>5093</v>
      </c>
      <c r="K15" s="215">
        <f>RJRPrebid!I12</f>
        <v>5596</v>
      </c>
      <c r="L15" s="215">
        <f>RJRPrebid!J12</f>
        <v>6149</v>
      </c>
      <c r="M15" s="215">
        <f>RJRPrebid!K12</f>
        <v>6756</v>
      </c>
      <c r="N15" s="215">
        <f>RJRPrebid!L12</f>
        <v>7424</v>
      </c>
    </row>
    <row r="16" spans="2:17" ht="16.2" thickBot="1" x14ac:dyDescent="0.35">
      <c r="B16" s="93" t="s">
        <v>215</v>
      </c>
      <c r="C16" s="215">
        <f>RJRCondensed!G11</f>
        <v>1209</v>
      </c>
      <c r="D16" s="215">
        <f>RJRPrebid!B14</f>
        <v>1360</v>
      </c>
      <c r="E16" s="215">
        <f>RJRPrebid!C14</f>
        <v>1498</v>
      </c>
      <c r="F16" s="215">
        <f>RJRPrebid!D14</f>
        <v>1730</v>
      </c>
      <c r="G16" s="215">
        <f>RJRPrebid!E14</f>
        <v>2023</v>
      </c>
      <c r="H16" s="215">
        <f>RJRPrebid!F14</f>
        <v>2259</v>
      </c>
      <c r="I16" s="215">
        <f>RJRPrebid!G14</f>
        <v>2536</v>
      </c>
      <c r="J16" s="215">
        <f>RJRPrebid!H14</f>
        <v>2858</v>
      </c>
      <c r="K16" s="215">
        <f>RJRPrebid!I14</f>
        <v>3251</v>
      </c>
      <c r="L16" s="215">
        <f>RJRPrebid!J14</f>
        <v>3625</v>
      </c>
      <c r="M16" s="215">
        <f>RJRPrebid!K14</f>
        <v>4094</v>
      </c>
      <c r="N16" s="215">
        <f>RJRPrebid!L14</f>
        <v>4625</v>
      </c>
      <c r="O16" s="76"/>
      <c r="P16" s="76"/>
      <c r="Q16" s="76"/>
    </row>
    <row r="17" spans="2:17" x14ac:dyDescent="0.3">
      <c r="B17" s="89" t="s">
        <v>170</v>
      </c>
      <c r="C17" s="206"/>
      <c r="D17" s="206">
        <f>RJRPrebid!B15</f>
        <v>730</v>
      </c>
      <c r="E17" s="206">
        <f>RJRPrebid!C15</f>
        <v>807</v>
      </c>
      <c r="F17" s="206">
        <f>RJRPrebid!D15</f>
        <v>791</v>
      </c>
      <c r="G17" s="206">
        <f>RJRPrebid!E15</f>
        <v>819</v>
      </c>
      <c r="H17" s="206">
        <f>RJRPrebid!F15</f>
        <v>849</v>
      </c>
      <c r="I17" s="206">
        <f>RJRPrebid!G15</f>
        <v>866</v>
      </c>
      <c r="J17" s="206">
        <f>RJRPrebid!H15</f>
        <v>867</v>
      </c>
      <c r="K17" s="206">
        <f>RJRPrebid!I15</f>
        <v>867</v>
      </c>
      <c r="L17" s="206">
        <f>RJRPrebid!J15</f>
        <v>867</v>
      </c>
      <c r="M17" s="206">
        <f>RJRPrebid!K15</f>
        <v>867</v>
      </c>
      <c r="N17" s="206">
        <f>RJRPrebid!L15</f>
        <v>861</v>
      </c>
      <c r="O17" s="86"/>
      <c r="P17" s="86"/>
      <c r="Q17" s="86"/>
    </row>
    <row r="18" spans="2:17" x14ac:dyDescent="0.3">
      <c r="B18" s="89" t="s">
        <v>173</v>
      </c>
      <c r="C18" s="207"/>
      <c r="D18" s="210">
        <f>RJRPrebid!B16</f>
        <v>1142</v>
      </c>
      <c r="E18" s="210">
        <f>RJRPrebid!C16</f>
        <v>1708</v>
      </c>
      <c r="F18" s="210">
        <f>RJRPrebid!D16</f>
        <v>1462</v>
      </c>
      <c r="G18" s="210">
        <f>RJRPrebid!E16</f>
        <v>1345</v>
      </c>
      <c r="H18" s="210">
        <f>RJRPrebid!F16</f>
        <v>930</v>
      </c>
      <c r="I18" s="210">
        <f>RJRPrebid!G16</f>
        <v>738</v>
      </c>
      <c r="J18" s="210">
        <f>RJRPrebid!H16</f>
        <v>735</v>
      </c>
      <c r="K18" s="210">
        <f>RJRPrebid!I16</f>
        <v>735</v>
      </c>
      <c r="L18" s="210">
        <f>RJRPrebid!J16</f>
        <v>735</v>
      </c>
      <c r="M18" s="210">
        <f>RJRPrebid!K16</f>
        <v>735</v>
      </c>
      <c r="N18" s="210">
        <f>RJRPrebid!L16</f>
        <v>735</v>
      </c>
      <c r="O18" s="87"/>
      <c r="P18" s="87"/>
      <c r="Q18" s="87"/>
    </row>
    <row r="19" spans="2:17" x14ac:dyDescent="0.3">
      <c r="B19" s="89" t="s">
        <v>172</v>
      </c>
      <c r="C19" s="206">
        <f>RJRBS!C33</f>
        <v>332</v>
      </c>
      <c r="D19" s="206">
        <v>0</v>
      </c>
      <c r="E19" s="206">
        <f>RJRPrebid!C17</f>
        <v>80</v>
      </c>
      <c r="F19" s="206">
        <f>RJRPrebid!D17</f>
        <v>111</v>
      </c>
      <c r="G19" s="206">
        <f>RJRPrebid!E17</f>
        <v>98</v>
      </c>
      <c r="H19" s="206">
        <f>RJRPrebid!F17</f>
        <v>105</v>
      </c>
      <c r="I19" s="206">
        <f>RJRPrebid!G17</f>
        <v>113</v>
      </c>
      <c r="J19" s="206">
        <f>RJRPrebid!H17</f>
        <v>121</v>
      </c>
      <c r="K19" s="206">
        <f>RJRPrebid!I17</f>
        <v>130</v>
      </c>
      <c r="L19" s="206">
        <f>RJRPrebid!J17</f>
        <v>140</v>
      </c>
      <c r="M19" s="206">
        <f>RJRPrebid!K17</f>
        <v>151</v>
      </c>
      <c r="N19" s="206">
        <f>RJRPrebid!L17</f>
        <v>162</v>
      </c>
      <c r="O19" s="88"/>
      <c r="P19" s="88"/>
      <c r="Q19" s="88"/>
    </row>
    <row r="20" spans="2:17" x14ac:dyDescent="0.3"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90"/>
      <c r="P20" s="90"/>
      <c r="Q20" s="90"/>
    </row>
    <row r="21" spans="2:17" x14ac:dyDescent="0.3">
      <c r="B21" s="89"/>
      <c r="C21" s="207"/>
      <c r="D21" s="207"/>
      <c r="E21" s="207"/>
      <c r="F21" s="207"/>
      <c r="G21" s="207"/>
      <c r="H21" s="207"/>
      <c r="I21" s="207"/>
      <c r="J21" s="207"/>
      <c r="K21" s="118"/>
      <c r="L21" s="118"/>
      <c r="M21" s="118"/>
      <c r="N21" s="118"/>
    </row>
    <row r="22" spans="2:17" x14ac:dyDescent="0.3">
      <c r="B22" s="69" t="s">
        <v>174</v>
      </c>
      <c r="C22" s="118">
        <f>C16+C17-C18-C19</f>
        <v>877</v>
      </c>
      <c r="D22" s="118">
        <f t="shared" ref="D22:N22" si="3">D16+D17-D18-D19</f>
        <v>948</v>
      </c>
      <c r="E22" s="118">
        <f t="shared" si="3"/>
        <v>517</v>
      </c>
      <c r="F22" s="118">
        <f t="shared" si="3"/>
        <v>948</v>
      </c>
      <c r="G22" s="118">
        <f t="shared" si="3"/>
        <v>1399</v>
      </c>
      <c r="H22" s="118">
        <f t="shared" si="3"/>
        <v>2073</v>
      </c>
      <c r="I22" s="118">
        <f t="shared" si="3"/>
        <v>2551</v>
      </c>
      <c r="J22" s="118">
        <f t="shared" si="3"/>
        <v>2869</v>
      </c>
      <c r="K22" s="118">
        <f t="shared" si="3"/>
        <v>3253</v>
      </c>
      <c r="L22" s="118">
        <f t="shared" si="3"/>
        <v>3617</v>
      </c>
      <c r="M22" s="118">
        <f t="shared" si="3"/>
        <v>4075</v>
      </c>
      <c r="N22" s="118">
        <f t="shared" si="3"/>
        <v>4589</v>
      </c>
      <c r="O22" s="95"/>
      <c r="P22" s="95"/>
      <c r="Q22" s="95"/>
    </row>
    <row r="23" spans="2:17" x14ac:dyDescent="0.3">
      <c r="B23" s="69" t="s">
        <v>175</v>
      </c>
      <c r="C23" s="208"/>
      <c r="D23" s="208"/>
      <c r="E23" s="208"/>
      <c r="F23" s="208"/>
      <c r="G23" s="208"/>
      <c r="H23" s="208"/>
      <c r="I23" s="208"/>
      <c r="J23" s="209"/>
      <c r="K23" s="209"/>
      <c r="L23" s="209"/>
      <c r="M23" s="209"/>
      <c r="N23" s="208">
        <f>N22*(1+C10)/(C9-C10)</f>
        <v>50878.043478260865</v>
      </c>
      <c r="O23" s="82"/>
      <c r="P23" s="82"/>
    </row>
    <row r="24" spans="2:17" x14ac:dyDescent="0.3">
      <c r="B24" s="69" t="s">
        <v>176</v>
      </c>
      <c r="C24" s="206"/>
      <c r="D24" s="206"/>
      <c r="E24" s="206">
        <f>SUM(E22:E23)/2</f>
        <v>258.5</v>
      </c>
      <c r="F24" s="206">
        <f t="shared" ref="F24:N24" si="4">SUM(F22:F23)</f>
        <v>948</v>
      </c>
      <c r="G24" s="206">
        <f t="shared" si="4"/>
        <v>1399</v>
      </c>
      <c r="H24" s="206">
        <f t="shared" si="4"/>
        <v>2073</v>
      </c>
      <c r="I24" s="206">
        <f t="shared" si="4"/>
        <v>2551</v>
      </c>
      <c r="J24" s="206">
        <f t="shared" si="4"/>
        <v>2869</v>
      </c>
      <c r="K24" s="206">
        <f t="shared" si="4"/>
        <v>3253</v>
      </c>
      <c r="L24" s="206">
        <f t="shared" si="4"/>
        <v>3617</v>
      </c>
      <c r="M24" s="206">
        <f t="shared" si="4"/>
        <v>4075</v>
      </c>
      <c r="N24" s="206">
        <f t="shared" si="4"/>
        <v>55467.043478260865</v>
      </c>
      <c r="O24" s="90"/>
      <c r="P24" s="90"/>
      <c r="Q24" s="90"/>
    </row>
    <row r="25" spans="2:17" x14ac:dyDescent="0.3">
      <c r="B25" s="69" t="s">
        <v>177</v>
      </c>
      <c r="C25" s="80"/>
      <c r="D25" s="80"/>
      <c r="E25" s="80">
        <f t="shared" ref="E25:J25" si="5">E24/(1+$C$9)^E$3</f>
        <v>232.46402877697841</v>
      </c>
      <c r="F25" s="80">
        <f t="shared" si="5"/>
        <v>766.65286475855271</v>
      </c>
      <c r="G25" s="80">
        <f t="shared" si="5"/>
        <v>1017.4272206891592</v>
      </c>
      <c r="H25" s="80">
        <f t="shared" si="5"/>
        <v>1355.7516857420169</v>
      </c>
      <c r="I25" s="80">
        <f t="shared" si="5"/>
        <v>1500.3290639534182</v>
      </c>
      <c r="J25" s="80">
        <f t="shared" si="5"/>
        <v>1517.4060970878807</v>
      </c>
      <c r="K25" s="80">
        <f>K24/(1+$C$9)^K$3</f>
        <v>1547.2145916742336</v>
      </c>
      <c r="L25" s="80">
        <f>L24/(1+$C$9)^L$3</f>
        <v>1547.0708770447927</v>
      </c>
      <c r="M25" s="80">
        <f>M24/(1+$C$9)^M$3</f>
        <v>1567.416910143927</v>
      </c>
      <c r="N25" s="80">
        <f>N24/(1+$C$9)^N$3</f>
        <v>19186.119500268018</v>
      </c>
      <c r="O25" s="80"/>
      <c r="P25" s="80"/>
      <c r="Q25" s="80"/>
    </row>
    <row r="26" spans="2:17" x14ac:dyDescent="0.3">
      <c r="C26" s="97"/>
      <c r="D26" s="97"/>
      <c r="E26" s="97"/>
      <c r="F26" s="97"/>
      <c r="G26" s="97"/>
      <c r="H26" s="97"/>
      <c r="I26" s="97"/>
      <c r="J26" s="97"/>
    </row>
    <row r="27" spans="2:17" x14ac:dyDescent="0.3">
      <c r="C27" s="81"/>
      <c r="D27" s="81"/>
      <c r="E27" s="81"/>
      <c r="F27" s="81"/>
      <c r="G27" s="81"/>
      <c r="H27" s="81"/>
      <c r="I27" s="81"/>
      <c r="J27" s="81"/>
    </row>
    <row r="28" spans="2:17" x14ac:dyDescent="0.3">
      <c r="B28" s="69" t="s">
        <v>178</v>
      </c>
      <c r="C28" s="98">
        <f>SUM(C25:Q25)</f>
        <v>30237.852840138978</v>
      </c>
      <c r="D28" s="81"/>
      <c r="E28" s="99"/>
      <c r="F28" s="100"/>
      <c r="G28" s="81"/>
      <c r="H28" s="81"/>
      <c r="I28" s="81"/>
      <c r="J28" s="81"/>
      <c r="K28" s="81"/>
      <c r="L28" s="81"/>
    </row>
    <row r="29" spans="2:17" x14ac:dyDescent="0.3">
      <c r="B29" s="101"/>
      <c r="C29" s="101"/>
      <c r="D29" s="81"/>
      <c r="E29" s="76"/>
      <c r="F29" s="76"/>
      <c r="G29" s="102"/>
      <c r="H29" s="102"/>
      <c r="I29" s="102"/>
      <c r="J29" s="102"/>
      <c r="K29" s="102"/>
      <c r="L29" s="102"/>
      <c r="M29" s="76"/>
      <c r="N29" s="76"/>
      <c r="O29" s="76"/>
      <c r="P29" s="76"/>
    </row>
    <row r="30" spans="2:17" ht="16.2" thickBot="1" x14ac:dyDescent="0.35">
      <c r="C30" s="76"/>
      <c r="K30" s="81"/>
      <c r="L30" s="81"/>
    </row>
    <row r="31" spans="2:17" ht="16.2" thickBot="1" x14ac:dyDescent="0.35">
      <c r="B31" s="103" t="s">
        <v>179</v>
      </c>
      <c r="C31" s="104"/>
      <c r="E31" s="105" t="s">
        <v>180</v>
      </c>
    </row>
    <row r="32" spans="2:17" ht="16.2" thickBot="1" x14ac:dyDescent="0.35">
      <c r="B32" s="106" t="s">
        <v>181</v>
      </c>
      <c r="C32" s="107" t="s">
        <v>182</v>
      </c>
      <c r="E32" s="108" t="s">
        <v>183</v>
      </c>
      <c r="F32" s="108"/>
      <c r="G32" s="108"/>
      <c r="H32" s="109"/>
      <c r="I32" s="108" t="s">
        <v>184</v>
      </c>
      <c r="J32" s="108"/>
    </row>
    <row r="33" spans="2:12" x14ac:dyDescent="0.3">
      <c r="B33" s="110">
        <v>0.08</v>
      </c>
      <c r="C33" s="111">
        <f>(NPV(B33,$E$24:$M$24,$N$22+$N$22*(1+$C$10)/(B33-$C$10)))*(1+B33)</f>
        <v>55492.550813040572</v>
      </c>
      <c r="D33" s="112"/>
      <c r="E33" s="69" t="s">
        <v>185</v>
      </c>
      <c r="G33" s="113">
        <f>'[1]Interest-Ratings'!E6</f>
        <v>7.7200000000000005E-2</v>
      </c>
      <c r="I33" s="69" t="s">
        <v>186</v>
      </c>
      <c r="J33" s="76">
        <f>[1]Comps!D31</f>
        <v>8620</v>
      </c>
    </row>
    <row r="34" spans="2:12" x14ac:dyDescent="0.3">
      <c r="B34" s="110">
        <v>8.5000000000000006E-2</v>
      </c>
      <c r="C34" s="111">
        <f>(NPV(B34,$E$24:$M$24,$N$22+$N$22*(1+$C$10)/(B34-$C$10)))*(1+B34)</f>
        <v>50610.580470434303</v>
      </c>
      <c r="D34" s="112"/>
      <c r="E34" s="69" t="s">
        <v>187</v>
      </c>
      <c r="G34" s="114">
        <f>RJRBS!C19</f>
        <v>3884</v>
      </c>
      <c r="I34" s="69" t="s">
        <v>188</v>
      </c>
      <c r="J34" s="76">
        <f>G34</f>
        <v>3884</v>
      </c>
      <c r="K34" s="115"/>
      <c r="L34" s="116"/>
    </row>
    <row r="35" spans="2:12" x14ac:dyDescent="0.3">
      <c r="B35" s="110">
        <v>0.09</v>
      </c>
      <c r="C35" s="111">
        <f>(NPV(B35,$E$24:$M$24,$N$22+$N$22*(1+$C$10)/(B35-$C$10)))*(1+B35)</f>
        <v>46442.62225539935</v>
      </c>
      <c r="D35" s="112"/>
      <c r="I35" s="69" t="s">
        <v>189</v>
      </c>
      <c r="J35" s="73">
        <f>G41+G40*G42</f>
        <v>0.112</v>
      </c>
      <c r="K35" s="115"/>
    </row>
    <row r="36" spans="2:12" x14ac:dyDescent="0.3">
      <c r="B36" s="110">
        <v>9.5000000000000001E-2</v>
      </c>
      <c r="C36" s="111">
        <f>(NPV(B36,$E$24:$M$24,$N$22+$N$22*(1+$C$10)/(B36-$C$10)))*(1+B36)</f>
        <v>42845.314021864244</v>
      </c>
      <c r="D36" s="112"/>
      <c r="I36" s="69" t="s">
        <v>190</v>
      </c>
      <c r="J36" s="73">
        <f>G33</f>
        <v>7.7200000000000005E-2</v>
      </c>
    </row>
    <row r="37" spans="2:12" x14ac:dyDescent="0.3">
      <c r="B37" s="110">
        <v>0.1</v>
      </c>
      <c r="C37" s="111">
        <f>(NPV(B37,$E$24:$M$24,$N$22+$N$22*(1+$C$10)/(B37-$C$10)))*(1+B37)</f>
        <v>39711.156491428468</v>
      </c>
      <c r="D37" s="112"/>
      <c r="I37" s="69" t="s">
        <v>191</v>
      </c>
      <c r="J37" s="73">
        <v>0.34</v>
      </c>
    </row>
    <row r="38" spans="2:12" x14ac:dyDescent="0.3">
      <c r="B38" s="110">
        <v>0.105</v>
      </c>
      <c r="C38" s="111">
        <f>(NPV(B38,$E$24:$M$24,$N$22+$N$22*(1+$C$10)/(B38-$C$10)))*(1+B38)</f>
        <v>36957.964339503975</v>
      </c>
      <c r="D38" s="112"/>
      <c r="E38" s="108" t="s">
        <v>192</v>
      </c>
      <c r="F38" s="108"/>
      <c r="G38" s="108"/>
      <c r="I38" s="78" t="s">
        <v>161</v>
      </c>
      <c r="J38" s="73">
        <f>J34/(J34+J33)*J36*(1-J37)+J35*J33/(J33+J34)</f>
        <v>9.303723352527192E-2</v>
      </c>
    </row>
    <row r="39" spans="2:12" x14ac:dyDescent="0.3">
      <c r="B39" s="110">
        <v>0.11</v>
      </c>
      <c r="C39" s="111">
        <f>(NPV(B39,$E$24:$M$24,$N$22+$N$22*(1+$C$10)/(B39-$C$10)))*(1+B39)</f>
        <v>34521.833636931202</v>
      </c>
      <c r="D39" s="112"/>
      <c r="E39" s="69" t="s">
        <v>193</v>
      </c>
      <c r="G39" s="69">
        <f>RJRCondensed!G17</f>
        <v>247.4</v>
      </c>
      <c r="I39" s="73"/>
      <c r="J39" s="73"/>
    </row>
    <row r="40" spans="2:12" x14ac:dyDescent="0.3">
      <c r="B40" s="110">
        <v>0.115</v>
      </c>
      <c r="C40" s="111">
        <f>(NPV(B40,$E$24:$M$24,$N$22+$N$22*(1+$C$10)/(B40-$C$10)))*(1+B40)</f>
        <v>32352.330144889776</v>
      </c>
      <c r="D40" s="112"/>
      <c r="E40" s="69" t="s">
        <v>194</v>
      </c>
      <c r="G40" s="214">
        <f>RJRCondensed!I18</f>
        <v>0.89333333333333342</v>
      </c>
      <c r="I40" s="108" t="s">
        <v>195</v>
      </c>
      <c r="J40" s="108"/>
    </row>
    <row r="41" spans="2:12" x14ac:dyDescent="0.3">
      <c r="B41" s="110">
        <v>0.12</v>
      </c>
      <c r="C41" s="111">
        <f>(NPV(B41,$E$24:$M$24,$N$22+$N$22*(1+$C$10)/(B41-$C$10)))*(1+B41)</f>
        <v>30409.121161959574</v>
      </c>
      <c r="D41" s="112"/>
      <c r="E41" s="69" t="s">
        <v>196</v>
      </c>
      <c r="G41" s="113">
        <f>'[1]Interest-Ratings'!D13</f>
        <v>5.8400000000000001E-2</v>
      </c>
      <c r="I41" s="69" t="s">
        <v>197</v>
      </c>
      <c r="J41" s="74">
        <v>0.7</v>
      </c>
    </row>
    <row r="42" spans="2:12" x14ac:dyDescent="0.3">
      <c r="B42" s="117">
        <v>0.125</v>
      </c>
      <c r="C42" s="111">
        <f>(NPV(B42,$E$24:$M$24,$N$22+$N$22*(1+$C$10)/(B42-$C$10)))*(1+B42)</f>
        <v>28659.569737059926</v>
      </c>
      <c r="D42" s="112"/>
      <c r="E42" s="69" t="s">
        <v>198</v>
      </c>
      <c r="G42" s="113">
        <v>0.06</v>
      </c>
      <c r="I42" s="69" t="s">
        <v>199</v>
      </c>
      <c r="J42" s="74">
        <f>1-J41</f>
        <v>0.30000000000000004</v>
      </c>
    </row>
    <row r="43" spans="2:12" x14ac:dyDescent="0.3">
      <c r="B43" s="110">
        <v>0.13</v>
      </c>
      <c r="C43" s="111">
        <f>(NPV(B43,$E$24:$M$24,$N$22+$N$22*(1+$C$10)/(B43-$C$10)))*(1+B43)</f>
        <v>27076.985038950363</v>
      </c>
      <c r="D43" s="112"/>
      <c r="E43" s="69" t="s">
        <v>200</v>
      </c>
      <c r="G43" s="118">
        <f>RJRCondensed!G17*RJRCondensed!G15</f>
        <v>11133</v>
      </c>
      <c r="I43" s="69" t="s">
        <v>194</v>
      </c>
      <c r="J43" s="76">
        <f>[1]Comps!Q43</f>
        <v>0.7431280717332277</v>
      </c>
    </row>
    <row r="44" spans="2:12" x14ac:dyDescent="0.3">
      <c r="B44" s="110">
        <v>0.13500000000000001</v>
      </c>
      <c r="C44" s="111">
        <f>(NPV(B44,$E$24:$M$24,$N$22+$N$22*(1+$C$10)/(B44-$C$10)))*(1+B44)</f>
        <v>25639.32918068417</v>
      </c>
      <c r="D44" s="112"/>
      <c r="I44" s="69" t="s">
        <v>189</v>
      </c>
      <c r="J44" s="73">
        <f>G41+G42*J43</f>
        <v>0.10298768430399366</v>
      </c>
    </row>
    <row r="45" spans="2:12" x14ac:dyDescent="0.3">
      <c r="B45" s="110">
        <v>0.14000000000000001</v>
      </c>
      <c r="C45" s="111">
        <f>(NPV(B45,$E$24:$M$24,$N$22+$N$22*(1+$C$10)/(B45-$C$10)))*(1+B45)</f>
        <v>24328.247364712894</v>
      </c>
      <c r="D45" s="112"/>
      <c r="I45" s="69" t="s">
        <v>190</v>
      </c>
      <c r="J45" s="73">
        <f>G33</f>
        <v>7.7200000000000005E-2</v>
      </c>
    </row>
    <row r="46" spans="2:12" x14ac:dyDescent="0.3">
      <c r="B46" s="110">
        <v>0.14499999999999999</v>
      </c>
      <c r="C46" s="111">
        <f>(NPV(B46,$E$24:$M$24,$N$22+$N$22*(1+$C$10)/(B46-$C$10)))*(1+B46)</f>
        <v>23128.330817411294</v>
      </c>
      <c r="D46" s="112"/>
      <c r="E46" s="108" t="s">
        <v>201</v>
      </c>
      <c r="F46" s="108"/>
      <c r="G46" s="108"/>
      <c r="I46" s="69" t="s">
        <v>191</v>
      </c>
      <c r="J46" s="73">
        <v>0.34</v>
      </c>
    </row>
    <row r="47" spans="2:12" x14ac:dyDescent="0.3">
      <c r="B47" s="110">
        <v>0.15</v>
      </c>
      <c r="C47" s="111">
        <f>(NPV(B47,$E$24:$M$24,$N$22+$N$22*(1+$C$10)/(B47-$C$10)))*(1+B47)</f>
        <v>22026.549837640265</v>
      </c>
      <c r="D47" s="112"/>
      <c r="E47" s="119" t="s">
        <v>202</v>
      </c>
      <c r="G47" s="75">
        <v>500</v>
      </c>
      <c r="I47" s="78" t="s">
        <v>161</v>
      </c>
      <c r="J47" s="73">
        <f>J42*J45*(1-J46)+J44*J41</f>
        <v>8.737697901279555E-2</v>
      </c>
    </row>
    <row r="48" spans="2:12" x14ac:dyDescent="0.3">
      <c r="B48" s="110">
        <v>0.155</v>
      </c>
      <c r="C48" s="111">
        <f>(NPV(B48,$E$24:$M$24,$N$22+$N$22*(1+$C$10)/(B48-$C$10)))*(1+B48)</f>
        <v>21011.812854525531</v>
      </c>
      <c r="D48" s="112"/>
      <c r="G48" s="75"/>
    </row>
    <row r="49" spans="2:13" ht="16.2" thickBot="1" x14ac:dyDescent="0.35">
      <c r="B49" s="120">
        <v>0.16</v>
      </c>
      <c r="C49" s="121">
        <f>(NPV(B49,$E$24:$M$24,$N$22+$N$22*(1+$C$10)/(B49-$C$10)))*(1+B49)</f>
        <v>20074.619991076004</v>
      </c>
      <c r="D49" s="112"/>
      <c r="E49" s="108" t="s">
        <v>64</v>
      </c>
      <c r="F49" s="108"/>
      <c r="G49" s="108"/>
    </row>
    <row r="50" spans="2:13" x14ac:dyDescent="0.3">
      <c r="E50" s="122" t="s">
        <v>203</v>
      </c>
      <c r="G50" s="75">
        <v>300</v>
      </c>
      <c r="I50" s="108" t="s">
        <v>204</v>
      </c>
      <c r="J50" s="108"/>
    </row>
    <row r="51" spans="2:13" x14ac:dyDescent="0.3">
      <c r="E51" s="123" t="s">
        <v>205</v>
      </c>
      <c r="G51" s="75">
        <v>500</v>
      </c>
      <c r="I51" s="69" t="s">
        <v>194</v>
      </c>
      <c r="J51" s="76">
        <f>G40</f>
        <v>0.89333333333333342</v>
      </c>
    </row>
    <row r="52" spans="2:13" ht="16.2" thickBot="1" x14ac:dyDescent="0.35">
      <c r="E52" s="122" t="s">
        <v>206</v>
      </c>
      <c r="G52" s="75">
        <f>SUM(G50:G51)</f>
        <v>800</v>
      </c>
      <c r="I52" s="69" t="s">
        <v>204</v>
      </c>
      <c r="J52" s="125">
        <f>G41+G42*J51</f>
        <v>0.112</v>
      </c>
    </row>
    <row r="53" spans="2:13" ht="16.2" thickBot="1" x14ac:dyDescent="0.35">
      <c r="B53" s="103" t="s">
        <v>207</v>
      </c>
      <c r="C53" s="104"/>
      <c r="J53" s="73"/>
    </row>
    <row r="54" spans="2:13" ht="16.2" thickBot="1" x14ac:dyDescent="0.35">
      <c r="B54" s="106" t="s">
        <v>208</v>
      </c>
      <c r="C54" s="124" t="s">
        <v>182</v>
      </c>
      <c r="E54" s="108" t="s">
        <v>209</v>
      </c>
      <c r="F54" s="108"/>
      <c r="G54" s="108"/>
      <c r="J54" s="73"/>
      <c r="M54" s="113"/>
    </row>
    <row r="55" spans="2:13" x14ac:dyDescent="0.3">
      <c r="B55" s="110">
        <v>-0.02</v>
      </c>
      <c r="C55" s="111">
        <f>(NPV($C$9,$E$24:$M$24,$N$22+$N$22*(1+B55)/($C$9-B55)))*(1+$C$9)</f>
        <v>27159.351484204846</v>
      </c>
      <c r="E55" s="126" t="s">
        <v>167</v>
      </c>
      <c r="F55" s="101" t="s">
        <v>210</v>
      </c>
      <c r="G55" s="127">
        <v>0.15</v>
      </c>
      <c r="I55" s="78"/>
      <c r="J55" s="73"/>
      <c r="M55" s="113"/>
    </row>
    <row r="56" spans="2:13" x14ac:dyDescent="0.3">
      <c r="B56" s="110">
        <v>-1.4999999999999999E-2</v>
      </c>
      <c r="C56" s="111">
        <f>(NPV($C$9,$E$24:$M$24,$N$22+$N$22*(1+B56)/($C$9-B56)))*(1+$C$9)</f>
        <v>27744.777626341394</v>
      </c>
      <c r="E56" s="69" t="s">
        <v>211</v>
      </c>
      <c r="F56" s="69" t="s">
        <v>212</v>
      </c>
      <c r="G56" s="115"/>
    </row>
    <row r="57" spans="2:13" x14ac:dyDescent="0.3">
      <c r="B57" s="110">
        <v>-0.01</v>
      </c>
      <c r="C57" s="111">
        <f>(NPV($C$9,$E$24:$M$24,$N$22+$N$22*(1+B57)/($C$9-B57)))*(1+$C$9)</f>
        <v>28378.189517833398</v>
      </c>
      <c r="E57" s="69" t="s">
        <v>213</v>
      </c>
      <c r="F57" s="69" t="s">
        <v>212</v>
      </c>
      <c r="G57" s="115"/>
    </row>
    <row r="58" spans="2:13" x14ac:dyDescent="0.3">
      <c r="B58" s="110">
        <v>-5.0000000000000001E-3</v>
      </c>
      <c r="C58" s="111">
        <f>(NPV($C$9,$E$24:$M$24,$N$22+$N$22*(1+B58)/($C$9-B58)))*(1+$C$9)</f>
        <v>29065.739177828989</v>
      </c>
    </row>
    <row r="59" spans="2:13" x14ac:dyDescent="0.3">
      <c r="B59" s="110">
        <v>0</v>
      </c>
      <c r="C59" s="111">
        <f>(NPV($C$9,$E$24:$M$24,$N$22+$N$22*(1+B59)/($C$9-B59)))*(1+$C$9)</f>
        <v>29814.677200324193</v>
      </c>
    </row>
    <row r="60" spans="2:13" x14ac:dyDescent="0.3">
      <c r="B60" s="110">
        <v>5.0000000000000001E-3</v>
      </c>
      <c r="C60" s="111">
        <f>(NPV($C$9,$E$24:$M$24,$N$22+$N$22*(1+B60)/($C$9-B60)))*(1+$C$9)</f>
        <v>30633.609430529221</v>
      </c>
    </row>
    <row r="61" spans="2:13" x14ac:dyDescent="0.3">
      <c r="B61" s="110">
        <v>0.01</v>
      </c>
      <c r="C61" s="111">
        <f>(NPV($C$9,$E$24:$M$24,$N$22+$N$22*(1+B61)/($C$9-B61)))*(1+$C$9)</f>
        <v>31532.829134283769</v>
      </c>
    </row>
    <row r="62" spans="2:13" x14ac:dyDescent="0.3">
      <c r="B62" s="110">
        <v>1.4999999999999999E-2</v>
      </c>
      <c r="C62" s="111">
        <f>(NPV($C$9,$E$24:$M$24,$N$22+$N$22*(1+B62)/($C$9-B62)))*(1+$C$9)</f>
        <v>32524.751900281044</v>
      </c>
    </row>
    <row r="63" spans="2:13" x14ac:dyDescent="0.3">
      <c r="B63" s="110">
        <v>0.02</v>
      </c>
      <c r="C63" s="111">
        <f>(NPV($C$9,$E$24:$M$24,$N$22+$N$22*(1+B63)/($C$9-B63)))*(1+$C$9)</f>
        <v>33624.492358234558</v>
      </c>
    </row>
    <row r="64" spans="2:13" x14ac:dyDescent="0.3">
      <c r="B64" s="110">
        <v>2.5000000000000001E-2</v>
      </c>
      <c r="C64" s="111">
        <f>(NPV($C$9,$E$24:$M$24,$N$22+$N$22*(1+B64)/($C$9-B64)))*(1+$C$9)</f>
        <v>34850.639765378124</v>
      </c>
    </row>
    <row r="65" spans="2:3" x14ac:dyDescent="0.3">
      <c r="B65" s="110">
        <v>0.03</v>
      </c>
      <c r="C65" s="111">
        <f>(NPV($C$9,$E$24:$M$24,$N$22+$N$22*(1+B65)/($C$9-B65)))*(1+$C$9)</f>
        <v>36226.31734412456</v>
      </c>
    </row>
    <row r="66" spans="2:3" x14ac:dyDescent="0.3">
      <c r="B66" s="110">
        <v>3.5000000000000003E-2</v>
      </c>
      <c r="C66" s="111">
        <f>(NPV($C$9,$E$24:$M$24,$N$22+$N$22*(1+B66)/($C$9-B66)))*(1+$C$9)</f>
        <v>37780.654348682227</v>
      </c>
    </row>
    <row r="67" spans="2:3" x14ac:dyDescent="0.3">
      <c r="B67" s="110">
        <v>0.04</v>
      </c>
      <c r="C67" s="111">
        <f>(NPV($C$9,$E$24:$M$24,$N$22+$N$22*(1+B67)/($C$9-B67)))*(1+$C$9)</f>
        <v>39550.871492761791</v>
      </c>
    </row>
    <row r="68" spans="2:3" x14ac:dyDescent="0.3">
      <c r="B68" s="110">
        <v>4.4999999999999998E-2</v>
      </c>
      <c r="C68" s="111">
        <f>(NPV($C$9,$E$24:$M$24,$N$22+$N$22*(1+B68)/($C$9-B68)))*(1+$C$9)</f>
        <v>41585.300150883078</v>
      </c>
    </row>
    <row r="69" spans="2:3" x14ac:dyDescent="0.3">
      <c r="B69" s="110">
        <v>0.05</v>
      </c>
      <c r="C69" s="111">
        <f>(NPV($C$9,$E$24:$M$24,$N$22+$N$22*(1+B69)/($C$9-B69)))*(1+$C$9)</f>
        <v>43947.862463540063</v>
      </c>
    </row>
    <row r="70" spans="2:3" x14ac:dyDescent="0.3">
      <c r="B70" s="110">
        <v>5.5E-2</v>
      </c>
      <c r="C70" s="111">
        <f>(NPV($C$9,$E$24:$M$24,$N$22+$N$22*(1+B70)/($C$9-B70)))*(1+$C$9)</f>
        <v>46724.909392452653</v>
      </c>
    </row>
    <row r="71" spans="2:3" ht="16.2" thickBot="1" x14ac:dyDescent="0.35">
      <c r="B71" s="120">
        <v>0.06</v>
      </c>
      <c r="C71" s="121">
        <f>(NPV($C$9,$E$24:$M$24,$N$22+$N$22*(1+B71)/($C$9-B71)))*(1+$C$9)</f>
        <v>50036.003807694593</v>
      </c>
    </row>
  </sheetData>
  <mergeCells count="12">
    <mergeCell ref="I40:J40"/>
    <mergeCell ref="E46:G46"/>
    <mergeCell ref="E49:G49"/>
    <mergeCell ref="I50:J50"/>
    <mergeCell ref="B53:C53"/>
    <mergeCell ref="E54:G54"/>
    <mergeCell ref="B1:L1"/>
    <mergeCell ref="B2:L2"/>
    <mergeCell ref="B31:C31"/>
    <mergeCell ref="E32:G32"/>
    <mergeCell ref="I32:J32"/>
    <mergeCell ref="E38:G38"/>
  </mergeCells>
  <conditionalFormatting sqref="B33:B49">
    <cfRule type="expression" dxfId="7" priority="1">
      <formula>ABS(B33-$C$9)=MIN(ABS($B$33:$B$49-$C$9))</formula>
    </cfRule>
  </conditionalFormatting>
  <conditionalFormatting sqref="B55:B71">
    <cfRule type="expression" dxfId="6" priority="2">
      <formula>ABS(B55-$C$10)=MIN(ABS($B$33:$B$49-$C$10))</formula>
    </cfRule>
  </conditionalFormatting>
  <pageMargins left="0.75" right="0.75" top="1" bottom="1" header="0.5" footer="0.5"/>
  <pageSetup scale="39" orientation="landscape" horizontalDpi="4294967292" verticalDpi="4294967292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sqref="A1:K1"/>
    </sheetView>
  </sheetViews>
  <sheetFormatPr defaultRowHeight="13.2" x14ac:dyDescent="0.25"/>
  <cols>
    <col min="1" max="1" width="38.44140625" customWidth="1"/>
    <col min="2" max="11" width="8.33203125" customWidth="1"/>
  </cols>
  <sheetData>
    <row r="1" spans="1:11" x14ac:dyDescent="0.25">
      <c r="A1" s="61" t="s">
        <v>135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</row>
    <row r="3" spans="1:11" x14ac:dyDescent="0.25">
      <c r="A3" s="14"/>
      <c r="B3" s="17">
        <v>1989</v>
      </c>
      <c r="C3" s="17">
        <v>1990</v>
      </c>
      <c r="D3" s="17">
        <v>1991</v>
      </c>
      <c r="E3" s="17">
        <v>1992</v>
      </c>
      <c r="F3" s="17">
        <v>1993</v>
      </c>
      <c r="G3" s="17">
        <v>1994</v>
      </c>
      <c r="H3" s="17">
        <v>1995</v>
      </c>
      <c r="I3" s="17">
        <v>1996</v>
      </c>
      <c r="J3" s="17">
        <v>1997</v>
      </c>
      <c r="K3" s="17">
        <v>1998</v>
      </c>
    </row>
    <row r="4" spans="1:11" x14ac:dyDescent="0.25">
      <c r="A4" s="8" t="s">
        <v>115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104</v>
      </c>
      <c r="B5" s="33">
        <v>7650</v>
      </c>
      <c r="C5" s="33">
        <v>8293</v>
      </c>
      <c r="D5" s="33">
        <v>8983</v>
      </c>
      <c r="E5" s="33">
        <v>9731</v>
      </c>
      <c r="F5" s="33">
        <v>10540</v>
      </c>
      <c r="G5" s="33">
        <v>11418</v>
      </c>
      <c r="H5" s="33">
        <v>12368</v>
      </c>
      <c r="I5" s="33">
        <v>13397</v>
      </c>
      <c r="J5" s="33">
        <v>14514</v>
      </c>
      <c r="K5" s="33">
        <v>15723</v>
      </c>
    </row>
    <row r="6" spans="1:11" x14ac:dyDescent="0.25">
      <c r="A6" s="1" t="s">
        <v>105</v>
      </c>
      <c r="B6" s="33">
        <v>8540</v>
      </c>
      <c r="C6" s="33">
        <v>6930</v>
      </c>
      <c r="D6" s="33">
        <v>7485</v>
      </c>
      <c r="E6" s="33">
        <v>8084</v>
      </c>
      <c r="F6" s="33">
        <v>8730</v>
      </c>
      <c r="G6" s="33">
        <v>9428</v>
      </c>
      <c r="H6" s="33">
        <v>10183</v>
      </c>
      <c r="I6" s="33">
        <v>10997</v>
      </c>
      <c r="J6" s="33">
        <v>11877</v>
      </c>
      <c r="K6" s="33">
        <v>12827</v>
      </c>
    </row>
    <row r="7" spans="1:11" x14ac:dyDescent="0.25">
      <c r="A7" s="27" t="s">
        <v>5</v>
      </c>
      <c r="B7" s="49">
        <v>16190</v>
      </c>
      <c r="C7" s="49">
        <v>15223</v>
      </c>
      <c r="D7" s="49">
        <v>16468</v>
      </c>
      <c r="E7" s="49">
        <v>17815</v>
      </c>
      <c r="F7" s="49">
        <v>19270</v>
      </c>
      <c r="G7" s="49">
        <v>20846</v>
      </c>
      <c r="H7" s="49">
        <v>22551</v>
      </c>
      <c r="I7" s="49">
        <v>24394</v>
      </c>
      <c r="J7" s="49">
        <v>26391</v>
      </c>
      <c r="K7" s="49">
        <v>28550</v>
      </c>
    </row>
    <row r="8" spans="1:11" x14ac:dyDescent="0.25">
      <c r="A8" s="1" t="s">
        <v>33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1" x14ac:dyDescent="0.25">
      <c r="A9" s="1" t="s">
        <v>106</v>
      </c>
      <c r="B9" s="33">
        <v>2022</v>
      </c>
      <c r="C9" s="33">
        <v>2360</v>
      </c>
      <c r="D9" s="33">
        <v>2786</v>
      </c>
      <c r="E9" s="33">
        <v>3071</v>
      </c>
      <c r="F9" s="33">
        <v>3386</v>
      </c>
      <c r="G9" s="33">
        <v>3733</v>
      </c>
      <c r="H9" s="33">
        <v>4115</v>
      </c>
      <c r="I9" s="33">
        <v>4534</v>
      </c>
      <c r="J9" s="33">
        <v>4998</v>
      </c>
      <c r="K9" s="33">
        <v>5508</v>
      </c>
    </row>
    <row r="10" spans="1:11" x14ac:dyDescent="0.25">
      <c r="A10" s="1" t="s">
        <v>107</v>
      </c>
      <c r="B10" s="33">
        <v>1060</v>
      </c>
      <c r="C10" s="33">
        <v>1026</v>
      </c>
      <c r="D10" s="33">
        <v>1191</v>
      </c>
      <c r="E10" s="33">
        <v>1245</v>
      </c>
      <c r="F10" s="33">
        <v>1307</v>
      </c>
      <c r="G10" s="33">
        <v>1367</v>
      </c>
      <c r="H10" s="33">
        <v>1430</v>
      </c>
      <c r="I10" s="33">
        <v>1494</v>
      </c>
      <c r="J10" s="33">
        <v>1561</v>
      </c>
      <c r="K10" s="33">
        <v>1630</v>
      </c>
    </row>
    <row r="11" spans="1:11" x14ac:dyDescent="0.25">
      <c r="A11" s="1" t="s">
        <v>108</v>
      </c>
      <c r="B11" s="47">
        <v>-219</v>
      </c>
      <c r="C11" s="47">
        <v>-158</v>
      </c>
      <c r="D11" s="47">
        <v>-167</v>
      </c>
      <c r="E11" s="47">
        <v>-176</v>
      </c>
      <c r="F11" s="47">
        <v>-185</v>
      </c>
      <c r="G11" s="47">
        <v>-194</v>
      </c>
      <c r="H11" s="47">
        <v>-203</v>
      </c>
      <c r="I11" s="47">
        <v>-213</v>
      </c>
      <c r="J11" s="47">
        <v>-224</v>
      </c>
      <c r="K11" s="47">
        <v>-235</v>
      </c>
    </row>
    <row r="12" spans="1:11" x14ac:dyDescent="0.25">
      <c r="A12" s="27" t="s">
        <v>5</v>
      </c>
      <c r="B12" s="49">
        <v>2862</v>
      </c>
      <c r="C12" s="49">
        <v>3228</v>
      </c>
      <c r="D12" s="49">
        <v>3811</v>
      </c>
      <c r="E12" s="49">
        <v>4140</v>
      </c>
      <c r="F12" s="49">
        <v>4508</v>
      </c>
      <c r="G12" s="49">
        <v>4906</v>
      </c>
      <c r="H12" s="49">
        <v>5341</v>
      </c>
      <c r="I12" s="49">
        <v>5815</v>
      </c>
      <c r="J12" s="49">
        <v>6335</v>
      </c>
      <c r="K12" s="49">
        <v>6902</v>
      </c>
    </row>
    <row r="13" spans="1:11" x14ac:dyDescent="0.25">
      <c r="A13" s="1" t="s">
        <v>132</v>
      </c>
      <c r="B13" s="33">
        <v>2754</v>
      </c>
      <c r="C13" s="33">
        <v>2341</v>
      </c>
      <c r="D13" s="33">
        <v>1997</v>
      </c>
      <c r="E13" s="33">
        <v>1888</v>
      </c>
      <c r="F13" s="33">
        <v>1321</v>
      </c>
      <c r="G13" s="33">
        <v>1088</v>
      </c>
      <c r="H13" s="34">
        <v>806</v>
      </c>
      <c r="I13" s="34">
        <v>487</v>
      </c>
      <c r="J13" s="34">
        <v>21</v>
      </c>
      <c r="K13" s="34">
        <v>0</v>
      </c>
    </row>
    <row r="14" spans="1:11" ht="15.6" x14ac:dyDescent="0.25">
      <c r="A14" s="1" t="s">
        <v>128</v>
      </c>
      <c r="B14" s="34">
        <v>388</v>
      </c>
      <c r="C14" s="34">
        <v>388</v>
      </c>
      <c r="D14" s="34">
        <v>388</v>
      </c>
      <c r="E14" s="34">
        <v>388</v>
      </c>
      <c r="F14" s="34">
        <v>388</v>
      </c>
      <c r="G14" s="34">
        <v>388</v>
      </c>
      <c r="H14" s="34">
        <v>388</v>
      </c>
      <c r="I14" s="34">
        <v>388</v>
      </c>
      <c r="J14" s="34">
        <v>388</v>
      </c>
      <c r="K14" s="34">
        <v>388</v>
      </c>
    </row>
    <row r="15" spans="1:11" x14ac:dyDescent="0.25">
      <c r="A15" s="1" t="s">
        <v>116</v>
      </c>
      <c r="B15" s="47">
        <v>-281</v>
      </c>
      <c r="C15" s="34">
        <v>233</v>
      </c>
      <c r="D15" s="34">
        <v>845</v>
      </c>
      <c r="E15" s="38">
        <v>1134</v>
      </c>
      <c r="F15" s="38">
        <v>1751</v>
      </c>
      <c r="G15" s="38">
        <v>2168</v>
      </c>
      <c r="H15" s="38">
        <v>2641</v>
      </c>
      <c r="I15" s="38">
        <v>3164</v>
      </c>
      <c r="J15" s="38">
        <v>3814</v>
      </c>
      <c r="K15" s="38">
        <v>4203</v>
      </c>
    </row>
    <row r="16" spans="1:11" x14ac:dyDescent="0.25">
      <c r="A16" s="1" t="s">
        <v>133</v>
      </c>
      <c r="B16" s="33">
        <v>1159</v>
      </c>
      <c r="C16" s="34">
        <v>991</v>
      </c>
      <c r="D16" s="34">
        <v>899</v>
      </c>
      <c r="E16" s="34">
        <v>907</v>
      </c>
      <c r="F16" s="34">
        <v>920</v>
      </c>
      <c r="G16" s="34">
        <v>924</v>
      </c>
      <c r="H16" s="34">
        <v>928</v>
      </c>
      <c r="I16" s="34">
        <v>933</v>
      </c>
      <c r="J16" s="34">
        <v>939</v>
      </c>
      <c r="K16" s="34">
        <v>945</v>
      </c>
    </row>
    <row r="17" spans="1:14" x14ac:dyDescent="0.25">
      <c r="A17" s="1" t="s">
        <v>93</v>
      </c>
      <c r="B17" s="34">
        <v>774</v>
      </c>
      <c r="C17" s="34">
        <v>556</v>
      </c>
      <c r="D17" s="34">
        <v>555</v>
      </c>
      <c r="E17" s="34">
        <v>572</v>
      </c>
      <c r="F17" s="34">
        <v>586</v>
      </c>
      <c r="G17" s="34">
        <v>598</v>
      </c>
      <c r="H17" s="34">
        <v>618</v>
      </c>
      <c r="I17" s="34">
        <v>638</v>
      </c>
      <c r="J17" s="34">
        <v>658</v>
      </c>
      <c r="K17" s="34">
        <v>678</v>
      </c>
    </row>
    <row r="18" spans="1:14" x14ac:dyDescent="0.25">
      <c r="A18" s="1" t="s">
        <v>111</v>
      </c>
      <c r="B18" s="34">
        <v>79</v>
      </c>
      <c r="C18" s="34">
        <v>84</v>
      </c>
      <c r="D18" s="34">
        <f>RJRPrebid!B16</f>
        <v>1142</v>
      </c>
      <c r="E18" s="34">
        <f>RJRPrebid!C16</f>
        <v>1708</v>
      </c>
      <c r="F18" s="34">
        <f>RJRPrebid!D16</f>
        <v>1462</v>
      </c>
      <c r="G18" s="34">
        <f>RJRPrebid!E16</f>
        <v>1345</v>
      </c>
      <c r="H18" s="34">
        <f>RJRPrebid!F16</f>
        <v>930</v>
      </c>
      <c r="I18" s="34">
        <f>RJRPrebid!G16</f>
        <v>738</v>
      </c>
      <c r="J18" s="34">
        <f>RJRPrebid!H16</f>
        <v>735</v>
      </c>
      <c r="K18" s="34">
        <f>RJRPrebid!I16</f>
        <v>735</v>
      </c>
      <c r="L18" s="34">
        <f>RJRPrebid!J16</f>
        <v>735</v>
      </c>
      <c r="M18" s="34">
        <f>RJRPrebid!K16</f>
        <v>735</v>
      </c>
      <c r="N18" s="34">
        <f>RJRPrebid!L16</f>
        <v>735</v>
      </c>
    </row>
    <row r="19" spans="1:14" x14ac:dyDescent="0.25">
      <c r="A19" s="1" t="s">
        <v>134</v>
      </c>
      <c r="B19" s="34">
        <v>206</v>
      </c>
      <c r="C19" s="34">
        <v>237</v>
      </c>
      <c r="D19" s="34">
        <v>312</v>
      </c>
      <c r="E19" s="34">
        <v>366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</row>
    <row r="20" spans="1:14" x14ac:dyDescent="0.25">
      <c r="A20" s="1" t="s">
        <v>117</v>
      </c>
      <c r="B20" s="33">
        <v>3500</v>
      </c>
      <c r="C20" s="33">
        <v>2700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</row>
    <row r="21" spans="1:14" ht="15.6" x14ac:dyDescent="0.25">
      <c r="A21" s="1" t="s">
        <v>129</v>
      </c>
      <c r="B21" s="33">
        <v>3732</v>
      </c>
      <c r="C21" s="33">
        <v>3521</v>
      </c>
      <c r="D21" s="34">
        <v>1414</v>
      </c>
      <c r="E21" s="34">
        <v>1740</v>
      </c>
      <c r="F21" s="34">
        <v>1983</v>
      </c>
      <c r="G21" s="34">
        <v>2383</v>
      </c>
      <c r="H21" s="34">
        <v>2832</v>
      </c>
      <c r="I21" s="34">
        <v>3300</v>
      </c>
      <c r="J21" s="34">
        <v>3956</v>
      </c>
      <c r="K21" s="34">
        <v>4319</v>
      </c>
    </row>
    <row r="22" spans="1:14" x14ac:dyDescent="0.25">
      <c r="A22" s="1"/>
      <c r="B22" s="33"/>
      <c r="C22" s="33"/>
      <c r="D22" s="34"/>
      <c r="E22" s="34"/>
      <c r="F22" s="34"/>
      <c r="G22" s="34"/>
      <c r="H22" s="34"/>
      <c r="I22" s="34"/>
      <c r="J22" s="34"/>
      <c r="K22" s="34"/>
    </row>
    <row r="23" spans="1:14" x14ac:dyDescent="0.25">
      <c r="A23" s="1"/>
      <c r="B23" s="33"/>
      <c r="C23" s="33"/>
      <c r="D23" s="34"/>
      <c r="E23" s="34"/>
      <c r="F23" s="34"/>
      <c r="G23" s="34"/>
      <c r="H23" s="34"/>
      <c r="I23" s="34"/>
      <c r="J23" s="34"/>
      <c r="K23" s="34"/>
    </row>
    <row r="24" spans="1:14" x14ac:dyDescent="0.25">
      <c r="A24" s="8" t="s">
        <v>118</v>
      </c>
      <c r="B24" s="33"/>
      <c r="C24" s="33"/>
      <c r="D24" s="34"/>
      <c r="E24" s="34"/>
      <c r="F24" s="34"/>
      <c r="G24" s="34"/>
      <c r="H24" s="34"/>
      <c r="I24" s="34"/>
      <c r="J24" s="34"/>
      <c r="K24" s="34"/>
    </row>
    <row r="25" spans="1:14" x14ac:dyDescent="0.25">
      <c r="A25" s="1" t="s">
        <v>120</v>
      </c>
      <c r="B25" s="34">
        <v>310</v>
      </c>
      <c r="C25" s="34">
        <v>375</v>
      </c>
      <c r="D25" s="34">
        <v>721</v>
      </c>
      <c r="E25" s="34">
        <v>816</v>
      </c>
      <c r="F25" s="34">
        <v>400</v>
      </c>
      <c r="G25" s="34">
        <v>400</v>
      </c>
      <c r="H25" s="33">
        <v>2182</v>
      </c>
      <c r="I25" s="34">
        <v>0</v>
      </c>
      <c r="J25" s="34">
        <v>0</v>
      </c>
      <c r="K25" s="34">
        <v>0</v>
      </c>
    </row>
    <row r="26" spans="1:14" x14ac:dyDescent="0.25">
      <c r="A26" s="1" t="s">
        <v>121</v>
      </c>
      <c r="B26" s="33">
        <v>3422</v>
      </c>
      <c r="C26" s="33">
        <v>3146</v>
      </c>
      <c r="D26" s="34">
        <v>693</v>
      </c>
      <c r="E26" s="34">
        <v>924</v>
      </c>
      <c r="F26" s="33">
        <v>1583</v>
      </c>
      <c r="G26" s="33">
        <v>1983</v>
      </c>
      <c r="H26" s="34">
        <v>629</v>
      </c>
      <c r="I26" s="34">
        <v>0</v>
      </c>
      <c r="J26" s="34">
        <v>0</v>
      </c>
      <c r="K26" s="34">
        <v>0</v>
      </c>
    </row>
    <row r="27" spans="1:14" x14ac:dyDescent="0.25">
      <c r="A27" s="1" t="s">
        <v>122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21</v>
      </c>
      <c r="I27" s="33">
        <v>3330</v>
      </c>
      <c r="J27" s="34">
        <v>149</v>
      </c>
      <c r="K27" s="34">
        <v>0</v>
      </c>
    </row>
    <row r="28" spans="1:14" x14ac:dyDescent="0.25">
      <c r="A28" s="1" t="s">
        <v>123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3">
        <v>3806</v>
      </c>
      <c r="K28" s="33">
        <v>4319</v>
      </c>
    </row>
    <row r="29" spans="1:14" x14ac:dyDescent="0.25">
      <c r="A29" s="27" t="s">
        <v>5</v>
      </c>
      <c r="B29" s="49">
        <v>3732</v>
      </c>
      <c r="C29" s="49">
        <v>3521</v>
      </c>
      <c r="D29" s="49">
        <v>1414</v>
      </c>
      <c r="E29" s="49">
        <v>1740</v>
      </c>
      <c r="F29" s="49">
        <v>1983</v>
      </c>
      <c r="G29" s="49">
        <v>2383</v>
      </c>
      <c r="H29" s="49">
        <v>2832</v>
      </c>
      <c r="I29" s="49">
        <v>3330</v>
      </c>
      <c r="J29" s="49">
        <v>3956</v>
      </c>
      <c r="K29" s="49">
        <v>4319</v>
      </c>
    </row>
    <row r="30" spans="1:14" x14ac:dyDescent="0.25">
      <c r="A30" s="1" t="s">
        <v>125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 spans="1:14" x14ac:dyDescent="0.25">
      <c r="A31" s="1" t="s">
        <v>120</v>
      </c>
      <c r="B31" s="33">
        <v>4894</v>
      </c>
      <c r="C31" s="33">
        <v>4519</v>
      </c>
      <c r="D31" s="33">
        <v>3798</v>
      </c>
      <c r="E31" s="33">
        <v>2982</v>
      </c>
      <c r="F31" s="33">
        <v>2582</v>
      </c>
      <c r="G31" s="33">
        <v>2182</v>
      </c>
      <c r="H31" s="34">
        <v>0</v>
      </c>
      <c r="I31" s="34">
        <v>0</v>
      </c>
      <c r="J31" s="34">
        <v>0</v>
      </c>
      <c r="K31" s="34">
        <v>0</v>
      </c>
    </row>
    <row r="32" spans="1:14" x14ac:dyDescent="0.25">
      <c r="A32" s="1" t="s">
        <v>121</v>
      </c>
      <c r="B32" s="33">
        <v>8958</v>
      </c>
      <c r="C32" s="33">
        <v>5812</v>
      </c>
      <c r="D32" s="33">
        <v>5119</v>
      </c>
      <c r="E32" s="33">
        <v>4195</v>
      </c>
      <c r="F32" s="33">
        <v>2612</v>
      </c>
      <c r="G32" s="34">
        <v>629</v>
      </c>
      <c r="H32" s="34">
        <v>0</v>
      </c>
      <c r="I32" s="34">
        <v>0</v>
      </c>
      <c r="J32" s="34">
        <v>0</v>
      </c>
      <c r="K32" s="34">
        <v>0</v>
      </c>
    </row>
    <row r="33" spans="1:11" x14ac:dyDescent="0.25">
      <c r="A33" s="1" t="s">
        <v>122</v>
      </c>
      <c r="B33" s="33">
        <v>3500</v>
      </c>
      <c r="C33" s="33">
        <v>3500</v>
      </c>
      <c r="D33" s="33">
        <v>3500</v>
      </c>
      <c r="E33" s="33">
        <v>3500</v>
      </c>
      <c r="F33" s="33">
        <v>3500</v>
      </c>
      <c r="G33" s="33">
        <v>3500</v>
      </c>
      <c r="H33" s="33">
        <v>3470</v>
      </c>
      <c r="I33" s="34">
        <v>149</v>
      </c>
      <c r="J33" s="34">
        <v>0</v>
      </c>
      <c r="K33" s="34">
        <v>0</v>
      </c>
    </row>
    <row r="34" spans="1:11" ht="15.6" x14ac:dyDescent="0.25">
      <c r="A34" s="1" t="s">
        <v>136</v>
      </c>
      <c r="B34" s="33">
        <v>1580</v>
      </c>
      <c r="C34" s="33">
        <v>1817</v>
      </c>
      <c r="D34" s="33">
        <v>2129</v>
      </c>
      <c r="E34" s="33">
        <v>2495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</row>
    <row r="35" spans="1:11" x14ac:dyDescent="0.25">
      <c r="A35" s="27" t="s">
        <v>5</v>
      </c>
      <c r="B35" s="49">
        <v>18932</v>
      </c>
      <c r="C35" s="49">
        <v>15648</v>
      </c>
      <c r="D35" s="49">
        <v>14546</v>
      </c>
      <c r="E35" s="49">
        <v>13172</v>
      </c>
      <c r="F35" s="49">
        <v>8694</v>
      </c>
      <c r="G35" s="49">
        <v>6311</v>
      </c>
      <c r="H35" s="49">
        <v>3470</v>
      </c>
      <c r="I35" s="48">
        <v>149</v>
      </c>
      <c r="J35" s="48">
        <v>0</v>
      </c>
      <c r="K35" s="48">
        <v>0</v>
      </c>
    </row>
    <row r="36" spans="1:11" x14ac:dyDescent="0.25">
      <c r="A36" s="1" t="s">
        <v>123</v>
      </c>
      <c r="B36" s="33">
        <v>2896</v>
      </c>
      <c r="C36" s="33">
        <v>3331</v>
      </c>
      <c r="D36" s="33">
        <v>3958</v>
      </c>
      <c r="E36" s="33">
        <v>4702</v>
      </c>
      <c r="F36" s="33">
        <v>5586</v>
      </c>
      <c r="G36" s="33">
        <v>6636</v>
      </c>
      <c r="H36" s="33">
        <v>7883</v>
      </c>
      <c r="I36" s="33">
        <v>9365</v>
      </c>
      <c r="J36" s="33">
        <v>7320</v>
      </c>
      <c r="K36" s="33">
        <v>4377</v>
      </c>
    </row>
    <row r="37" spans="1:11" x14ac:dyDescent="0.25">
      <c r="A37" s="1" t="s">
        <v>126</v>
      </c>
      <c r="B37" s="33">
        <v>1219</v>
      </c>
      <c r="C37" s="33">
        <v>1452</v>
      </c>
      <c r="D37" s="33">
        <v>2297</v>
      </c>
      <c r="E37" s="33">
        <v>3430</v>
      </c>
      <c r="F37" s="33">
        <v>7676</v>
      </c>
      <c r="G37" s="33">
        <v>9844</v>
      </c>
      <c r="H37" s="33">
        <v>12485</v>
      </c>
      <c r="I37" s="33">
        <v>15648</v>
      </c>
      <c r="J37" s="33">
        <v>19463</v>
      </c>
      <c r="K37" s="33">
        <v>23666</v>
      </c>
    </row>
    <row r="38" spans="1:11" x14ac:dyDescent="0.25">
      <c r="A38" s="40" t="s">
        <v>5</v>
      </c>
      <c r="B38" s="50">
        <v>4115</v>
      </c>
      <c r="C38" s="50">
        <v>4783</v>
      </c>
      <c r="D38" s="50">
        <v>6255</v>
      </c>
      <c r="E38" s="50">
        <v>8132</v>
      </c>
      <c r="F38" s="50">
        <v>13262</v>
      </c>
      <c r="G38" s="50">
        <v>16480</v>
      </c>
      <c r="H38" s="50">
        <v>20368</v>
      </c>
      <c r="I38" s="50">
        <v>25013</v>
      </c>
      <c r="J38" s="50">
        <v>26783</v>
      </c>
      <c r="K38" s="50">
        <v>28043</v>
      </c>
    </row>
    <row r="39" spans="1:11" x14ac:dyDescent="0.25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</row>
    <row r="40" spans="1:11" x14ac:dyDescent="0.25">
      <c r="A40" s="55" t="s">
        <v>112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</row>
    <row r="41" spans="1:11" x14ac:dyDescent="0.25">
      <c r="A41" s="52"/>
      <c r="B41" s="60"/>
      <c r="C41" s="60"/>
      <c r="D41" s="60"/>
      <c r="E41" s="60"/>
      <c r="F41" s="60"/>
      <c r="G41" s="60"/>
      <c r="H41" s="60"/>
      <c r="I41" s="60"/>
      <c r="J41" s="60"/>
      <c r="K41" s="60"/>
    </row>
    <row r="42" spans="1:11" ht="25.5" customHeight="1" x14ac:dyDescent="0.25">
      <c r="A42" s="62" t="s">
        <v>137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</row>
    <row r="43" spans="1:11" x14ac:dyDescent="0.25">
      <c r="A43" s="64"/>
      <c r="B43" s="60"/>
      <c r="C43" s="60"/>
      <c r="D43" s="60"/>
      <c r="E43" s="60"/>
      <c r="F43" s="60"/>
      <c r="G43" s="60"/>
      <c r="H43" s="60"/>
      <c r="I43" s="60"/>
      <c r="J43" s="60"/>
      <c r="K43" s="60"/>
    </row>
    <row r="44" spans="1:11" ht="25.5" customHeight="1" x14ac:dyDescent="0.25">
      <c r="A44" s="62" t="s">
        <v>138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spans="1:11" x14ac:dyDescent="0.25">
      <c r="A45" s="64"/>
      <c r="B45" s="60"/>
      <c r="C45" s="60"/>
      <c r="D45" s="60"/>
      <c r="E45" s="60"/>
      <c r="F45" s="60"/>
      <c r="G45" s="60"/>
      <c r="H45" s="60"/>
      <c r="I45" s="60"/>
      <c r="J45" s="60"/>
      <c r="K45" s="60"/>
    </row>
    <row r="46" spans="1:11" x14ac:dyDescent="0.25">
      <c r="A46" s="62" t="s">
        <v>139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mergeCells count="10">
    <mergeCell ref="A46:K46"/>
    <mergeCell ref="A42:K42"/>
    <mergeCell ref="A43:K43"/>
    <mergeCell ref="A44:K44"/>
    <mergeCell ref="A45:K45"/>
    <mergeCell ref="A1:K1"/>
    <mergeCell ref="A2:K2"/>
    <mergeCell ref="A40:K40"/>
    <mergeCell ref="A41:K41"/>
    <mergeCell ref="A39:K39"/>
  </mergeCells>
  <phoneticPr fontId="2" type="noConversion"/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topLeftCell="C1" zoomScaleNormal="110" workbookViewId="0">
      <selection activeCell="N23" sqref="N23"/>
    </sheetView>
  </sheetViews>
  <sheetFormatPr defaultColWidth="10.77734375" defaultRowHeight="15.6" x14ac:dyDescent="0.3"/>
  <cols>
    <col min="1" max="1" width="10.77734375" style="69"/>
    <col min="2" max="2" width="34.33203125" style="69" customWidth="1"/>
    <col min="3" max="4" width="13.5546875" style="69" bestFit="1" customWidth="1"/>
    <col min="5" max="5" width="13.44140625" style="69" customWidth="1"/>
    <col min="6" max="9" width="13.5546875" style="69" bestFit="1" customWidth="1"/>
    <col min="10" max="10" width="12.44140625" style="69" customWidth="1"/>
    <col min="11" max="17" width="12.6640625" style="69" customWidth="1"/>
    <col min="18" max="16384" width="10.77734375" style="69"/>
  </cols>
  <sheetData>
    <row r="1" spans="2:17" x14ac:dyDescent="0.3">
      <c r="B1" s="68" t="s">
        <v>266</v>
      </c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2:17" x14ac:dyDescent="0.3">
      <c r="B2" s="70" t="s">
        <v>150</v>
      </c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2:17" x14ac:dyDescent="0.3">
      <c r="C3" s="71"/>
      <c r="D3" s="71">
        <v>0</v>
      </c>
      <c r="E3" s="71">
        <v>1</v>
      </c>
      <c r="F3" s="71">
        <v>2</v>
      </c>
      <c r="G3" s="71">
        <v>3</v>
      </c>
      <c r="H3" s="71">
        <v>4</v>
      </c>
      <c r="I3" s="71">
        <v>5</v>
      </c>
      <c r="J3" s="71">
        <v>6</v>
      </c>
      <c r="K3" s="71">
        <v>7</v>
      </c>
      <c r="L3" s="71">
        <v>8</v>
      </c>
      <c r="M3" s="71">
        <v>9</v>
      </c>
      <c r="N3" s="71">
        <v>10</v>
      </c>
      <c r="O3" s="71"/>
      <c r="P3" s="71"/>
      <c r="Q3" s="71"/>
    </row>
    <row r="4" spans="2:17" x14ac:dyDescent="0.3">
      <c r="C4" s="72" t="s">
        <v>258</v>
      </c>
      <c r="D4" s="72" t="s">
        <v>259</v>
      </c>
      <c r="E4" s="72" t="str">
        <f>(LEFT($D$4,4)+E3)&amp;"E"</f>
        <v>1989E</v>
      </c>
      <c r="F4" s="72" t="str">
        <f t="shared" ref="F4:N4" si="0">(LEFT($D$4,4)+F3)&amp;"E"</f>
        <v>1990E</v>
      </c>
      <c r="G4" s="72" t="str">
        <f t="shared" si="0"/>
        <v>1991E</v>
      </c>
      <c r="H4" s="72" t="str">
        <f t="shared" si="0"/>
        <v>1992E</v>
      </c>
      <c r="I4" s="72" t="str">
        <f t="shared" si="0"/>
        <v>1993E</v>
      </c>
      <c r="J4" s="72" t="str">
        <f t="shared" si="0"/>
        <v>1994E</v>
      </c>
      <c r="K4" s="72" t="str">
        <f t="shared" si="0"/>
        <v>1995E</v>
      </c>
      <c r="L4" s="72" t="str">
        <f t="shared" si="0"/>
        <v>1996E</v>
      </c>
      <c r="M4" s="72" t="str">
        <f t="shared" si="0"/>
        <v>1997E</v>
      </c>
      <c r="N4" s="72" t="str">
        <f t="shared" si="0"/>
        <v>1998E</v>
      </c>
      <c r="O4" s="72"/>
      <c r="P4" s="72"/>
      <c r="Q4" s="72"/>
    </row>
    <row r="5" spans="2:17" x14ac:dyDescent="0.3">
      <c r="B5" s="69" t="s">
        <v>157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</row>
    <row r="6" spans="2:17" x14ac:dyDescent="0.3">
      <c r="B6" s="69" t="s">
        <v>158</v>
      </c>
      <c r="C6" s="73">
        <v>0.34</v>
      </c>
      <c r="D6" s="73">
        <v>0.34</v>
      </c>
      <c r="E6" s="73">
        <v>0.34</v>
      </c>
      <c r="F6" s="73">
        <v>0.34</v>
      </c>
      <c r="G6" s="73">
        <v>0.34</v>
      </c>
      <c r="H6" s="73">
        <v>0.34</v>
      </c>
      <c r="I6" s="73">
        <v>0.34</v>
      </c>
      <c r="J6" s="73">
        <v>0.34</v>
      </c>
      <c r="K6" s="73">
        <v>0.34</v>
      </c>
      <c r="L6" s="73">
        <v>0.34</v>
      </c>
      <c r="M6" s="73">
        <v>0.34</v>
      </c>
      <c r="N6" s="73">
        <v>0.34</v>
      </c>
      <c r="O6" s="73"/>
      <c r="P6" s="73"/>
      <c r="Q6" s="73"/>
    </row>
    <row r="7" spans="2:17" x14ac:dyDescent="0.3">
      <c r="B7" s="69" t="s">
        <v>159</v>
      </c>
      <c r="C7" s="74"/>
      <c r="D7" s="74">
        <f>E16/C16-1</f>
        <v>-1.2324234904880067</v>
      </c>
      <c r="E7" s="74">
        <f>F16/E16-1</f>
        <v>-1.8291814946619218</v>
      </c>
      <c r="F7" s="74">
        <f>G16/F16-1</f>
        <v>2.6266094420600856</v>
      </c>
      <c r="G7" s="74">
        <f>H16/G16-1</f>
        <v>0.34201183431952664</v>
      </c>
      <c r="H7" s="74">
        <f>I16/H16-1</f>
        <v>0.54409171075837737</v>
      </c>
      <c r="I7" s="74">
        <f>J16/I16-1</f>
        <v>0.23814962878355228</v>
      </c>
      <c r="J7" s="74">
        <f>K16/J16-1</f>
        <v>0.21817343173431736</v>
      </c>
      <c r="K7" s="74">
        <f>G55</f>
        <v>0.15</v>
      </c>
      <c r="L7" s="74">
        <f>H55</f>
        <v>0</v>
      </c>
      <c r="M7" s="74">
        <f>I53</f>
        <v>0</v>
      </c>
      <c r="N7" s="74">
        <f>J53</f>
        <v>0</v>
      </c>
      <c r="O7" s="74"/>
      <c r="P7" s="74"/>
      <c r="Q7" s="74"/>
    </row>
    <row r="8" spans="2:17" x14ac:dyDescent="0.3">
      <c r="L8" s="75"/>
      <c r="P8" s="75"/>
    </row>
    <row r="9" spans="2:17" x14ac:dyDescent="0.3">
      <c r="B9" s="69" t="s">
        <v>160</v>
      </c>
      <c r="C9" s="73">
        <f>J52</f>
        <v>0.112</v>
      </c>
      <c r="D9" s="69" t="s">
        <v>204</v>
      </c>
      <c r="L9" s="75"/>
      <c r="P9" s="75"/>
    </row>
    <row r="10" spans="2:17" x14ac:dyDescent="0.3">
      <c r="B10" s="69" t="s">
        <v>162</v>
      </c>
      <c r="C10" s="73">
        <v>0.02</v>
      </c>
      <c r="L10" s="76"/>
    </row>
    <row r="11" spans="2:17" x14ac:dyDescent="0.3">
      <c r="L11" s="77"/>
      <c r="P11" s="75"/>
    </row>
    <row r="12" spans="2:17" x14ac:dyDescent="0.3">
      <c r="B12" s="78" t="s">
        <v>163</v>
      </c>
      <c r="P12" s="79"/>
    </row>
    <row r="13" spans="2:17" x14ac:dyDescent="0.3">
      <c r="B13" s="89" t="s">
        <v>164</v>
      </c>
      <c r="C13" s="205">
        <f>RJRCondensed!G5</f>
        <v>15766</v>
      </c>
      <c r="D13" s="205">
        <f>DCFPreBid!D13</f>
        <v>16950</v>
      </c>
      <c r="E13" s="205">
        <f>RJRKKR!B7</f>
        <v>16190</v>
      </c>
      <c r="F13" s="205">
        <f>RJRKKR!C7</f>
        <v>15223</v>
      </c>
      <c r="G13" s="205">
        <f>RJRKKR!D7</f>
        <v>16468</v>
      </c>
      <c r="H13" s="205">
        <f>RJRKKR!E7</f>
        <v>17815</v>
      </c>
      <c r="I13" s="205">
        <f>RJRKKR!F7</f>
        <v>19270</v>
      </c>
      <c r="J13" s="205">
        <f>RJRKKR!G7</f>
        <v>20846</v>
      </c>
      <c r="K13" s="205">
        <f>RJRKKR!H7</f>
        <v>22551</v>
      </c>
      <c r="L13" s="205">
        <f>RJRKKR!I7</f>
        <v>24394</v>
      </c>
      <c r="M13" s="205">
        <f>RJRKKR!J7</f>
        <v>26391</v>
      </c>
      <c r="N13" s="205">
        <f>RJRKKR!K7</f>
        <v>28550</v>
      </c>
      <c r="O13" s="205"/>
      <c r="P13" s="75"/>
    </row>
    <row r="14" spans="2:17" ht="16.2" thickBot="1" x14ac:dyDescent="0.35">
      <c r="B14" s="93" t="s">
        <v>165</v>
      </c>
      <c r="C14" s="215">
        <f>C13-C15</f>
        <v>13462</v>
      </c>
      <c r="D14" s="215">
        <f>DCFPreBid!D14</f>
        <v>14297</v>
      </c>
      <c r="E14" s="215">
        <f t="shared" ref="E14:O14" si="1">E13-E15</f>
        <v>13328</v>
      </c>
      <c r="F14" s="215">
        <f t="shared" ref="F14" si="2">F13-F15</f>
        <v>11995</v>
      </c>
      <c r="G14" s="215">
        <f t="shared" ref="G14" si="3">G13-G15</f>
        <v>12657</v>
      </c>
      <c r="H14" s="215">
        <f t="shared" ref="H14" si="4">H13-H15</f>
        <v>13675</v>
      </c>
      <c r="I14" s="215">
        <f t="shared" ref="I14" si="5">I13-I15</f>
        <v>14762</v>
      </c>
      <c r="J14" s="215">
        <f t="shared" ref="J14" si="6">J13-J15</f>
        <v>15940</v>
      </c>
      <c r="K14" s="215">
        <f t="shared" ref="K14" si="7">K13-K15</f>
        <v>17210</v>
      </c>
      <c r="L14" s="215">
        <f t="shared" ref="L14" si="8">L13-L15</f>
        <v>18579</v>
      </c>
      <c r="M14" s="215">
        <f t="shared" ref="M14" si="9">M13-M15</f>
        <v>20056</v>
      </c>
      <c r="N14" s="215">
        <f t="shared" ref="N14" si="10">N13-N15</f>
        <v>21648</v>
      </c>
      <c r="O14" s="215"/>
    </row>
    <row r="15" spans="2:17" ht="16.2" thickBot="1" x14ac:dyDescent="0.35">
      <c r="B15" s="93" t="s">
        <v>260</v>
      </c>
      <c r="C15" s="215">
        <f>RJRCondensed!G6</f>
        <v>2304</v>
      </c>
      <c r="D15" s="215">
        <f>DCFPreBid!D15</f>
        <v>2653</v>
      </c>
      <c r="E15" s="215">
        <f>RJRKKR!B12</f>
        <v>2862</v>
      </c>
      <c r="F15" s="215">
        <f>RJRKKR!C12</f>
        <v>3228</v>
      </c>
      <c r="G15" s="215">
        <f>RJRKKR!D12</f>
        <v>3811</v>
      </c>
      <c r="H15" s="215">
        <f>RJRKKR!E12</f>
        <v>4140</v>
      </c>
      <c r="I15" s="215">
        <f>RJRKKR!F12</f>
        <v>4508</v>
      </c>
      <c r="J15" s="215">
        <f>RJRKKR!G12</f>
        <v>4906</v>
      </c>
      <c r="K15" s="215">
        <f>RJRKKR!H12</f>
        <v>5341</v>
      </c>
      <c r="L15" s="215">
        <f>RJRKKR!I12</f>
        <v>5815</v>
      </c>
      <c r="M15" s="215">
        <f>RJRKKR!J12</f>
        <v>6335</v>
      </c>
      <c r="N15" s="215">
        <f>RJRKKR!K12</f>
        <v>6902</v>
      </c>
      <c r="O15" s="215"/>
    </row>
    <row r="16" spans="2:17" ht="16.2" thickBot="1" x14ac:dyDescent="0.35">
      <c r="B16" s="93" t="s">
        <v>215</v>
      </c>
      <c r="C16" s="215">
        <f>RJRCondensed!G11</f>
        <v>1209</v>
      </c>
      <c r="D16" s="215">
        <f>DCFPreBid!D16</f>
        <v>1360</v>
      </c>
      <c r="E16" s="215">
        <f>RJRKKR!B15</f>
        <v>-281</v>
      </c>
      <c r="F16" s="215">
        <f>RJRKKR!C15</f>
        <v>233</v>
      </c>
      <c r="G16" s="215">
        <f>RJRKKR!D15</f>
        <v>845</v>
      </c>
      <c r="H16" s="215">
        <f>RJRKKR!E15</f>
        <v>1134</v>
      </c>
      <c r="I16" s="215">
        <f>RJRKKR!F15</f>
        <v>1751</v>
      </c>
      <c r="J16" s="215">
        <f>RJRKKR!G15</f>
        <v>2168</v>
      </c>
      <c r="K16" s="215">
        <f>RJRKKR!H15</f>
        <v>2641</v>
      </c>
      <c r="L16" s="215">
        <f>RJRKKR!I15</f>
        <v>3164</v>
      </c>
      <c r="M16" s="215">
        <f>RJRKKR!J15</f>
        <v>3814</v>
      </c>
      <c r="N16" s="215">
        <f>RJRKKR!K15</f>
        <v>4203</v>
      </c>
      <c r="O16" s="215"/>
      <c r="P16" s="76"/>
      <c r="Q16" s="76"/>
    </row>
    <row r="17" spans="2:17" x14ac:dyDescent="0.3">
      <c r="B17" s="89" t="s">
        <v>170</v>
      </c>
      <c r="C17" s="206"/>
      <c r="D17" s="69">
        <f>DCFPreBid!D17</f>
        <v>730</v>
      </c>
      <c r="E17" s="206">
        <f>RJRKKR!B16</f>
        <v>1159</v>
      </c>
      <c r="F17" s="206">
        <f>RJRKKR!C16</f>
        <v>991</v>
      </c>
      <c r="G17" s="206">
        <f>RJRKKR!D16</f>
        <v>899</v>
      </c>
      <c r="H17" s="206">
        <f>RJRKKR!E16</f>
        <v>907</v>
      </c>
      <c r="I17" s="206">
        <f>RJRKKR!F16</f>
        <v>920</v>
      </c>
      <c r="J17" s="206">
        <f>RJRKKR!G16</f>
        <v>924</v>
      </c>
      <c r="K17" s="206">
        <f>RJRKKR!H16</f>
        <v>928</v>
      </c>
      <c r="L17" s="206">
        <f>RJRKKR!I16</f>
        <v>933</v>
      </c>
      <c r="M17" s="206">
        <f>RJRKKR!J16</f>
        <v>939</v>
      </c>
      <c r="N17" s="206">
        <f>RJRKKR!K16</f>
        <v>945</v>
      </c>
      <c r="O17" s="206"/>
      <c r="P17" s="86"/>
      <c r="Q17" s="86"/>
    </row>
    <row r="18" spans="2:17" x14ac:dyDescent="0.3">
      <c r="B18" s="89" t="s">
        <v>173</v>
      </c>
      <c r="C18" s="207"/>
      <c r="D18" s="69">
        <f>DCFPreBid!D18</f>
        <v>1142</v>
      </c>
      <c r="E18" s="210">
        <f>RJRKKR!B17</f>
        <v>774</v>
      </c>
      <c r="F18" s="210">
        <f>RJRKKR!C17</f>
        <v>556</v>
      </c>
      <c r="G18" s="210">
        <f>RJRKKR!D17</f>
        <v>555</v>
      </c>
      <c r="H18" s="210">
        <f>RJRKKR!E17</f>
        <v>572</v>
      </c>
      <c r="I18" s="210">
        <f>RJRKKR!F17</f>
        <v>586</v>
      </c>
      <c r="J18" s="210">
        <f>RJRKKR!G17</f>
        <v>598</v>
      </c>
      <c r="K18" s="210">
        <f>RJRKKR!H17</f>
        <v>618</v>
      </c>
      <c r="L18" s="210">
        <f>RJRKKR!I17</f>
        <v>638</v>
      </c>
      <c r="M18" s="210">
        <f>RJRKKR!J17</f>
        <v>658</v>
      </c>
      <c r="N18" s="210">
        <f>RJRKKR!K17</f>
        <v>678</v>
      </c>
      <c r="O18" s="210"/>
      <c r="P18" s="87"/>
      <c r="Q18" s="87"/>
    </row>
    <row r="19" spans="2:17" x14ac:dyDescent="0.3">
      <c r="B19" s="89" t="s">
        <v>172</v>
      </c>
      <c r="C19" s="206">
        <f>RJRBS!C33</f>
        <v>332</v>
      </c>
      <c r="D19" s="69">
        <f>DCFPreBid!D19</f>
        <v>0</v>
      </c>
      <c r="E19" s="206">
        <f>RJRKKR!B18</f>
        <v>79</v>
      </c>
      <c r="F19" s="206">
        <f>RJRKKR!C18</f>
        <v>84</v>
      </c>
      <c r="G19" s="206">
        <f>RJRKKR!D18</f>
        <v>1142</v>
      </c>
      <c r="H19" s="206">
        <f>RJRKKR!E18</f>
        <v>1708</v>
      </c>
      <c r="I19" s="206">
        <f>RJRKKR!F18</f>
        <v>1462</v>
      </c>
      <c r="J19" s="206">
        <f>RJRKKR!G18</f>
        <v>1345</v>
      </c>
      <c r="K19" s="206">
        <f>RJRKKR!H18</f>
        <v>930</v>
      </c>
      <c r="L19" s="206">
        <f>RJRKKR!I18</f>
        <v>738</v>
      </c>
      <c r="M19" s="206">
        <f>RJRKKR!J18</f>
        <v>735</v>
      </c>
      <c r="N19" s="206">
        <f>RJRKKR!K18</f>
        <v>735</v>
      </c>
      <c r="O19" s="206"/>
      <c r="P19" s="88"/>
      <c r="Q19" s="88"/>
    </row>
    <row r="20" spans="2:17" x14ac:dyDescent="0.3">
      <c r="B20" s="69" t="s">
        <v>265</v>
      </c>
      <c r="C20" s="118"/>
      <c r="E20" s="118">
        <f>RJRKKR!B20</f>
        <v>3500</v>
      </c>
      <c r="F20" s="118">
        <f>RJRKKR!C20</f>
        <v>2700</v>
      </c>
      <c r="G20" s="118">
        <f>RJRKKR!D20</f>
        <v>0</v>
      </c>
      <c r="H20" s="118">
        <f>RJRKKR!E20</f>
        <v>0</v>
      </c>
      <c r="I20" s="118">
        <f>RJRKKR!F20</f>
        <v>0</v>
      </c>
      <c r="J20" s="118">
        <f>RJRKKR!G20</f>
        <v>0</v>
      </c>
      <c r="K20" s="118">
        <f>RJRKKR!H20</f>
        <v>0</v>
      </c>
      <c r="L20" s="118">
        <f>RJRKKR!I20</f>
        <v>0</v>
      </c>
      <c r="M20" s="118">
        <f>RJRKKR!J20</f>
        <v>0</v>
      </c>
      <c r="N20" s="118">
        <f>RJRKKR!K20</f>
        <v>0</v>
      </c>
      <c r="O20" s="118"/>
      <c r="P20" s="90"/>
      <c r="Q20" s="90"/>
    </row>
    <row r="21" spans="2:17" x14ac:dyDescent="0.3">
      <c r="B21" s="89"/>
      <c r="C21" s="207"/>
      <c r="D21" s="207"/>
      <c r="E21" s="207"/>
      <c r="F21" s="207"/>
      <c r="G21" s="207"/>
      <c r="H21" s="207"/>
      <c r="I21" s="207"/>
      <c r="J21" s="207"/>
      <c r="K21" s="118"/>
      <c r="L21" s="118"/>
      <c r="M21" s="118"/>
      <c r="N21" s="118"/>
    </row>
    <row r="22" spans="2:17" x14ac:dyDescent="0.3">
      <c r="B22" s="69" t="s">
        <v>174</v>
      </c>
      <c r="C22" s="118">
        <f>C16+C17-C18-C19</f>
        <v>877</v>
      </c>
      <c r="D22" s="118">
        <f>D16+D17-D18-D19+D20</f>
        <v>948</v>
      </c>
      <c r="E22" s="118">
        <f>E16+E17-E18-E19+E20</f>
        <v>3525</v>
      </c>
      <c r="F22" s="118">
        <f>F16+F17-F18-F19</f>
        <v>584</v>
      </c>
      <c r="G22" s="118">
        <f>G16+G17-G18-G19</f>
        <v>47</v>
      </c>
      <c r="H22" s="118">
        <f>H16+H17-H18-H19</f>
        <v>-239</v>
      </c>
      <c r="I22" s="118">
        <f>I16+I17-I18-I19</f>
        <v>623</v>
      </c>
      <c r="J22" s="118">
        <f>J16+J17-J18-J19</f>
        <v>1149</v>
      </c>
      <c r="K22" s="118">
        <f>K16+K17-K18-K19</f>
        <v>2021</v>
      </c>
      <c r="L22" s="118">
        <f>L16+L17-L18-L19</f>
        <v>2721</v>
      </c>
      <c r="M22" s="118">
        <f>M16+M17-M18-M19</f>
        <v>3360</v>
      </c>
      <c r="N22" s="118">
        <f>N16+N17-N18-N19</f>
        <v>3735</v>
      </c>
      <c r="O22" s="118"/>
      <c r="P22" s="95"/>
      <c r="Q22" s="95"/>
    </row>
    <row r="23" spans="2:17" x14ac:dyDescent="0.3">
      <c r="B23" s="69" t="s">
        <v>175</v>
      </c>
      <c r="C23" s="208"/>
      <c r="D23" s="208"/>
      <c r="E23" s="208"/>
      <c r="F23" s="208"/>
      <c r="G23" s="208"/>
      <c r="H23" s="208"/>
      <c r="I23" s="208"/>
      <c r="J23" s="209"/>
      <c r="K23" s="209"/>
      <c r="L23" s="209"/>
      <c r="M23" s="209"/>
      <c r="N23" s="208">
        <f>N22*(1+C10)/(C9-C10)</f>
        <v>41409.782608695656</v>
      </c>
      <c r="O23" s="82"/>
      <c r="P23" s="82"/>
    </row>
    <row r="24" spans="2:17" x14ac:dyDescent="0.3">
      <c r="B24" s="69" t="s">
        <v>176</v>
      </c>
      <c r="C24" s="206"/>
      <c r="D24" s="206">
        <f>SUM(D22:D23)</f>
        <v>948</v>
      </c>
      <c r="E24" s="206">
        <f>SUM(E22:E23)</f>
        <v>3525</v>
      </c>
      <c r="F24" s="206">
        <f t="shared" ref="F24:N24" si="11">SUM(F22:F23)</f>
        <v>584</v>
      </c>
      <c r="G24" s="206">
        <f t="shared" si="11"/>
        <v>47</v>
      </c>
      <c r="H24" s="206">
        <f t="shared" si="11"/>
        <v>-239</v>
      </c>
      <c r="I24" s="206">
        <f t="shared" si="11"/>
        <v>623</v>
      </c>
      <c r="J24" s="206">
        <f t="shared" si="11"/>
        <v>1149</v>
      </c>
      <c r="K24" s="206">
        <f t="shared" si="11"/>
        <v>2021</v>
      </c>
      <c r="L24" s="206">
        <f t="shared" si="11"/>
        <v>2721</v>
      </c>
      <c r="M24" s="206">
        <f t="shared" si="11"/>
        <v>3360</v>
      </c>
      <c r="N24" s="206">
        <f t="shared" si="11"/>
        <v>45144.782608695656</v>
      </c>
      <c r="O24" s="90"/>
      <c r="P24" s="90"/>
      <c r="Q24" s="90"/>
    </row>
    <row r="25" spans="2:17" x14ac:dyDescent="0.3">
      <c r="B25" s="69" t="s">
        <v>177</v>
      </c>
      <c r="C25" s="80"/>
      <c r="D25" s="80">
        <f t="shared" ref="D25" si="12">D24/(1+$C$9)^D$3</f>
        <v>948</v>
      </c>
      <c r="E25" s="80">
        <f t="shared" ref="E25:J25" si="13">E24/(1+$C$9)^E$3</f>
        <v>3169.964028776978</v>
      </c>
      <c r="F25" s="80">
        <f t="shared" si="13"/>
        <v>472.2840432689818</v>
      </c>
      <c r="G25" s="80">
        <f t="shared" si="13"/>
        <v>34.180900194703703</v>
      </c>
      <c r="H25" s="80">
        <f t="shared" si="13"/>
        <v>-156.30711668709213</v>
      </c>
      <c r="I25" s="80">
        <f t="shared" si="13"/>
        <v>366.40729394079949</v>
      </c>
      <c r="J25" s="80">
        <f t="shared" si="13"/>
        <v>607.70289492993197</v>
      </c>
      <c r="K25" s="80">
        <f>K24/(1+$C$9)^K$3</f>
        <v>961.24214256797609</v>
      </c>
      <c r="L25" s="80">
        <f>L24/(1+$C$9)^L$3</f>
        <v>1163.8318652028977</v>
      </c>
      <c r="M25" s="80">
        <f>M24/(1+$C$9)^M$3</f>
        <v>1292.3977467689804</v>
      </c>
      <c r="N25" s="80">
        <f>N24/(1+$C$9)^N$3</f>
        <v>15615.636594792124</v>
      </c>
      <c r="O25" s="80"/>
      <c r="P25" s="80"/>
      <c r="Q25" s="80"/>
    </row>
    <row r="26" spans="2:17" x14ac:dyDescent="0.3">
      <c r="C26" s="97"/>
      <c r="D26" s="97"/>
      <c r="E26" s="97"/>
      <c r="F26" s="97"/>
      <c r="G26" s="97"/>
      <c r="H26" s="97"/>
      <c r="I26" s="97"/>
      <c r="J26" s="97"/>
    </row>
    <row r="27" spans="2:17" x14ac:dyDescent="0.3">
      <c r="C27" s="81"/>
      <c r="D27" s="81"/>
      <c r="E27" s="81"/>
      <c r="F27" s="81"/>
      <c r="G27" s="81"/>
      <c r="H27" s="81"/>
      <c r="I27" s="81"/>
      <c r="J27" s="81"/>
    </row>
    <row r="28" spans="2:17" x14ac:dyDescent="0.3">
      <c r="B28" s="69" t="s">
        <v>178</v>
      </c>
      <c r="C28" s="98">
        <f>SUM(C25:Q25)</f>
        <v>24475.340393756283</v>
      </c>
      <c r="D28" s="81"/>
      <c r="E28" s="99"/>
      <c r="F28" s="100"/>
      <c r="G28" s="81"/>
      <c r="H28" s="81"/>
      <c r="I28" s="81"/>
      <c r="J28" s="81"/>
      <c r="K28" s="81"/>
      <c r="L28" s="81"/>
    </row>
    <row r="29" spans="2:17" x14ac:dyDescent="0.3">
      <c r="B29" s="101"/>
      <c r="C29" s="101"/>
      <c r="D29" s="81"/>
      <c r="E29" s="76"/>
      <c r="F29" s="76"/>
      <c r="G29" s="102"/>
      <c r="H29" s="102"/>
      <c r="I29" s="102"/>
      <c r="J29" s="102"/>
      <c r="K29" s="102"/>
      <c r="L29" s="102"/>
      <c r="M29" s="76"/>
      <c r="N29" s="76"/>
      <c r="O29" s="76"/>
      <c r="P29" s="76"/>
    </row>
    <row r="30" spans="2:17" ht="16.2" thickBot="1" x14ac:dyDescent="0.35">
      <c r="C30" s="76"/>
      <c r="K30" s="81"/>
      <c r="L30" s="81"/>
    </row>
    <row r="31" spans="2:17" ht="16.2" thickBot="1" x14ac:dyDescent="0.35">
      <c r="B31" s="103" t="s">
        <v>179</v>
      </c>
      <c r="C31" s="104"/>
      <c r="E31" s="105" t="s">
        <v>180</v>
      </c>
    </row>
    <row r="32" spans="2:17" ht="16.2" thickBot="1" x14ac:dyDescent="0.35">
      <c r="B32" s="106" t="s">
        <v>181</v>
      </c>
      <c r="C32" s="107" t="s">
        <v>182</v>
      </c>
      <c r="E32" s="108" t="s">
        <v>183</v>
      </c>
      <c r="F32" s="108"/>
      <c r="G32" s="108"/>
      <c r="H32" s="109"/>
      <c r="I32" s="108" t="s">
        <v>184</v>
      </c>
      <c r="J32" s="108"/>
    </row>
    <row r="33" spans="2:12" x14ac:dyDescent="0.3">
      <c r="B33" s="110">
        <v>0.08</v>
      </c>
      <c r="C33" s="111">
        <f>(NPV(B33,$E$24:$M$24,$O$22+$O$22*(1+$C$10)/(B33-$C$10)))*(1+B33)</f>
        <v>9832.7770847407373</v>
      </c>
      <c r="D33" s="112"/>
      <c r="E33" s="69" t="s">
        <v>185</v>
      </c>
      <c r="G33" s="113">
        <f>'[1]Interest-Ratings'!E6</f>
        <v>7.7200000000000005E-2</v>
      </c>
      <c r="I33" s="69" t="s">
        <v>186</v>
      </c>
      <c r="J33" s="76">
        <f>[1]Comps!D31</f>
        <v>8620</v>
      </c>
    </row>
    <row r="34" spans="2:12" x14ac:dyDescent="0.3">
      <c r="B34" s="110">
        <v>8.5000000000000006E-2</v>
      </c>
      <c r="C34" s="111">
        <f>(NPV(B34,$E$24:$M$24,$O$22+$O$22*(1+$C$10)/(B34-$C$10)))*(1+B34)</f>
        <v>9655.112154198443</v>
      </c>
      <c r="D34" s="112"/>
      <c r="E34" s="69" t="s">
        <v>187</v>
      </c>
      <c r="G34" s="114">
        <f>RJRBS!C19</f>
        <v>3884</v>
      </c>
      <c r="I34" s="69" t="s">
        <v>188</v>
      </c>
      <c r="J34" s="76">
        <f>G34</f>
        <v>3884</v>
      </c>
      <c r="K34" s="115"/>
      <c r="L34" s="116"/>
    </row>
    <row r="35" spans="2:12" x14ac:dyDescent="0.3">
      <c r="B35" s="110">
        <v>0.09</v>
      </c>
      <c r="C35" s="111">
        <f>(NPV(B35,$E$24:$M$24,$O$22+$O$22*(1+$C$10)/(B35-$C$10)))*(1+B35)</f>
        <v>9483.7141413551744</v>
      </c>
      <c r="D35" s="112"/>
      <c r="I35" s="69" t="s">
        <v>189</v>
      </c>
      <c r="J35" s="73">
        <f>G41+G40*G42</f>
        <v>0.112</v>
      </c>
      <c r="K35" s="115"/>
    </row>
    <row r="36" spans="2:12" x14ac:dyDescent="0.3">
      <c r="B36" s="110">
        <v>9.5000000000000001E-2</v>
      </c>
      <c r="C36" s="111">
        <f>(NPV(B36,$E$24:$M$24,$O$22+$O$22*(1+$C$10)/(B36-$C$10)))*(1+B36)</f>
        <v>9318.3288563906135</v>
      </c>
      <c r="D36" s="112"/>
      <c r="I36" s="69" t="s">
        <v>190</v>
      </c>
      <c r="J36" s="73">
        <f>G33</f>
        <v>7.7200000000000005E-2</v>
      </c>
    </row>
    <row r="37" spans="2:12" x14ac:dyDescent="0.3">
      <c r="B37" s="110">
        <v>0.1</v>
      </c>
      <c r="C37" s="111">
        <f>(NPV(B37,$E$24:$M$24,$O$22+$O$22*(1+$C$10)/(B37-$C$10)))*(1+B37)</f>
        <v>9158.7136614367719</v>
      </c>
      <c r="D37" s="112"/>
      <c r="I37" s="69" t="s">
        <v>191</v>
      </c>
      <c r="J37" s="73">
        <v>0.34</v>
      </c>
    </row>
    <row r="38" spans="2:12" x14ac:dyDescent="0.3">
      <c r="B38" s="110">
        <v>0.105</v>
      </c>
      <c r="C38" s="111">
        <f>(NPV(B38,$E$24:$M$24,$O$22+$O$22*(1+$C$10)/(B38-$C$10)))*(1+B38)</f>
        <v>9004.6368914102331</v>
      </c>
      <c r="D38" s="112"/>
      <c r="E38" s="108" t="s">
        <v>192</v>
      </c>
      <c r="F38" s="108"/>
      <c r="G38" s="108"/>
      <c r="I38" s="78" t="s">
        <v>161</v>
      </c>
      <c r="J38" s="73">
        <f>J34/(J34+J33)*J36*(1-J37)+J35*J33/(J33+J34)</f>
        <v>9.303723352527192E-2</v>
      </c>
    </row>
    <row r="39" spans="2:12" x14ac:dyDescent="0.3">
      <c r="B39" s="110">
        <v>0.11</v>
      </c>
      <c r="C39" s="111">
        <f>(NPV(B39,$E$24:$M$24,$O$22+$O$22*(1+$C$10)/(B39-$C$10)))*(1+B39)</f>
        <v>8855.8773065199621</v>
      </c>
      <c r="D39" s="112"/>
      <c r="E39" s="69" t="s">
        <v>193</v>
      </c>
      <c r="G39" s="69">
        <f>RJRCondensed!G17</f>
        <v>247.4</v>
      </c>
      <c r="I39" s="73"/>
      <c r="J39" s="73"/>
    </row>
    <row r="40" spans="2:12" x14ac:dyDescent="0.3">
      <c r="B40" s="110">
        <v>0.115</v>
      </c>
      <c r="C40" s="111">
        <f>(NPV(B40,$E$24:$M$24,$O$22+$O$22*(1+$C$10)/(B40-$C$10)))*(1+B40)</f>
        <v>8712.2235745774615</v>
      </c>
      <c r="D40" s="112"/>
      <c r="E40" s="69" t="s">
        <v>194</v>
      </c>
      <c r="G40" s="214">
        <f>RJRCondensed!I18</f>
        <v>0.89333333333333342</v>
      </c>
      <c r="I40" s="108" t="s">
        <v>195</v>
      </c>
      <c r="J40" s="108"/>
    </row>
    <row r="41" spans="2:12" x14ac:dyDescent="0.3">
      <c r="B41" s="110">
        <v>0.12</v>
      </c>
      <c r="C41" s="111">
        <f>(NPV(B41,$E$24:$M$24,$O$22+$O$22*(1+$C$10)/(B41-$C$10)))*(1+B41)</f>
        <v>8573.4737813546762</v>
      </c>
      <c r="D41" s="112"/>
      <c r="E41" s="69" t="s">
        <v>196</v>
      </c>
      <c r="G41" s="113">
        <f>'[1]Interest-Ratings'!D13</f>
        <v>5.8400000000000001E-2</v>
      </c>
      <c r="I41" s="69" t="s">
        <v>197</v>
      </c>
      <c r="J41" s="74">
        <v>0.7</v>
      </c>
    </row>
    <row r="42" spans="2:12" x14ac:dyDescent="0.3">
      <c r="B42" s="117">
        <v>0.125</v>
      </c>
      <c r="C42" s="111">
        <f>(NPV(B42,$E$24:$M$24,$O$22+$O$22*(1+$C$10)/(B42-$C$10)))*(1+B42)</f>
        <v>8439.434967346293</v>
      </c>
      <c r="D42" s="112"/>
      <c r="E42" s="69" t="s">
        <v>198</v>
      </c>
      <c r="G42" s="113">
        <v>0.06</v>
      </c>
      <c r="I42" s="69" t="s">
        <v>199</v>
      </c>
      <c r="J42" s="74">
        <f>1-J41</f>
        <v>0.30000000000000004</v>
      </c>
    </row>
    <row r="43" spans="2:12" x14ac:dyDescent="0.3">
      <c r="B43" s="110">
        <v>0.13</v>
      </c>
      <c r="C43" s="111">
        <f>(NPV(B43,$E$24:$M$24,$O$22+$O$22*(1+$C$10)/(B43-$C$10)))*(1+B43)</f>
        <v>8309.9226893962423</v>
      </c>
      <c r="D43" s="112"/>
      <c r="E43" s="69" t="s">
        <v>200</v>
      </c>
      <c r="G43" s="118">
        <f>RJRCondensed!G17*RJRCondensed!G15</f>
        <v>11133</v>
      </c>
      <c r="I43" s="69" t="s">
        <v>194</v>
      </c>
      <c r="J43" s="76">
        <f>[1]Comps!Q43</f>
        <v>0.7431280717332277</v>
      </c>
    </row>
    <row r="44" spans="2:12" x14ac:dyDescent="0.3">
      <c r="B44" s="110">
        <v>0.13500000000000001</v>
      </c>
      <c r="C44" s="111">
        <f>(NPV(B44,$E$24:$M$24,$O$22+$O$22*(1+$C$10)/(B44-$C$10)))*(1+B44)</f>
        <v>8184.7606057448447</v>
      </c>
      <c r="D44" s="112"/>
      <c r="I44" s="69" t="s">
        <v>189</v>
      </c>
      <c r="J44" s="73">
        <f>G41+G42*J43</f>
        <v>0.10298768430399366</v>
      </c>
    </row>
    <row r="45" spans="2:12" x14ac:dyDescent="0.3">
      <c r="B45" s="110">
        <v>0.14000000000000001</v>
      </c>
      <c r="C45" s="111">
        <f>(NPV(B45,$E$24:$M$24,$O$22+$O$22*(1+$C$10)/(B45-$C$10)))*(1+B45)</f>
        <v>8063.7800831430477</v>
      </c>
      <c r="D45" s="112"/>
      <c r="I45" s="69" t="s">
        <v>190</v>
      </c>
      <c r="J45" s="73">
        <f>G33</f>
        <v>7.7200000000000005E-2</v>
      </c>
    </row>
    <row r="46" spans="2:12" x14ac:dyDescent="0.3">
      <c r="B46" s="110">
        <v>0.14499999999999999</v>
      </c>
      <c r="C46" s="111">
        <f>(NPV(B46,$E$24:$M$24,$O$22+$O$22*(1+$C$10)/(B46-$C$10)))*(1+B46)</f>
        <v>7946.8198247640848</v>
      </c>
      <c r="D46" s="112"/>
      <c r="E46" s="108" t="s">
        <v>201</v>
      </c>
      <c r="F46" s="108"/>
      <c r="G46" s="108"/>
      <c r="I46" s="69" t="s">
        <v>191</v>
      </c>
      <c r="J46" s="73">
        <v>0.34</v>
      </c>
    </row>
    <row r="47" spans="2:12" x14ac:dyDescent="0.3">
      <c r="B47" s="110">
        <v>0.15</v>
      </c>
      <c r="C47" s="111">
        <f>(NPV(B47,$E$24:$M$24,$O$22+$O$22*(1+$C$10)/(B47-$C$10)))*(1+B47)</f>
        <v>7833.7255177215338</v>
      </c>
      <c r="D47" s="112"/>
      <c r="E47" s="119" t="s">
        <v>202</v>
      </c>
      <c r="G47" s="75">
        <v>500</v>
      </c>
      <c r="I47" s="78" t="s">
        <v>161</v>
      </c>
      <c r="J47" s="73">
        <f>J42*J45*(1-J46)+J44*J41</f>
        <v>8.737697901279555E-2</v>
      </c>
    </row>
    <row r="48" spans="2:12" x14ac:dyDescent="0.3">
      <c r="B48" s="110">
        <v>0.155</v>
      </c>
      <c r="C48" s="111">
        <f>(NPV(B48,$E$24:$M$24,$O$22+$O$22*(1+$C$10)/(B48-$C$10)))*(1+B48)</f>
        <v>7724.3494990759691</v>
      </c>
      <c r="D48" s="112"/>
      <c r="G48" s="75"/>
    </row>
    <row r="49" spans="2:13" ht="16.2" thickBot="1" x14ac:dyDescent="0.35">
      <c r="B49" s="120">
        <v>0.16</v>
      </c>
      <c r="C49" s="121">
        <f>(NPV(B49,$E$24:$M$24,$O$22+$O$22*(1+$C$10)/(B49-$C$10)))*(1+B49)</f>
        <v>7618.5504392808089</v>
      </c>
      <c r="D49" s="112"/>
      <c r="E49" s="108" t="s">
        <v>64</v>
      </c>
      <c r="F49" s="108"/>
      <c r="G49" s="108"/>
    </row>
    <row r="50" spans="2:13" x14ac:dyDescent="0.3">
      <c r="E50" s="122" t="s">
        <v>203</v>
      </c>
      <c r="G50" s="75">
        <v>300</v>
      </c>
      <c r="I50" s="108" t="s">
        <v>204</v>
      </c>
      <c r="J50" s="108"/>
    </row>
    <row r="51" spans="2:13" x14ac:dyDescent="0.3">
      <c r="E51" s="123" t="s">
        <v>205</v>
      </c>
      <c r="G51" s="75">
        <v>500</v>
      </c>
      <c r="I51" s="69" t="s">
        <v>194</v>
      </c>
      <c r="J51" s="76">
        <f>G40</f>
        <v>0.89333333333333342</v>
      </c>
    </row>
    <row r="52" spans="2:13" ht="16.2" thickBot="1" x14ac:dyDescent="0.35">
      <c r="E52" s="122" t="s">
        <v>206</v>
      </c>
      <c r="G52" s="75">
        <f>SUM(G50:G51)</f>
        <v>800</v>
      </c>
      <c r="I52" s="69" t="s">
        <v>204</v>
      </c>
      <c r="J52" s="125">
        <f>G41+G42*J51</f>
        <v>0.112</v>
      </c>
    </row>
    <row r="53" spans="2:13" ht="16.2" thickBot="1" x14ac:dyDescent="0.35">
      <c r="B53" s="103" t="s">
        <v>207</v>
      </c>
      <c r="C53" s="104"/>
      <c r="J53" s="73"/>
    </row>
    <row r="54" spans="2:13" ht="16.2" thickBot="1" x14ac:dyDescent="0.35">
      <c r="B54" s="106" t="s">
        <v>208</v>
      </c>
      <c r="C54" s="124" t="s">
        <v>182</v>
      </c>
      <c r="E54" s="108" t="s">
        <v>209</v>
      </c>
      <c r="F54" s="108"/>
      <c r="G54" s="108"/>
      <c r="J54" s="73"/>
      <c r="M54" s="113"/>
    </row>
    <row r="55" spans="2:13" x14ac:dyDescent="0.3">
      <c r="B55" s="110">
        <v>-0.02</v>
      </c>
      <c r="C55" s="111">
        <f>(NPV($C$9,$E$24:$M$24,$O$22+$O$22*(1+B55)/($C$9-B55)))*(1+$C$9)</f>
        <v>8797.814624448145</v>
      </c>
      <c r="E55" s="126" t="s">
        <v>167</v>
      </c>
      <c r="F55" s="101" t="s">
        <v>210</v>
      </c>
      <c r="G55" s="127">
        <v>0.15</v>
      </c>
      <c r="I55" s="78"/>
      <c r="J55" s="73"/>
      <c r="M55" s="113"/>
    </row>
    <row r="56" spans="2:13" x14ac:dyDescent="0.3">
      <c r="B56" s="110">
        <v>-1.4999999999999999E-2</v>
      </c>
      <c r="C56" s="111">
        <f>(NPV($C$9,$E$24:$M$24,$O$22+$O$22*(1+B56)/($C$9-B56)))*(1+$C$9)</f>
        <v>8797.814624448145</v>
      </c>
      <c r="E56" s="69" t="s">
        <v>211</v>
      </c>
      <c r="F56" s="69" t="s">
        <v>212</v>
      </c>
      <c r="G56" s="115"/>
    </row>
    <row r="57" spans="2:13" x14ac:dyDescent="0.3">
      <c r="B57" s="110">
        <v>-0.01</v>
      </c>
      <c r="C57" s="111">
        <f>(NPV($C$9,$E$24:$M$24,$O$22+$O$22*(1+B57)/($C$9-B57)))*(1+$C$9)</f>
        <v>8797.814624448145</v>
      </c>
      <c r="E57" s="69" t="s">
        <v>213</v>
      </c>
      <c r="F57" s="69" t="s">
        <v>212</v>
      </c>
      <c r="G57" s="115"/>
    </row>
    <row r="58" spans="2:13" x14ac:dyDescent="0.3">
      <c r="B58" s="110">
        <v>-5.0000000000000001E-3</v>
      </c>
      <c r="C58" s="111">
        <f>(NPV($C$9,$E$24:$M$24,$O$22+$O$22*(1+B58)/($C$9-B58)))*(1+$C$9)</f>
        <v>8797.814624448145</v>
      </c>
    </row>
    <row r="59" spans="2:13" x14ac:dyDescent="0.3">
      <c r="B59" s="110">
        <v>0</v>
      </c>
      <c r="C59" s="111">
        <f>(NPV($C$9,$E$24:$M$24,$O$22+$O$22*(1+B59)/($C$9-B59)))*(1+$C$9)</f>
        <v>8797.814624448145</v>
      </c>
    </row>
    <row r="60" spans="2:13" x14ac:dyDescent="0.3">
      <c r="B60" s="110">
        <v>5.0000000000000001E-3</v>
      </c>
      <c r="C60" s="111">
        <f>(NPV($C$9,$E$24:$M$24,$O$22+$O$22*(1+B60)/($C$9-B60)))*(1+$C$9)</f>
        <v>8797.814624448145</v>
      </c>
    </row>
    <row r="61" spans="2:13" x14ac:dyDescent="0.3">
      <c r="B61" s="110">
        <v>0.01</v>
      </c>
      <c r="C61" s="111">
        <f>(NPV($C$9,$E$24:$M$24,$O$22+$O$22*(1+B61)/($C$9-B61)))*(1+$C$9)</f>
        <v>8797.814624448145</v>
      </c>
    </row>
    <row r="62" spans="2:13" x14ac:dyDescent="0.3">
      <c r="B62" s="110">
        <v>1.4999999999999999E-2</v>
      </c>
      <c r="C62" s="111">
        <f>(NPV($C$9,$E$24:$M$24,$O$22+$O$22*(1+B62)/($C$9-B62)))*(1+$C$9)</f>
        <v>8797.814624448145</v>
      </c>
    </row>
    <row r="63" spans="2:13" x14ac:dyDescent="0.3">
      <c r="B63" s="110">
        <v>0.02</v>
      </c>
      <c r="C63" s="111">
        <f>(NPV($C$9,$E$24:$M$24,$O$22+$O$22*(1+B63)/($C$9-B63)))*(1+$C$9)</f>
        <v>8797.814624448145</v>
      </c>
    </row>
    <row r="64" spans="2:13" x14ac:dyDescent="0.3">
      <c r="B64" s="110">
        <v>2.5000000000000001E-2</v>
      </c>
      <c r="C64" s="111">
        <f>(NPV($C$9,$E$24:$M$24,$O$22+$O$22*(1+B64)/($C$9-B64)))*(1+$C$9)</f>
        <v>8797.814624448145</v>
      </c>
    </row>
    <row r="65" spans="2:3" x14ac:dyDescent="0.3">
      <c r="B65" s="110">
        <v>0.03</v>
      </c>
      <c r="C65" s="111">
        <f>(NPV($C$9,$E$24:$M$24,$O$22+$O$22*(1+B65)/($C$9-B65)))*(1+$C$9)</f>
        <v>8797.814624448145</v>
      </c>
    </row>
    <row r="66" spans="2:3" x14ac:dyDescent="0.3">
      <c r="B66" s="110">
        <v>3.5000000000000003E-2</v>
      </c>
      <c r="C66" s="111">
        <f>(NPV($C$9,$E$24:$M$24,$O$22+$O$22*(1+B66)/($C$9-B66)))*(1+$C$9)</f>
        <v>8797.814624448145</v>
      </c>
    </row>
    <row r="67" spans="2:3" x14ac:dyDescent="0.3">
      <c r="B67" s="110">
        <v>0.04</v>
      </c>
      <c r="C67" s="111">
        <f>(NPV($C$9,$E$24:$M$24,$O$22+$O$22*(1+B67)/($C$9-B67)))*(1+$C$9)</f>
        <v>8797.814624448145</v>
      </c>
    </row>
    <row r="68" spans="2:3" x14ac:dyDescent="0.3">
      <c r="B68" s="110">
        <v>4.4999999999999998E-2</v>
      </c>
      <c r="C68" s="111">
        <f>(NPV($C$9,$E$24:$M$24,$O$22+$O$22*(1+B68)/($C$9-B68)))*(1+$C$9)</f>
        <v>8797.814624448145</v>
      </c>
    </row>
    <row r="69" spans="2:3" x14ac:dyDescent="0.3">
      <c r="B69" s="110">
        <v>0.05</v>
      </c>
      <c r="C69" s="111">
        <f>(NPV($C$9,$E$24:$M$24,$O$22+$O$22*(1+B69)/($C$9-B69)))*(1+$C$9)</f>
        <v>8797.814624448145</v>
      </c>
    </row>
    <row r="70" spans="2:3" x14ac:dyDescent="0.3">
      <c r="B70" s="110">
        <v>5.5E-2</v>
      </c>
      <c r="C70" s="111">
        <f>(NPV($C$9,$E$24:$M$24,$O$22+$O$22*(1+B70)/($C$9-B70)))*(1+$C$9)</f>
        <v>8797.814624448145</v>
      </c>
    </row>
    <row r="71" spans="2:3" ht="16.2" thickBot="1" x14ac:dyDescent="0.35">
      <c r="B71" s="120">
        <v>0.06</v>
      </c>
      <c r="C71" s="121">
        <f>(NPV($C$9,$E$24:$M$24,$O$22+$O$22*(1+B71)/($C$9-B71)))*(1+$C$9)</f>
        <v>8797.814624448145</v>
      </c>
    </row>
  </sheetData>
  <mergeCells count="12">
    <mergeCell ref="I40:J40"/>
    <mergeCell ref="E46:G46"/>
    <mergeCell ref="E49:G49"/>
    <mergeCell ref="I50:J50"/>
    <mergeCell ref="B53:C53"/>
    <mergeCell ref="E54:G54"/>
    <mergeCell ref="B1:L1"/>
    <mergeCell ref="B2:L2"/>
    <mergeCell ref="B31:C31"/>
    <mergeCell ref="E32:G32"/>
    <mergeCell ref="I32:J32"/>
    <mergeCell ref="E38:G38"/>
  </mergeCells>
  <conditionalFormatting sqref="B33:B49">
    <cfRule type="expression" dxfId="5" priority="1">
      <formula>ABS(B33-$C$9)=MIN(ABS($B$33:$B$49-$C$9))</formula>
    </cfRule>
  </conditionalFormatting>
  <conditionalFormatting sqref="B55:B71">
    <cfRule type="expression" dxfId="4" priority="2">
      <formula>ABS(B55-$C$10)=MIN(ABS($B$33:$B$49-$C$10))</formula>
    </cfRule>
  </conditionalFormatting>
  <pageMargins left="0.75" right="0.75" top="1" bottom="1" header="0.5" footer="0.5"/>
  <pageSetup scale="39" orientation="landscape" horizontalDpi="4294967292" verticalDpi="4294967292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19" sqref="D19"/>
    </sheetView>
  </sheetViews>
  <sheetFormatPr defaultRowHeight="13.2" x14ac:dyDescent="0.25"/>
  <cols>
    <col min="1" max="1" width="37.44140625" customWidth="1"/>
    <col min="2" max="12" width="7.6640625" customWidth="1"/>
  </cols>
  <sheetData>
    <row r="1" spans="1:12" x14ac:dyDescent="0.25">
      <c r="A1" s="61" t="s">
        <v>113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2" x14ac:dyDescent="0.25">
      <c r="A3" s="15"/>
      <c r="B3" s="17">
        <v>1988</v>
      </c>
      <c r="C3" s="17">
        <v>1989</v>
      </c>
      <c r="D3" s="17">
        <v>1990</v>
      </c>
      <c r="E3" s="17">
        <v>1991</v>
      </c>
      <c r="F3" s="17">
        <v>1992</v>
      </c>
      <c r="G3" s="17">
        <v>1993</v>
      </c>
      <c r="H3" s="17">
        <v>1994</v>
      </c>
      <c r="I3" s="17">
        <v>1995</v>
      </c>
      <c r="J3" s="17">
        <v>1996</v>
      </c>
      <c r="K3" s="17">
        <v>1997</v>
      </c>
      <c r="L3" s="17">
        <v>1998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104</v>
      </c>
      <c r="B5" s="21">
        <v>7061</v>
      </c>
      <c r="C5" s="21">
        <v>7650</v>
      </c>
      <c r="D5" s="21">
        <v>8293</v>
      </c>
      <c r="E5" s="21">
        <v>8983</v>
      </c>
      <c r="F5" s="21">
        <v>9731</v>
      </c>
      <c r="G5" s="21">
        <v>10540</v>
      </c>
      <c r="H5" s="21">
        <v>11418</v>
      </c>
      <c r="I5" s="21">
        <v>12368</v>
      </c>
      <c r="J5" s="21">
        <v>13397</v>
      </c>
      <c r="K5" s="21">
        <v>14514</v>
      </c>
      <c r="L5" s="21">
        <v>15723</v>
      </c>
    </row>
    <row r="6" spans="1:12" x14ac:dyDescent="0.25">
      <c r="A6" s="1" t="s">
        <v>105</v>
      </c>
      <c r="B6" s="21">
        <v>9889</v>
      </c>
      <c r="C6" s="21">
        <v>10438</v>
      </c>
      <c r="D6" s="21">
        <v>11383</v>
      </c>
      <c r="E6" s="21">
        <v>12092</v>
      </c>
      <c r="F6" s="21">
        <v>12847</v>
      </c>
      <c r="G6" s="21">
        <v>13651</v>
      </c>
      <c r="H6" s="21">
        <v>14507</v>
      </c>
      <c r="I6" s="21">
        <v>15420</v>
      </c>
      <c r="J6" s="21">
        <v>16393</v>
      </c>
      <c r="K6" s="21">
        <v>17428</v>
      </c>
      <c r="L6" s="21">
        <v>18533</v>
      </c>
    </row>
    <row r="7" spans="1:12" x14ac:dyDescent="0.25">
      <c r="A7" s="27" t="s">
        <v>5</v>
      </c>
      <c r="B7" s="26">
        <v>16950</v>
      </c>
      <c r="C7" s="26">
        <v>18088</v>
      </c>
      <c r="D7" s="26">
        <v>19676</v>
      </c>
      <c r="E7" s="26">
        <v>21075</v>
      </c>
      <c r="F7" s="26">
        <v>22578</v>
      </c>
      <c r="G7" s="26">
        <v>24191</v>
      </c>
      <c r="H7" s="26">
        <v>25925</v>
      </c>
      <c r="I7" s="26">
        <v>27788</v>
      </c>
      <c r="J7" s="26">
        <v>29790</v>
      </c>
      <c r="K7" s="26">
        <v>31942</v>
      </c>
      <c r="L7" s="26">
        <v>34256</v>
      </c>
    </row>
    <row r="8" spans="1:12" x14ac:dyDescent="0.25">
      <c r="A8" s="1" t="s">
        <v>33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25">
      <c r="A9" s="1" t="s">
        <v>106</v>
      </c>
      <c r="B9" s="21">
        <v>1924</v>
      </c>
      <c r="C9" s="21">
        <v>2022</v>
      </c>
      <c r="D9" s="21">
        <v>2360</v>
      </c>
      <c r="E9" s="21">
        <v>2786</v>
      </c>
      <c r="F9" s="21">
        <v>3071</v>
      </c>
      <c r="G9" s="21">
        <v>3386</v>
      </c>
      <c r="H9" s="21">
        <v>3733</v>
      </c>
      <c r="I9" s="21">
        <v>4115</v>
      </c>
      <c r="J9" s="21">
        <v>4534</v>
      </c>
      <c r="K9" s="21">
        <v>4998</v>
      </c>
      <c r="L9" s="21">
        <v>5508</v>
      </c>
    </row>
    <row r="10" spans="1:12" x14ac:dyDescent="0.25">
      <c r="A10" s="1" t="s">
        <v>107</v>
      </c>
      <c r="B10" s="21">
        <v>1079</v>
      </c>
      <c r="C10" s="21">
        <v>1163</v>
      </c>
      <c r="D10" s="21">
        <v>1255</v>
      </c>
      <c r="E10" s="21">
        <v>1348</v>
      </c>
      <c r="F10" s="21">
        <v>1459</v>
      </c>
      <c r="G10" s="21">
        <v>1581</v>
      </c>
      <c r="H10" s="21">
        <v>1713</v>
      </c>
      <c r="I10" s="21">
        <v>1855</v>
      </c>
      <c r="J10" s="21">
        <v>2011</v>
      </c>
      <c r="K10" s="21">
        <v>2178</v>
      </c>
      <c r="L10" s="21">
        <v>2361</v>
      </c>
    </row>
    <row r="11" spans="1:12" x14ac:dyDescent="0.25">
      <c r="A11" s="1" t="s">
        <v>108</v>
      </c>
      <c r="B11" s="39">
        <v>-350</v>
      </c>
      <c r="C11" s="39">
        <v>-287</v>
      </c>
      <c r="D11" s="39">
        <v>-279</v>
      </c>
      <c r="E11" s="39">
        <v>-296</v>
      </c>
      <c r="F11" s="39">
        <v>-314</v>
      </c>
      <c r="G11" s="39">
        <v>-333</v>
      </c>
      <c r="H11" s="39">
        <v>-353</v>
      </c>
      <c r="I11" s="39">
        <v>-374</v>
      </c>
      <c r="J11" s="39">
        <v>-396</v>
      </c>
      <c r="K11" s="39">
        <v>-420</v>
      </c>
      <c r="L11" s="39">
        <v>-445</v>
      </c>
    </row>
    <row r="12" spans="1:12" x14ac:dyDescent="0.25">
      <c r="A12" s="27" t="s">
        <v>5</v>
      </c>
      <c r="B12" s="26">
        <v>2653</v>
      </c>
      <c r="C12" s="26">
        <v>2898</v>
      </c>
      <c r="D12" s="26">
        <v>3336</v>
      </c>
      <c r="E12" s="26">
        <v>3838</v>
      </c>
      <c r="F12" s="26">
        <v>4216</v>
      </c>
      <c r="G12" s="26">
        <v>4634</v>
      </c>
      <c r="H12" s="26">
        <v>5093</v>
      </c>
      <c r="I12" s="26">
        <v>5596</v>
      </c>
      <c r="J12" s="26">
        <v>6149</v>
      </c>
      <c r="K12" s="26">
        <v>6756</v>
      </c>
      <c r="L12" s="26">
        <v>7424</v>
      </c>
    </row>
    <row r="13" spans="1:12" x14ac:dyDescent="0.25">
      <c r="A13" s="1" t="s">
        <v>109</v>
      </c>
      <c r="B13" s="22">
        <v>551</v>
      </c>
      <c r="C13" s="22">
        <v>582</v>
      </c>
      <c r="D13" s="22">
        <v>662</v>
      </c>
      <c r="E13" s="22">
        <v>693</v>
      </c>
      <c r="F13" s="22">
        <v>690</v>
      </c>
      <c r="G13" s="22">
        <v>658</v>
      </c>
      <c r="H13" s="22">
        <v>594</v>
      </c>
      <c r="I13" s="22">
        <v>458</v>
      </c>
      <c r="J13" s="22">
        <v>410</v>
      </c>
      <c r="K13" s="22">
        <v>259</v>
      </c>
      <c r="L13" s="39">
        <v>-21</v>
      </c>
    </row>
    <row r="14" spans="1:12" x14ac:dyDescent="0.25">
      <c r="A14" s="1" t="s">
        <v>37</v>
      </c>
      <c r="B14" s="21">
        <v>1360</v>
      </c>
      <c r="C14" s="21">
        <v>1498</v>
      </c>
      <c r="D14" s="21">
        <v>1730</v>
      </c>
      <c r="E14" s="21">
        <v>2023</v>
      </c>
      <c r="F14" s="21">
        <v>2259</v>
      </c>
      <c r="G14" s="21">
        <v>2536</v>
      </c>
      <c r="H14" s="21">
        <v>2858</v>
      </c>
      <c r="I14" s="21">
        <v>3251</v>
      </c>
      <c r="J14" s="21">
        <v>3625</v>
      </c>
      <c r="K14" s="21">
        <v>4094</v>
      </c>
      <c r="L14" s="21">
        <v>4625</v>
      </c>
    </row>
    <row r="15" spans="1:12" x14ac:dyDescent="0.25">
      <c r="A15" s="1" t="s">
        <v>110</v>
      </c>
      <c r="B15" s="22">
        <v>730</v>
      </c>
      <c r="C15" s="22">
        <v>807</v>
      </c>
      <c r="D15" s="22">
        <v>791</v>
      </c>
      <c r="E15" s="22">
        <v>819</v>
      </c>
      <c r="F15" s="22">
        <v>849</v>
      </c>
      <c r="G15" s="22">
        <v>866</v>
      </c>
      <c r="H15" s="22">
        <v>867</v>
      </c>
      <c r="I15" s="22">
        <v>867</v>
      </c>
      <c r="J15" s="22">
        <v>867</v>
      </c>
      <c r="K15" s="22">
        <v>867</v>
      </c>
      <c r="L15" s="22">
        <v>861</v>
      </c>
    </row>
    <row r="16" spans="1:12" x14ac:dyDescent="0.25">
      <c r="A16" s="1" t="s">
        <v>93</v>
      </c>
      <c r="B16" s="21">
        <v>1142</v>
      </c>
      <c r="C16" s="21">
        <v>1708</v>
      </c>
      <c r="D16" s="21">
        <v>1462</v>
      </c>
      <c r="E16" s="21">
        <v>1345</v>
      </c>
      <c r="F16" s="22">
        <v>930</v>
      </c>
      <c r="G16" s="22">
        <v>738</v>
      </c>
      <c r="H16" s="22">
        <v>735</v>
      </c>
      <c r="I16" s="22">
        <v>735</v>
      </c>
      <c r="J16" s="22">
        <v>735</v>
      </c>
      <c r="K16" s="22">
        <v>735</v>
      </c>
      <c r="L16" s="22">
        <v>735</v>
      </c>
    </row>
    <row r="17" spans="1:14" x14ac:dyDescent="0.25">
      <c r="A17" s="1" t="s">
        <v>111</v>
      </c>
      <c r="B17" s="18"/>
      <c r="C17" s="22">
        <v>80</v>
      </c>
      <c r="D17" s="22">
        <v>111</v>
      </c>
      <c r="E17" s="22">
        <v>98</v>
      </c>
      <c r="F17" s="22">
        <v>105</v>
      </c>
      <c r="G17" s="22">
        <v>113</v>
      </c>
      <c r="H17" s="22">
        <v>121</v>
      </c>
      <c r="I17" s="22">
        <v>130</v>
      </c>
      <c r="J17" s="22">
        <v>140</v>
      </c>
      <c r="K17" s="22">
        <v>151</v>
      </c>
      <c r="L17" s="22">
        <v>162</v>
      </c>
    </row>
    <row r="18" spans="1:14" ht="15.6" x14ac:dyDescent="0.25">
      <c r="A18" s="1" t="s">
        <v>114</v>
      </c>
      <c r="B18" s="18"/>
      <c r="C18" s="22">
        <v>517</v>
      </c>
      <c r="D18" s="22">
        <f>RJRPrebid!B16</f>
        <v>1142</v>
      </c>
      <c r="E18" s="22">
        <f>RJRPrebid!C16</f>
        <v>1708</v>
      </c>
      <c r="F18" s="22">
        <f>RJRPrebid!D16</f>
        <v>1462</v>
      </c>
      <c r="G18" s="22">
        <f>RJRPrebid!E16</f>
        <v>1345</v>
      </c>
      <c r="H18" s="22">
        <f>RJRPrebid!F16</f>
        <v>930</v>
      </c>
      <c r="I18" s="22">
        <f>RJRPrebid!G16</f>
        <v>738</v>
      </c>
      <c r="J18" s="22">
        <f>RJRPrebid!H16</f>
        <v>735</v>
      </c>
      <c r="K18" s="22">
        <f>RJRPrebid!I16</f>
        <v>735</v>
      </c>
      <c r="L18" s="22">
        <f>RJRPrebid!J16</f>
        <v>735</v>
      </c>
      <c r="M18" s="22">
        <f>RJRPrebid!K16</f>
        <v>735</v>
      </c>
      <c r="N18" s="22">
        <f>RJRPrebid!L16</f>
        <v>735</v>
      </c>
    </row>
    <row r="19" spans="1:14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4" x14ac:dyDescent="0.25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3">
    <mergeCell ref="A1:L1"/>
    <mergeCell ref="A2:L2"/>
    <mergeCell ref="A20:L20"/>
  </mergeCells>
  <phoneticPr fontId="2" type="noConversion"/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topLeftCell="B1" zoomScaleNormal="110" workbookViewId="0">
      <selection activeCell="N23" sqref="N23"/>
    </sheetView>
  </sheetViews>
  <sheetFormatPr defaultColWidth="10.77734375" defaultRowHeight="15.6" x14ac:dyDescent="0.3"/>
  <cols>
    <col min="1" max="1" width="10.77734375" style="69"/>
    <col min="2" max="2" width="34.33203125" style="69" customWidth="1"/>
    <col min="3" max="4" width="13.5546875" style="69" bestFit="1" customWidth="1"/>
    <col min="5" max="5" width="13.44140625" style="69" customWidth="1"/>
    <col min="6" max="9" width="13.5546875" style="69" bestFit="1" customWidth="1"/>
    <col min="10" max="10" width="12.44140625" style="69" customWidth="1"/>
    <col min="11" max="17" width="12.6640625" style="69" customWidth="1"/>
    <col min="18" max="16384" width="10.77734375" style="69"/>
  </cols>
  <sheetData>
    <row r="1" spans="2:17" x14ac:dyDescent="0.3">
      <c r="B1" s="68" t="s">
        <v>264</v>
      </c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2:17" x14ac:dyDescent="0.3">
      <c r="B2" s="70" t="s">
        <v>150</v>
      </c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2:17" x14ac:dyDescent="0.3">
      <c r="C3" s="71"/>
      <c r="D3" s="71">
        <v>0</v>
      </c>
      <c r="E3" s="71">
        <v>1</v>
      </c>
      <c r="F3" s="71">
        <v>2</v>
      </c>
      <c r="G3" s="71">
        <v>3</v>
      </c>
      <c r="H3" s="71">
        <v>4</v>
      </c>
      <c r="I3" s="71">
        <v>5</v>
      </c>
      <c r="J3" s="71">
        <v>6</v>
      </c>
      <c r="K3" s="71">
        <v>7</v>
      </c>
      <c r="L3" s="71">
        <v>8</v>
      </c>
      <c r="M3" s="71">
        <v>9</v>
      </c>
      <c r="N3" s="71">
        <v>10</v>
      </c>
      <c r="O3" s="71"/>
      <c r="P3" s="71"/>
      <c r="Q3" s="71"/>
    </row>
    <row r="4" spans="2:17" x14ac:dyDescent="0.3">
      <c r="C4" s="72" t="s">
        <v>258</v>
      </c>
      <c r="D4" s="72" t="s">
        <v>259</v>
      </c>
      <c r="E4" s="72" t="str">
        <f>(LEFT($D$4,4)+E3)&amp;"E"</f>
        <v>1989E</v>
      </c>
      <c r="F4" s="72" t="str">
        <f t="shared" ref="F4:N4" si="0">(LEFT($D$4,4)+F3)&amp;"E"</f>
        <v>1990E</v>
      </c>
      <c r="G4" s="72" t="str">
        <f t="shared" si="0"/>
        <v>1991E</v>
      </c>
      <c r="H4" s="72" t="str">
        <f t="shared" si="0"/>
        <v>1992E</v>
      </c>
      <c r="I4" s="72" t="str">
        <f t="shared" si="0"/>
        <v>1993E</v>
      </c>
      <c r="J4" s="72" t="str">
        <f t="shared" si="0"/>
        <v>1994E</v>
      </c>
      <c r="K4" s="72" t="str">
        <f t="shared" si="0"/>
        <v>1995E</v>
      </c>
      <c r="L4" s="72" t="str">
        <f t="shared" si="0"/>
        <v>1996E</v>
      </c>
      <c r="M4" s="72" t="str">
        <f t="shared" si="0"/>
        <v>1997E</v>
      </c>
      <c r="N4" s="72" t="str">
        <f t="shared" si="0"/>
        <v>1998E</v>
      </c>
      <c r="O4" s="72"/>
      <c r="P4" s="72"/>
      <c r="Q4" s="72"/>
    </row>
    <row r="5" spans="2:17" x14ac:dyDescent="0.3">
      <c r="B5" s="69" t="s">
        <v>157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</row>
    <row r="6" spans="2:17" x14ac:dyDescent="0.3">
      <c r="B6" s="69" t="s">
        <v>158</v>
      </c>
      <c r="C6" s="73">
        <v>0.34</v>
      </c>
      <c r="D6" s="73">
        <v>0.34</v>
      </c>
      <c r="E6" s="73">
        <v>0.34</v>
      </c>
      <c r="F6" s="73">
        <v>0.34</v>
      </c>
      <c r="G6" s="73">
        <v>0.34</v>
      </c>
      <c r="H6" s="73">
        <v>0.34</v>
      </c>
      <c r="I6" s="73">
        <v>0.34</v>
      </c>
      <c r="J6" s="73">
        <v>0.34</v>
      </c>
      <c r="K6" s="73">
        <v>0.34</v>
      </c>
      <c r="L6" s="73">
        <v>0.34</v>
      </c>
      <c r="M6" s="73">
        <v>0.34</v>
      </c>
      <c r="N6" s="73">
        <v>0.34</v>
      </c>
      <c r="O6" s="73"/>
      <c r="P6" s="73"/>
      <c r="Q6" s="73"/>
    </row>
    <row r="7" spans="2:17" x14ac:dyDescent="0.3">
      <c r="B7" s="69" t="s">
        <v>159</v>
      </c>
      <c r="C7" s="74"/>
      <c r="D7" s="74">
        <f>D16/C16-1</f>
        <v>0.12489660876757647</v>
      </c>
      <c r="E7" s="74">
        <f t="shared" ref="E7:J7" si="1">E16/D16-1</f>
        <v>0.1014705882352942</v>
      </c>
      <c r="F7" s="74">
        <f t="shared" si="1"/>
        <v>0.15487316421895869</v>
      </c>
      <c r="G7" s="74">
        <f t="shared" si="1"/>
        <v>0.16936416184971104</v>
      </c>
      <c r="H7" s="74">
        <f t="shared" si="1"/>
        <v>0.11665842807711324</v>
      </c>
      <c r="I7" s="74">
        <f t="shared" si="1"/>
        <v>0.12262062859672418</v>
      </c>
      <c r="J7" s="74">
        <f t="shared" si="1"/>
        <v>0.12697160883280767</v>
      </c>
      <c r="K7" s="74">
        <f>G55</f>
        <v>0.15</v>
      </c>
      <c r="L7" s="74">
        <f>H55</f>
        <v>0</v>
      </c>
      <c r="M7" s="74">
        <f>I53</f>
        <v>0</v>
      </c>
      <c r="N7" s="74">
        <f>J53</f>
        <v>0</v>
      </c>
      <c r="O7" s="74"/>
      <c r="P7" s="74"/>
      <c r="Q7" s="74"/>
    </row>
    <row r="8" spans="2:17" x14ac:dyDescent="0.3">
      <c r="L8" s="75"/>
      <c r="P8" s="75"/>
    </row>
    <row r="9" spans="2:17" x14ac:dyDescent="0.3">
      <c r="B9" s="69" t="s">
        <v>160</v>
      </c>
      <c r="C9" s="73">
        <f>J52</f>
        <v>0.112</v>
      </c>
      <c r="D9" s="69" t="s">
        <v>204</v>
      </c>
      <c r="L9" s="75"/>
      <c r="P9" s="75"/>
    </row>
    <row r="10" spans="2:17" x14ac:dyDescent="0.3">
      <c r="B10" s="69" t="s">
        <v>162</v>
      </c>
      <c r="C10" s="73">
        <v>0.02</v>
      </c>
      <c r="L10" s="76"/>
    </row>
    <row r="11" spans="2:17" x14ac:dyDescent="0.3">
      <c r="L11" s="77"/>
      <c r="P11" s="75"/>
    </row>
    <row r="12" spans="2:17" x14ac:dyDescent="0.3">
      <c r="B12" s="78" t="s">
        <v>163</v>
      </c>
      <c r="P12" s="79"/>
    </row>
    <row r="13" spans="2:17" x14ac:dyDescent="0.3">
      <c r="B13" s="89" t="s">
        <v>164</v>
      </c>
      <c r="C13" s="205">
        <f>RJRCondensed!G5</f>
        <v>15766</v>
      </c>
      <c r="D13" s="205">
        <f>RJRPrebid!B7</f>
        <v>16950</v>
      </c>
      <c r="E13" s="205">
        <f>RJRPrebid!C7</f>
        <v>18088</v>
      </c>
      <c r="F13" s="205">
        <f>RJRPrebid!D7</f>
        <v>19676</v>
      </c>
      <c r="G13" s="205">
        <f>RJRPrebid!E7</f>
        <v>21075</v>
      </c>
      <c r="H13" s="205">
        <f>RJRPrebid!F7</f>
        <v>22578</v>
      </c>
      <c r="I13" s="205">
        <f>RJRPrebid!G7</f>
        <v>24191</v>
      </c>
      <c r="J13" s="205">
        <f>RJRPrebid!H7</f>
        <v>25925</v>
      </c>
      <c r="K13" s="205">
        <f>RJRPrebid!I7</f>
        <v>27788</v>
      </c>
      <c r="L13" s="205">
        <f>RJRPrebid!J7</f>
        <v>29790</v>
      </c>
      <c r="M13" s="205">
        <f>RJRPrebid!K7</f>
        <v>31942</v>
      </c>
      <c r="N13" s="205">
        <f>RJRPrebid!L7</f>
        <v>34256</v>
      </c>
      <c r="O13" s="75"/>
      <c r="P13" s="75"/>
    </row>
    <row r="14" spans="2:17" ht="16.2" thickBot="1" x14ac:dyDescent="0.35">
      <c r="B14" s="93" t="s">
        <v>165</v>
      </c>
      <c r="C14" s="215">
        <f>C13-C15</f>
        <v>13462</v>
      </c>
      <c r="D14" s="215">
        <f t="shared" ref="D14:J14" si="2">D13-D15</f>
        <v>14297</v>
      </c>
      <c r="E14" s="215">
        <f t="shared" si="2"/>
        <v>15190</v>
      </c>
      <c r="F14" s="215">
        <f t="shared" si="2"/>
        <v>16340</v>
      </c>
      <c r="G14" s="215">
        <f t="shared" si="2"/>
        <v>17237</v>
      </c>
      <c r="H14" s="215">
        <f t="shared" si="2"/>
        <v>18362</v>
      </c>
      <c r="I14" s="215">
        <f t="shared" si="2"/>
        <v>19557</v>
      </c>
      <c r="J14" s="215">
        <f t="shared" si="2"/>
        <v>20832</v>
      </c>
      <c r="K14" s="215">
        <f t="shared" ref="K14" si="3">K13-K15</f>
        <v>22192</v>
      </c>
      <c r="L14" s="215">
        <f t="shared" ref="L14" si="4">L13-L15</f>
        <v>23641</v>
      </c>
      <c r="M14" s="215">
        <f t="shared" ref="M14" si="5">M13-M15</f>
        <v>25186</v>
      </c>
      <c r="N14" s="215">
        <f t="shared" ref="N14" si="6">N13-N15</f>
        <v>26832</v>
      </c>
    </row>
    <row r="15" spans="2:17" ht="16.2" thickBot="1" x14ac:dyDescent="0.35">
      <c r="B15" s="93" t="s">
        <v>260</v>
      </c>
      <c r="C15" s="215">
        <f>RJRCondensed!G6</f>
        <v>2304</v>
      </c>
      <c r="D15" s="215">
        <f>RJRPrebid!B12</f>
        <v>2653</v>
      </c>
      <c r="E15" s="215">
        <f>RJRPrebid!C12</f>
        <v>2898</v>
      </c>
      <c r="F15" s="215">
        <f>RJRPrebid!D12</f>
        <v>3336</v>
      </c>
      <c r="G15" s="215">
        <f>RJRPrebid!E12</f>
        <v>3838</v>
      </c>
      <c r="H15" s="215">
        <f>RJRPrebid!F12</f>
        <v>4216</v>
      </c>
      <c r="I15" s="215">
        <f>RJRPrebid!G12</f>
        <v>4634</v>
      </c>
      <c r="J15" s="215">
        <f>RJRPrebid!H12</f>
        <v>5093</v>
      </c>
      <c r="K15" s="215">
        <f>RJRPrebid!I12</f>
        <v>5596</v>
      </c>
      <c r="L15" s="215">
        <f>RJRPrebid!J12</f>
        <v>6149</v>
      </c>
      <c r="M15" s="215">
        <f>RJRPrebid!K12</f>
        <v>6756</v>
      </c>
      <c r="N15" s="215">
        <f>RJRPrebid!L12</f>
        <v>7424</v>
      </c>
    </row>
    <row r="16" spans="2:17" ht="16.2" thickBot="1" x14ac:dyDescent="0.35">
      <c r="B16" s="93" t="s">
        <v>215</v>
      </c>
      <c r="C16" s="215">
        <f>RJRCondensed!G11</f>
        <v>1209</v>
      </c>
      <c r="D16" s="215">
        <f>RJRPrebid!B14</f>
        <v>1360</v>
      </c>
      <c r="E16" s="215">
        <f>RJRPrebid!C14</f>
        <v>1498</v>
      </c>
      <c r="F16" s="215">
        <f>RJRPrebid!D14</f>
        <v>1730</v>
      </c>
      <c r="G16" s="215">
        <f>RJRPrebid!E14</f>
        <v>2023</v>
      </c>
      <c r="H16" s="215">
        <f>RJRPrebid!F14</f>
        <v>2259</v>
      </c>
      <c r="I16" s="215">
        <f>RJRPrebid!G14</f>
        <v>2536</v>
      </c>
      <c r="J16" s="215">
        <f>RJRPrebid!H14</f>
        <v>2858</v>
      </c>
      <c r="K16" s="215">
        <f>RJRPrebid!I14</f>
        <v>3251</v>
      </c>
      <c r="L16" s="215">
        <f>RJRPrebid!J14</f>
        <v>3625</v>
      </c>
      <c r="M16" s="215">
        <f>RJRPrebid!K14</f>
        <v>4094</v>
      </c>
      <c r="N16" s="215">
        <f>RJRPrebid!L14</f>
        <v>4625</v>
      </c>
      <c r="O16" s="76"/>
      <c r="P16" s="76"/>
      <c r="Q16" s="76"/>
    </row>
    <row r="17" spans="2:17" x14ac:dyDescent="0.3">
      <c r="B17" s="89" t="s">
        <v>170</v>
      </c>
      <c r="C17" s="206"/>
      <c r="D17" s="206">
        <f>RJRPrebid!B15</f>
        <v>730</v>
      </c>
      <c r="E17" s="206">
        <f>RJRPrebid!C15</f>
        <v>807</v>
      </c>
      <c r="F17" s="206">
        <f>RJRPrebid!D15</f>
        <v>791</v>
      </c>
      <c r="G17" s="206">
        <f>RJRPrebid!E15</f>
        <v>819</v>
      </c>
      <c r="H17" s="206">
        <f>RJRPrebid!F15</f>
        <v>849</v>
      </c>
      <c r="I17" s="206">
        <f>RJRPrebid!G15</f>
        <v>866</v>
      </c>
      <c r="J17" s="206">
        <f>RJRPrebid!H15</f>
        <v>867</v>
      </c>
      <c r="K17" s="206">
        <f>RJRPrebid!I15</f>
        <v>867</v>
      </c>
      <c r="L17" s="206">
        <f>RJRPrebid!J15</f>
        <v>867</v>
      </c>
      <c r="M17" s="206">
        <f>RJRPrebid!K15</f>
        <v>867</v>
      </c>
      <c r="N17" s="206">
        <f>RJRPrebid!L15</f>
        <v>861</v>
      </c>
      <c r="O17" s="86"/>
      <c r="P17" s="86"/>
      <c r="Q17" s="86"/>
    </row>
    <row r="18" spans="2:17" x14ac:dyDescent="0.3">
      <c r="B18" s="89" t="s">
        <v>173</v>
      </c>
      <c r="C18" s="207"/>
      <c r="D18" s="210">
        <f>RJRPrebid!B16</f>
        <v>1142</v>
      </c>
      <c r="E18" s="210">
        <f>RJRPrebid!C16</f>
        <v>1708</v>
      </c>
      <c r="F18" s="210">
        <f>RJRPrebid!D16</f>
        <v>1462</v>
      </c>
      <c r="G18" s="210">
        <f>RJRPrebid!E16</f>
        <v>1345</v>
      </c>
      <c r="H18" s="210">
        <f>RJRPrebid!F16</f>
        <v>930</v>
      </c>
      <c r="I18" s="210">
        <f>RJRPrebid!G16</f>
        <v>738</v>
      </c>
      <c r="J18" s="210">
        <f>RJRPrebid!H16</f>
        <v>735</v>
      </c>
      <c r="K18" s="210">
        <f>RJRPrebid!I16</f>
        <v>735</v>
      </c>
      <c r="L18" s="210">
        <f>RJRPrebid!J16</f>
        <v>735</v>
      </c>
      <c r="M18" s="210">
        <f>RJRPrebid!K16</f>
        <v>735</v>
      </c>
      <c r="N18" s="210">
        <f>RJRPrebid!L16</f>
        <v>735</v>
      </c>
      <c r="O18" s="87"/>
      <c r="P18" s="87"/>
      <c r="Q18" s="87"/>
    </row>
    <row r="19" spans="2:17" x14ac:dyDescent="0.3">
      <c r="B19" s="89" t="s">
        <v>172</v>
      </c>
      <c r="C19" s="206">
        <f>RJRBS!C33</f>
        <v>332</v>
      </c>
      <c r="D19" s="206">
        <v>0</v>
      </c>
      <c r="E19" s="206">
        <f>RJRPrebid!C17</f>
        <v>80</v>
      </c>
      <c r="F19" s="206">
        <f>RJRPrebid!D17</f>
        <v>111</v>
      </c>
      <c r="G19" s="206">
        <f>RJRPrebid!E17</f>
        <v>98</v>
      </c>
      <c r="H19" s="206">
        <f>RJRPrebid!F17</f>
        <v>105</v>
      </c>
      <c r="I19" s="206">
        <f>RJRPrebid!G17</f>
        <v>113</v>
      </c>
      <c r="J19" s="206">
        <f>RJRPrebid!H17</f>
        <v>121</v>
      </c>
      <c r="K19" s="206">
        <f>RJRPrebid!I17</f>
        <v>130</v>
      </c>
      <c r="L19" s="206">
        <f>RJRPrebid!J17</f>
        <v>140</v>
      </c>
      <c r="M19" s="206">
        <f>RJRPrebid!K17</f>
        <v>151</v>
      </c>
      <c r="N19" s="206">
        <f>RJRPrebid!L17</f>
        <v>162</v>
      </c>
      <c r="O19" s="88"/>
      <c r="P19" s="88"/>
      <c r="Q19" s="88"/>
    </row>
    <row r="20" spans="2:17" x14ac:dyDescent="0.3"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90"/>
      <c r="P20" s="90"/>
      <c r="Q20" s="90"/>
    </row>
    <row r="21" spans="2:17" x14ac:dyDescent="0.3">
      <c r="B21" s="89"/>
      <c r="C21" s="207"/>
      <c r="D21" s="207"/>
      <c r="E21" s="207"/>
      <c r="F21" s="207"/>
      <c r="G21" s="207"/>
      <c r="H21" s="207"/>
      <c r="I21" s="207"/>
      <c r="J21" s="207"/>
      <c r="K21" s="118"/>
      <c r="L21" s="118"/>
      <c r="M21" s="118"/>
      <c r="N21" s="118"/>
    </row>
    <row r="22" spans="2:17" x14ac:dyDescent="0.3">
      <c r="B22" s="69" t="s">
        <v>174</v>
      </c>
      <c r="C22" s="118">
        <f>C16+C17-C18-C19</f>
        <v>877</v>
      </c>
      <c r="D22" s="118">
        <f t="shared" ref="D22:N22" si="7">D16+D17-D18-D19</f>
        <v>948</v>
      </c>
      <c r="E22" s="118">
        <f t="shared" si="7"/>
        <v>517</v>
      </c>
      <c r="F22" s="118">
        <f t="shared" si="7"/>
        <v>948</v>
      </c>
      <c r="G22" s="118">
        <f t="shared" si="7"/>
        <v>1399</v>
      </c>
      <c r="H22" s="118">
        <f t="shared" si="7"/>
        <v>2073</v>
      </c>
      <c r="I22" s="118">
        <f t="shared" si="7"/>
        <v>2551</v>
      </c>
      <c r="J22" s="118">
        <f t="shared" si="7"/>
        <v>2869</v>
      </c>
      <c r="K22" s="118">
        <f t="shared" si="7"/>
        <v>3253</v>
      </c>
      <c r="L22" s="118">
        <f t="shared" si="7"/>
        <v>3617</v>
      </c>
      <c r="M22" s="118">
        <f t="shared" si="7"/>
        <v>4075</v>
      </c>
      <c r="N22" s="118">
        <f t="shared" si="7"/>
        <v>4589</v>
      </c>
      <c r="O22" s="95"/>
      <c r="P22" s="95"/>
      <c r="Q22" s="95"/>
    </row>
    <row r="23" spans="2:17" x14ac:dyDescent="0.3">
      <c r="B23" s="69" t="s">
        <v>175</v>
      </c>
      <c r="C23" s="208"/>
      <c r="D23" s="208"/>
      <c r="E23" s="208"/>
      <c r="F23" s="208"/>
      <c r="G23" s="208"/>
      <c r="H23" s="208"/>
      <c r="I23" s="208"/>
      <c r="J23" s="209"/>
      <c r="K23" s="209"/>
      <c r="L23" s="209"/>
      <c r="M23" s="209"/>
      <c r="N23" s="208">
        <f>N22*(1+C10)/(C9-C10)</f>
        <v>50878.043478260865</v>
      </c>
      <c r="O23" s="82"/>
      <c r="P23" s="82"/>
    </row>
    <row r="24" spans="2:17" x14ac:dyDescent="0.3">
      <c r="B24" s="69" t="s">
        <v>176</v>
      </c>
      <c r="C24" s="206"/>
      <c r="D24" s="206"/>
      <c r="E24" s="206">
        <f>SUM(E22:E23)/2</f>
        <v>258.5</v>
      </c>
      <c r="F24" s="206">
        <f t="shared" ref="F24:N24" si="8">SUM(F22:F23)</f>
        <v>948</v>
      </c>
      <c r="G24" s="206">
        <f t="shared" si="8"/>
        <v>1399</v>
      </c>
      <c r="H24" s="206">
        <f t="shared" si="8"/>
        <v>2073</v>
      </c>
      <c r="I24" s="206">
        <f t="shared" si="8"/>
        <v>2551</v>
      </c>
      <c r="J24" s="206">
        <f t="shared" si="8"/>
        <v>2869</v>
      </c>
      <c r="K24" s="206">
        <f t="shared" si="8"/>
        <v>3253</v>
      </c>
      <c r="L24" s="206">
        <f t="shared" si="8"/>
        <v>3617</v>
      </c>
      <c r="M24" s="206">
        <f t="shared" si="8"/>
        <v>4075</v>
      </c>
      <c r="N24" s="206">
        <f t="shared" si="8"/>
        <v>55467.043478260865</v>
      </c>
      <c r="O24" s="90"/>
      <c r="P24" s="90"/>
      <c r="Q24" s="90"/>
    </row>
    <row r="25" spans="2:17" x14ac:dyDescent="0.3">
      <c r="B25" s="69" t="s">
        <v>177</v>
      </c>
      <c r="C25" s="80"/>
      <c r="D25" s="80"/>
      <c r="E25" s="80">
        <f t="shared" ref="E25:J25" si="9">E24/(1+$C$9)^E$3</f>
        <v>232.46402877697841</v>
      </c>
      <c r="F25" s="80">
        <f t="shared" si="9"/>
        <v>766.65286475855271</v>
      </c>
      <c r="G25" s="80">
        <f t="shared" si="9"/>
        <v>1017.4272206891592</v>
      </c>
      <c r="H25" s="80">
        <f t="shared" si="9"/>
        <v>1355.7516857420169</v>
      </c>
      <c r="I25" s="80">
        <f t="shared" si="9"/>
        <v>1500.3290639534182</v>
      </c>
      <c r="J25" s="80">
        <f t="shared" si="9"/>
        <v>1517.4060970878807</v>
      </c>
      <c r="K25" s="80">
        <f>K24/(1+$C$9)^K$3</f>
        <v>1547.2145916742336</v>
      </c>
      <c r="L25" s="80">
        <f>L24/(1+$C$9)^L$3</f>
        <v>1547.0708770447927</v>
      </c>
      <c r="M25" s="80">
        <f>M24/(1+$C$9)^M$3</f>
        <v>1567.416910143927</v>
      </c>
      <c r="N25" s="80">
        <f>N24/(1+$C$9)^N$3</f>
        <v>19186.119500268018</v>
      </c>
      <c r="O25" s="80"/>
      <c r="P25" s="80"/>
      <c r="Q25" s="80"/>
    </row>
    <row r="26" spans="2:17" x14ac:dyDescent="0.3">
      <c r="C26" s="97"/>
      <c r="D26" s="97"/>
      <c r="E26" s="97"/>
      <c r="F26" s="97"/>
      <c r="G26" s="97"/>
      <c r="H26" s="97"/>
      <c r="I26" s="97"/>
      <c r="J26" s="97"/>
    </row>
    <row r="27" spans="2:17" x14ac:dyDescent="0.3">
      <c r="C27" s="81"/>
      <c r="D27" s="81"/>
      <c r="E27" s="81"/>
      <c r="F27" s="81"/>
      <c r="G27" s="81"/>
      <c r="H27" s="81"/>
      <c r="I27" s="81"/>
      <c r="J27" s="81"/>
    </row>
    <row r="28" spans="2:17" x14ac:dyDescent="0.3">
      <c r="B28" s="69" t="s">
        <v>178</v>
      </c>
      <c r="C28" s="98">
        <f>SUM(C25:Q25)</f>
        <v>30237.852840138978</v>
      </c>
      <c r="D28" s="81"/>
      <c r="E28" s="99"/>
      <c r="F28" s="100"/>
      <c r="G28" s="81"/>
      <c r="H28" s="81"/>
      <c r="I28" s="81"/>
      <c r="J28" s="81"/>
      <c r="K28" s="81"/>
      <c r="L28" s="81"/>
    </row>
    <row r="29" spans="2:17" x14ac:dyDescent="0.3">
      <c r="B29" s="101"/>
      <c r="C29" s="101"/>
      <c r="D29" s="81"/>
      <c r="E29" s="76"/>
      <c r="F29" s="76"/>
      <c r="G29" s="102"/>
      <c r="H29" s="102"/>
      <c r="I29" s="102"/>
      <c r="J29" s="102"/>
      <c r="K29" s="102"/>
      <c r="L29" s="102"/>
      <c r="M29" s="76"/>
      <c r="N29" s="76"/>
      <c r="O29" s="76"/>
      <c r="P29" s="76"/>
    </row>
    <row r="30" spans="2:17" ht="16.2" thickBot="1" x14ac:dyDescent="0.35">
      <c r="C30" s="76"/>
      <c r="K30" s="81"/>
      <c r="L30" s="81"/>
    </row>
    <row r="31" spans="2:17" ht="16.2" thickBot="1" x14ac:dyDescent="0.35">
      <c r="B31" s="103" t="s">
        <v>179</v>
      </c>
      <c r="C31" s="104"/>
      <c r="E31" s="105" t="s">
        <v>180</v>
      </c>
    </row>
    <row r="32" spans="2:17" ht="16.2" thickBot="1" x14ac:dyDescent="0.35">
      <c r="B32" s="106" t="s">
        <v>181</v>
      </c>
      <c r="C32" s="107" t="s">
        <v>182</v>
      </c>
      <c r="E32" s="108" t="s">
        <v>183</v>
      </c>
      <c r="F32" s="108"/>
      <c r="G32" s="108"/>
      <c r="H32" s="109"/>
      <c r="I32" s="108" t="s">
        <v>184</v>
      </c>
      <c r="J32" s="108"/>
    </row>
    <row r="33" spans="2:12" x14ac:dyDescent="0.3">
      <c r="B33" s="110">
        <v>0.08</v>
      </c>
      <c r="C33" s="111">
        <f>(NPV(B33,$E$24:$M$24,$N$22+$N$22*(1+$C$10)/(B33-$C$10)))*(1+B33)</f>
        <v>55492.550813040572</v>
      </c>
      <c r="D33" s="112"/>
      <c r="E33" s="69" t="s">
        <v>185</v>
      </c>
      <c r="G33" s="113">
        <f>'[1]Interest-Ratings'!E6</f>
        <v>7.7200000000000005E-2</v>
      </c>
      <c r="I33" s="69" t="s">
        <v>186</v>
      </c>
      <c r="J33" s="76">
        <f>[1]Comps!D31</f>
        <v>8620</v>
      </c>
    </row>
    <row r="34" spans="2:12" x14ac:dyDescent="0.3">
      <c r="B34" s="110">
        <v>8.5000000000000006E-2</v>
      </c>
      <c r="C34" s="111">
        <f>(NPV(B34,$E$24:$M$24,$N$22+$N$22*(1+$C$10)/(B34-$C$10)))*(1+B34)</f>
        <v>50610.580470434303</v>
      </c>
      <c r="D34" s="112"/>
      <c r="E34" s="69" t="s">
        <v>187</v>
      </c>
      <c r="G34" s="114">
        <f>RJRBS!C19</f>
        <v>3884</v>
      </c>
      <c r="I34" s="69" t="s">
        <v>188</v>
      </c>
      <c r="J34" s="76">
        <f>G34</f>
        <v>3884</v>
      </c>
      <c r="K34" s="115"/>
      <c r="L34" s="116"/>
    </row>
    <row r="35" spans="2:12" x14ac:dyDescent="0.3">
      <c r="B35" s="110">
        <v>0.09</v>
      </c>
      <c r="C35" s="111">
        <f>(NPV(B35,$E$24:$M$24,$N$22+$N$22*(1+$C$10)/(B35-$C$10)))*(1+B35)</f>
        <v>46442.62225539935</v>
      </c>
      <c r="D35" s="112"/>
      <c r="I35" s="69" t="s">
        <v>189</v>
      </c>
      <c r="J35" s="73">
        <f>G41+G40*G42</f>
        <v>0.112</v>
      </c>
      <c r="K35" s="115"/>
    </row>
    <row r="36" spans="2:12" x14ac:dyDescent="0.3">
      <c r="B36" s="110">
        <v>9.5000000000000001E-2</v>
      </c>
      <c r="C36" s="111">
        <f>(NPV(B36,$E$24:$M$24,$N$22+$N$22*(1+$C$10)/(B36-$C$10)))*(1+B36)</f>
        <v>42845.314021864244</v>
      </c>
      <c r="D36" s="112"/>
      <c r="I36" s="69" t="s">
        <v>190</v>
      </c>
      <c r="J36" s="73">
        <f>G33</f>
        <v>7.7200000000000005E-2</v>
      </c>
    </row>
    <row r="37" spans="2:12" x14ac:dyDescent="0.3">
      <c r="B37" s="110">
        <v>0.1</v>
      </c>
      <c r="C37" s="111">
        <f>(NPV(B37,$E$24:$M$24,$N$22+$N$22*(1+$C$10)/(B37-$C$10)))*(1+B37)</f>
        <v>39711.156491428468</v>
      </c>
      <c r="D37" s="112"/>
      <c r="I37" s="69" t="s">
        <v>191</v>
      </c>
      <c r="J37" s="73">
        <v>0.34</v>
      </c>
    </row>
    <row r="38" spans="2:12" x14ac:dyDescent="0.3">
      <c r="B38" s="110">
        <v>0.105</v>
      </c>
      <c r="C38" s="111">
        <f>(NPV(B38,$E$24:$M$24,$N$22+$N$22*(1+$C$10)/(B38-$C$10)))*(1+B38)</f>
        <v>36957.964339503975</v>
      </c>
      <c r="D38" s="112"/>
      <c r="E38" s="108" t="s">
        <v>192</v>
      </c>
      <c r="F38" s="108"/>
      <c r="G38" s="108"/>
      <c r="I38" s="78" t="s">
        <v>161</v>
      </c>
      <c r="J38" s="73">
        <f>J34/(J34+J33)*J36*(1-J37)+J35*J33/(J33+J34)</f>
        <v>9.303723352527192E-2</v>
      </c>
    </row>
    <row r="39" spans="2:12" x14ac:dyDescent="0.3">
      <c r="B39" s="110">
        <v>0.11</v>
      </c>
      <c r="C39" s="111">
        <f>(NPV(B39,$E$24:$M$24,$N$22+$N$22*(1+$C$10)/(B39-$C$10)))*(1+B39)</f>
        <v>34521.833636931202</v>
      </c>
      <c r="D39" s="112"/>
      <c r="E39" s="69" t="s">
        <v>193</v>
      </c>
      <c r="G39" s="69">
        <f>RJRCondensed!G17</f>
        <v>247.4</v>
      </c>
      <c r="I39" s="73"/>
      <c r="J39" s="73"/>
    </row>
    <row r="40" spans="2:12" x14ac:dyDescent="0.3">
      <c r="B40" s="110">
        <v>0.115</v>
      </c>
      <c r="C40" s="111">
        <f>(NPV(B40,$E$24:$M$24,$N$22+$N$22*(1+$C$10)/(B40-$C$10)))*(1+B40)</f>
        <v>32352.330144889776</v>
      </c>
      <c r="D40" s="112"/>
      <c r="E40" s="69" t="s">
        <v>194</v>
      </c>
      <c r="G40" s="214">
        <f>RJRCondensed!I18</f>
        <v>0.89333333333333342</v>
      </c>
      <c r="I40" s="108" t="s">
        <v>195</v>
      </c>
      <c r="J40" s="108"/>
    </row>
    <row r="41" spans="2:12" x14ac:dyDescent="0.3">
      <c r="B41" s="110">
        <v>0.12</v>
      </c>
      <c r="C41" s="111">
        <f>(NPV(B41,$E$24:$M$24,$N$22+$N$22*(1+$C$10)/(B41-$C$10)))*(1+B41)</f>
        <v>30409.121161959574</v>
      </c>
      <c r="D41" s="112"/>
      <c r="E41" s="69" t="s">
        <v>196</v>
      </c>
      <c r="G41" s="113">
        <f>'[1]Interest-Ratings'!D13</f>
        <v>5.8400000000000001E-2</v>
      </c>
      <c r="I41" s="69" t="s">
        <v>197</v>
      </c>
      <c r="J41" s="74">
        <v>0.7</v>
      </c>
    </row>
    <row r="42" spans="2:12" x14ac:dyDescent="0.3">
      <c r="B42" s="117">
        <v>0.125</v>
      </c>
      <c r="C42" s="111">
        <f>(NPV(B42,$E$24:$M$24,$N$22+$N$22*(1+$C$10)/(B42-$C$10)))*(1+B42)</f>
        <v>28659.569737059926</v>
      </c>
      <c r="D42" s="112"/>
      <c r="E42" s="69" t="s">
        <v>198</v>
      </c>
      <c r="G42" s="113">
        <v>0.06</v>
      </c>
      <c r="I42" s="69" t="s">
        <v>199</v>
      </c>
      <c r="J42" s="74">
        <f>1-J41</f>
        <v>0.30000000000000004</v>
      </c>
    </row>
    <row r="43" spans="2:12" x14ac:dyDescent="0.3">
      <c r="B43" s="110">
        <v>0.13</v>
      </c>
      <c r="C43" s="111">
        <f>(NPV(B43,$E$24:$M$24,$N$22+$N$22*(1+$C$10)/(B43-$C$10)))*(1+B43)</f>
        <v>27076.985038950363</v>
      </c>
      <c r="D43" s="112"/>
      <c r="E43" s="69" t="s">
        <v>200</v>
      </c>
      <c r="G43" s="118">
        <f>RJRCondensed!G17*RJRCondensed!G15</f>
        <v>11133</v>
      </c>
      <c r="I43" s="69" t="s">
        <v>194</v>
      </c>
      <c r="J43" s="76">
        <f>[1]Comps!Q43</f>
        <v>0.7431280717332277</v>
      </c>
    </row>
    <row r="44" spans="2:12" x14ac:dyDescent="0.3">
      <c r="B44" s="110">
        <v>0.13500000000000001</v>
      </c>
      <c r="C44" s="111">
        <f>(NPV(B44,$E$24:$M$24,$N$22+$N$22*(1+$C$10)/(B44-$C$10)))*(1+B44)</f>
        <v>25639.32918068417</v>
      </c>
      <c r="D44" s="112"/>
      <c r="I44" s="69" t="s">
        <v>189</v>
      </c>
      <c r="J44" s="73">
        <f>G41+G42*J43</f>
        <v>0.10298768430399366</v>
      </c>
    </row>
    <row r="45" spans="2:12" x14ac:dyDescent="0.3">
      <c r="B45" s="110">
        <v>0.14000000000000001</v>
      </c>
      <c r="C45" s="111">
        <f>(NPV(B45,$E$24:$M$24,$N$22+$N$22*(1+$C$10)/(B45-$C$10)))*(1+B45)</f>
        <v>24328.247364712894</v>
      </c>
      <c r="D45" s="112"/>
      <c r="I45" s="69" t="s">
        <v>190</v>
      </c>
      <c r="J45" s="73">
        <f>G33</f>
        <v>7.7200000000000005E-2</v>
      </c>
    </row>
    <row r="46" spans="2:12" x14ac:dyDescent="0.3">
      <c r="B46" s="110">
        <v>0.14499999999999999</v>
      </c>
      <c r="C46" s="111">
        <f>(NPV(B46,$E$24:$M$24,$N$22+$N$22*(1+$C$10)/(B46-$C$10)))*(1+B46)</f>
        <v>23128.330817411294</v>
      </c>
      <c r="D46" s="112"/>
      <c r="E46" s="108" t="s">
        <v>201</v>
      </c>
      <c r="F46" s="108"/>
      <c r="G46" s="108"/>
      <c r="I46" s="69" t="s">
        <v>191</v>
      </c>
      <c r="J46" s="73">
        <v>0.34</v>
      </c>
    </row>
    <row r="47" spans="2:12" x14ac:dyDescent="0.3">
      <c r="B47" s="110">
        <v>0.15</v>
      </c>
      <c r="C47" s="111">
        <f>(NPV(B47,$E$24:$M$24,$N$22+$N$22*(1+$C$10)/(B47-$C$10)))*(1+B47)</f>
        <v>22026.549837640265</v>
      </c>
      <c r="D47" s="112"/>
      <c r="E47" s="119" t="s">
        <v>202</v>
      </c>
      <c r="G47" s="75">
        <v>500</v>
      </c>
      <c r="I47" s="78" t="s">
        <v>161</v>
      </c>
      <c r="J47" s="73">
        <f>J42*J45*(1-J46)+J44*J41</f>
        <v>8.737697901279555E-2</v>
      </c>
    </row>
    <row r="48" spans="2:12" x14ac:dyDescent="0.3">
      <c r="B48" s="110">
        <v>0.155</v>
      </c>
      <c r="C48" s="111">
        <f>(NPV(B48,$E$24:$M$24,$N$22+$N$22*(1+$C$10)/(B48-$C$10)))*(1+B48)</f>
        <v>21011.812854525531</v>
      </c>
      <c r="D48" s="112"/>
      <c r="G48" s="75"/>
    </row>
    <row r="49" spans="2:13" ht="16.2" thickBot="1" x14ac:dyDescent="0.35">
      <c r="B49" s="120">
        <v>0.16</v>
      </c>
      <c r="C49" s="121">
        <f>(NPV(B49,$E$24:$M$24,$N$22+$N$22*(1+$C$10)/(B49-$C$10)))*(1+B49)</f>
        <v>20074.619991076004</v>
      </c>
      <c r="D49" s="112"/>
      <c r="E49" s="108" t="s">
        <v>64</v>
      </c>
      <c r="F49" s="108"/>
      <c r="G49" s="108"/>
    </row>
    <row r="50" spans="2:13" x14ac:dyDescent="0.3">
      <c r="E50" s="122" t="s">
        <v>203</v>
      </c>
      <c r="G50" s="75">
        <v>300</v>
      </c>
      <c r="I50" s="108" t="s">
        <v>204</v>
      </c>
      <c r="J50" s="108"/>
    </row>
    <row r="51" spans="2:13" x14ac:dyDescent="0.3">
      <c r="E51" s="123" t="s">
        <v>205</v>
      </c>
      <c r="G51" s="75">
        <v>500</v>
      </c>
      <c r="I51" s="69" t="s">
        <v>194</v>
      </c>
      <c r="J51" s="76">
        <f>G40</f>
        <v>0.89333333333333342</v>
      </c>
    </row>
    <row r="52" spans="2:13" ht="16.2" thickBot="1" x14ac:dyDescent="0.35">
      <c r="E52" s="122" t="s">
        <v>206</v>
      </c>
      <c r="G52" s="75">
        <f>SUM(G50:G51)</f>
        <v>800</v>
      </c>
      <c r="I52" s="69" t="s">
        <v>204</v>
      </c>
      <c r="J52" s="125">
        <f>G41+G42*J51</f>
        <v>0.112</v>
      </c>
    </row>
    <row r="53" spans="2:13" ht="16.2" thickBot="1" x14ac:dyDescent="0.35">
      <c r="B53" s="103" t="s">
        <v>207</v>
      </c>
      <c r="C53" s="104"/>
      <c r="J53" s="73"/>
    </row>
    <row r="54" spans="2:13" ht="16.2" thickBot="1" x14ac:dyDescent="0.35">
      <c r="B54" s="106" t="s">
        <v>208</v>
      </c>
      <c r="C54" s="124" t="s">
        <v>182</v>
      </c>
      <c r="E54" s="108" t="s">
        <v>209</v>
      </c>
      <c r="F54" s="108"/>
      <c r="G54" s="108"/>
      <c r="J54" s="73"/>
      <c r="M54" s="113"/>
    </row>
    <row r="55" spans="2:13" x14ac:dyDescent="0.3">
      <c r="B55" s="110">
        <v>-0.02</v>
      </c>
      <c r="C55" s="111">
        <f>(NPV($C$9,$E$24:$M$24,$N$22+$N$22*(1+B55)/($C$9-B55)))*(1+$C$9)</f>
        <v>27159.351484204846</v>
      </c>
      <c r="E55" s="126" t="s">
        <v>167</v>
      </c>
      <c r="F55" s="101" t="s">
        <v>210</v>
      </c>
      <c r="G55" s="127">
        <v>0.15</v>
      </c>
      <c r="I55" s="78"/>
      <c r="J55" s="73"/>
      <c r="M55" s="113"/>
    </row>
    <row r="56" spans="2:13" x14ac:dyDescent="0.3">
      <c r="B56" s="110">
        <v>-1.4999999999999999E-2</v>
      </c>
      <c r="C56" s="111">
        <f>(NPV($C$9,$E$24:$M$24,$N$22+$N$22*(1+B56)/($C$9-B56)))*(1+$C$9)</f>
        <v>27744.777626341394</v>
      </c>
      <c r="E56" s="69" t="s">
        <v>211</v>
      </c>
      <c r="F56" s="69" t="s">
        <v>212</v>
      </c>
      <c r="G56" s="115"/>
    </row>
    <row r="57" spans="2:13" x14ac:dyDescent="0.3">
      <c r="B57" s="110">
        <v>-0.01</v>
      </c>
      <c r="C57" s="111">
        <f>(NPV($C$9,$E$24:$M$24,$N$22+$N$22*(1+B57)/($C$9-B57)))*(1+$C$9)</f>
        <v>28378.189517833398</v>
      </c>
      <c r="E57" s="69" t="s">
        <v>213</v>
      </c>
      <c r="F57" s="69" t="s">
        <v>212</v>
      </c>
      <c r="G57" s="115"/>
    </row>
    <row r="58" spans="2:13" x14ac:dyDescent="0.3">
      <c r="B58" s="110">
        <v>-5.0000000000000001E-3</v>
      </c>
      <c r="C58" s="111">
        <f>(NPV($C$9,$E$24:$M$24,$N$22+$N$22*(1+B58)/($C$9-B58)))*(1+$C$9)</f>
        <v>29065.739177828989</v>
      </c>
    </row>
    <row r="59" spans="2:13" x14ac:dyDescent="0.3">
      <c r="B59" s="110">
        <v>0</v>
      </c>
      <c r="C59" s="111">
        <f>(NPV($C$9,$E$24:$M$24,$N$22+$N$22*(1+B59)/($C$9-B59)))*(1+$C$9)</f>
        <v>29814.677200324193</v>
      </c>
    </row>
    <row r="60" spans="2:13" x14ac:dyDescent="0.3">
      <c r="B60" s="110">
        <v>5.0000000000000001E-3</v>
      </c>
      <c r="C60" s="111">
        <f>(NPV($C$9,$E$24:$M$24,$N$22+$N$22*(1+B60)/($C$9-B60)))*(1+$C$9)</f>
        <v>30633.609430529221</v>
      </c>
    </row>
    <row r="61" spans="2:13" x14ac:dyDescent="0.3">
      <c r="B61" s="110">
        <v>0.01</v>
      </c>
      <c r="C61" s="111">
        <f>(NPV($C$9,$E$24:$M$24,$N$22+$N$22*(1+B61)/($C$9-B61)))*(1+$C$9)</f>
        <v>31532.829134283769</v>
      </c>
    </row>
    <row r="62" spans="2:13" x14ac:dyDescent="0.3">
      <c r="B62" s="110">
        <v>1.4999999999999999E-2</v>
      </c>
      <c r="C62" s="111">
        <f>(NPV($C$9,$E$24:$M$24,$N$22+$N$22*(1+B62)/($C$9-B62)))*(1+$C$9)</f>
        <v>32524.751900281044</v>
      </c>
    </row>
    <row r="63" spans="2:13" x14ac:dyDescent="0.3">
      <c r="B63" s="110">
        <v>0.02</v>
      </c>
      <c r="C63" s="111">
        <f>(NPV($C$9,$E$24:$M$24,$N$22+$N$22*(1+B63)/($C$9-B63)))*(1+$C$9)</f>
        <v>33624.492358234558</v>
      </c>
    </row>
    <row r="64" spans="2:13" x14ac:dyDescent="0.3">
      <c r="B64" s="110">
        <v>2.5000000000000001E-2</v>
      </c>
      <c r="C64" s="111">
        <f>(NPV($C$9,$E$24:$M$24,$N$22+$N$22*(1+B64)/($C$9-B64)))*(1+$C$9)</f>
        <v>34850.639765378124</v>
      </c>
    </row>
    <row r="65" spans="2:3" x14ac:dyDescent="0.3">
      <c r="B65" s="110">
        <v>0.03</v>
      </c>
      <c r="C65" s="111">
        <f>(NPV($C$9,$E$24:$M$24,$N$22+$N$22*(1+B65)/($C$9-B65)))*(1+$C$9)</f>
        <v>36226.31734412456</v>
      </c>
    </row>
    <row r="66" spans="2:3" x14ac:dyDescent="0.3">
      <c r="B66" s="110">
        <v>3.5000000000000003E-2</v>
      </c>
      <c r="C66" s="111">
        <f>(NPV($C$9,$E$24:$M$24,$N$22+$N$22*(1+B66)/($C$9-B66)))*(1+$C$9)</f>
        <v>37780.654348682227</v>
      </c>
    </row>
    <row r="67" spans="2:3" x14ac:dyDescent="0.3">
      <c r="B67" s="110">
        <v>0.04</v>
      </c>
      <c r="C67" s="111">
        <f>(NPV($C$9,$E$24:$M$24,$N$22+$N$22*(1+B67)/($C$9-B67)))*(1+$C$9)</f>
        <v>39550.871492761791</v>
      </c>
    </row>
    <row r="68" spans="2:3" x14ac:dyDescent="0.3">
      <c r="B68" s="110">
        <v>4.4999999999999998E-2</v>
      </c>
      <c r="C68" s="111">
        <f>(NPV($C$9,$E$24:$M$24,$N$22+$N$22*(1+B68)/($C$9-B68)))*(1+$C$9)</f>
        <v>41585.300150883078</v>
      </c>
    </row>
    <row r="69" spans="2:3" x14ac:dyDescent="0.3">
      <c r="B69" s="110">
        <v>0.05</v>
      </c>
      <c r="C69" s="111">
        <f>(NPV($C$9,$E$24:$M$24,$N$22+$N$22*(1+B69)/($C$9-B69)))*(1+$C$9)</f>
        <v>43947.862463540063</v>
      </c>
    </row>
    <row r="70" spans="2:3" x14ac:dyDescent="0.3">
      <c r="B70" s="110">
        <v>5.5E-2</v>
      </c>
      <c r="C70" s="111">
        <f>(NPV($C$9,$E$24:$M$24,$N$22+$N$22*(1+B70)/($C$9-B70)))*(1+$C$9)</f>
        <v>46724.909392452653</v>
      </c>
    </row>
    <row r="71" spans="2:3" ht="16.2" thickBot="1" x14ac:dyDescent="0.35">
      <c r="B71" s="120">
        <v>0.06</v>
      </c>
      <c r="C71" s="121">
        <f>(NPV($C$9,$E$24:$M$24,$N$22+$N$22*(1+B71)/($C$9-B71)))*(1+$C$9)</f>
        <v>50036.003807694593</v>
      </c>
    </row>
  </sheetData>
  <mergeCells count="12">
    <mergeCell ref="I40:J40"/>
    <mergeCell ref="E46:G46"/>
    <mergeCell ref="E49:G49"/>
    <mergeCell ref="I50:J50"/>
    <mergeCell ref="B53:C53"/>
    <mergeCell ref="E54:G54"/>
    <mergeCell ref="B1:L1"/>
    <mergeCell ref="B2:L2"/>
    <mergeCell ref="B31:C31"/>
    <mergeCell ref="E32:G32"/>
    <mergeCell ref="I32:J32"/>
    <mergeCell ref="E38:G38"/>
  </mergeCells>
  <conditionalFormatting sqref="B33:B49">
    <cfRule type="expression" dxfId="3" priority="1">
      <formula>ABS(B33-$C$9)=MIN(ABS($B$33:$B$49-$C$9))</formula>
    </cfRule>
  </conditionalFormatting>
  <conditionalFormatting sqref="B55:B71">
    <cfRule type="expression" dxfId="2" priority="2">
      <formula>ABS(B55-$C$10)=MIN(ABS($B$33:$B$49-$C$10))</formula>
    </cfRule>
  </conditionalFormatting>
  <pageMargins left="0.75" right="0.75" top="1" bottom="1" header="0.5" footer="0.5"/>
  <pageSetup scale="39" orientation="landscape" horizontalDpi="4294967292" verticalDpi="4294967292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topLeftCell="A22" zoomScaleNormal="110" workbookViewId="0">
      <selection activeCell="C32" sqref="C32"/>
    </sheetView>
  </sheetViews>
  <sheetFormatPr defaultColWidth="10.77734375" defaultRowHeight="15.6" x14ac:dyDescent="0.3"/>
  <cols>
    <col min="1" max="1" width="10.77734375" style="69"/>
    <col min="2" max="2" width="34.33203125" style="69" customWidth="1"/>
    <col min="3" max="3" width="12.109375" style="69" bestFit="1" customWidth="1"/>
    <col min="4" max="4" width="11.6640625" style="69" bestFit="1" customWidth="1"/>
    <col min="5" max="5" width="13.44140625" style="69" customWidth="1"/>
    <col min="6" max="6" width="11.6640625" style="69" bestFit="1" customWidth="1"/>
    <col min="7" max="7" width="13" style="69" bestFit="1" customWidth="1"/>
    <col min="8" max="9" width="12.44140625" style="69" bestFit="1" customWidth="1"/>
    <col min="10" max="10" width="12.44140625" style="69" customWidth="1"/>
    <col min="11" max="17" width="12.6640625" style="69" customWidth="1"/>
    <col min="18" max="16384" width="10.77734375" style="69"/>
  </cols>
  <sheetData>
    <row r="1" spans="2:17" x14ac:dyDescent="0.3">
      <c r="B1" s="68" t="s">
        <v>149</v>
      </c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2:17" x14ac:dyDescent="0.3">
      <c r="B2" s="70" t="s">
        <v>150</v>
      </c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2:17" x14ac:dyDescent="0.3">
      <c r="C3" s="71"/>
      <c r="D3" s="71"/>
      <c r="E3" s="71">
        <v>0.5</v>
      </c>
      <c r="F3" s="71">
        <v>1.5</v>
      </c>
      <c r="G3" s="71">
        <v>2.5</v>
      </c>
      <c r="H3" s="71">
        <v>3.5</v>
      </c>
      <c r="I3" s="71">
        <v>4.5</v>
      </c>
      <c r="J3" s="71">
        <v>5.5</v>
      </c>
      <c r="K3" s="71">
        <v>6.5</v>
      </c>
      <c r="L3" s="71">
        <v>7.5</v>
      </c>
      <c r="M3" s="71">
        <v>8.5</v>
      </c>
      <c r="N3" s="71">
        <v>9.5</v>
      </c>
      <c r="O3" s="71"/>
      <c r="P3" s="71"/>
      <c r="Q3" s="71"/>
    </row>
    <row r="4" spans="2:17" x14ac:dyDescent="0.3">
      <c r="C4" s="72" t="s">
        <v>151</v>
      </c>
      <c r="D4" s="72" t="s">
        <v>152</v>
      </c>
      <c r="E4" s="72" t="s">
        <v>153</v>
      </c>
      <c r="F4" s="72" t="s">
        <v>154</v>
      </c>
      <c r="G4" s="72" t="s">
        <v>155</v>
      </c>
      <c r="H4" s="72" t="s">
        <v>156</v>
      </c>
      <c r="I4" s="72">
        <v>2005</v>
      </c>
      <c r="J4" s="72">
        <v>2006</v>
      </c>
      <c r="K4" s="72">
        <v>2007</v>
      </c>
      <c r="L4" s="72">
        <v>2008</v>
      </c>
      <c r="M4" s="72">
        <v>2009</v>
      </c>
      <c r="N4" s="72">
        <v>2010</v>
      </c>
      <c r="O4" s="72"/>
      <c r="P4" s="72"/>
      <c r="Q4" s="72"/>
    </row>
    <row r="5" spans="2:17" x14ac:dyDescent="0.3">
      <c r="B5" s="69" t="s">
        <v>157</v>
      </c>
      <c r="C5" s="73">
        <f>1-'[1]Seagate Projections'!A8</f>
        <v>1</v>
      </c>
      <c r="D5" s="73">
        <f>1-'[1]Seagate Projections'!B8</f>
        <v>0.80903459737120409</v>
      </c>
      <c r="E5" s="73">
        <f>1-'[1]Seagate Projections'!C8</f>
        <v>0.81003100984225429</v>
      </c>
      <c r="F5" s="73">
        <f>1-'[1]Seagate Projections'!D8</f>
        <v>0.80196170014012147</v>
      </c>
      <c r="G5" s="73">
        <f>1-'[1]Seagate Projections'!E8</f>
        <v>0.78503787878787878</v>
      </c>
      <c r="H5" s="73">
        <f>1-'[1]Seagate Projections'!F8</f>
        <v>0.77803379416282636</v>
      </c>
      <c r="I5" s="73">
        <f>1-'[1]Seagate Projections'!G8</f>
        <v>0.7689937494497755</v>
      </c>
      <c r="J5" s="73">
        <v>0.7549797570850203</v>
      </c>
      <c r="K5" s="73">
        <v>0.7549797570850203</v>
      </c>
      <c r="L5" s="73">
        <v>0.7549797570850203</v>
      </c>
      <c r="M5" s="73">
        <v>0.7549797570850203</v>
      </c>
      <c r="N5" s="73">
        <v>0.7549797570850203</v>
      </c>
      <c r="O5" s="73"/>
      <c r="P5" s="73"/>
      <c r="Q5" s="73"/>
    </row>
    <row r="6" spans="2:17" x14ac:dyDescent="0.3">
      <c r="B6" s="69" t="s">
        <v>158</v>
      </c>
      <c r="C6" s="73">
        <v>0.34</v>
      </c>
      <c r="D6" s="73">
        <v>0.34</v>
      </c>
      <c r="E6" s="73">
        <v>0.34</v>
      </c>
      <c r="F6" s="73">
        <v>0.34</v>
      </c>
      <c r="G6" s="73">
        <v>0.34</v>
      </c>
      <c r="H6" s="73">
        <v>0.34</v>
      </c>
      <c r="I6" s="73">
        <v>0.34</v>
      </c>
      <c r="J6" s="73">
        <v>0.34</v>
      </c>
      <c r="K6" s="73">
        <v>0.34</v>
      </c>
      <c r="L6" s="73">
        <v>0.34</v>
      </c>
      <c r="M6" s="73">
        <v>0.34</v>
      </c>
      <c r="N6" s="73">
        <v>0.34</v>
      </c>
      <c r="O6" s="73"/>
      <c r="P6" s="73"/>
      <c r="Q6" s="73"/>
    </row>
    <row r="7" spans="2:17" x14ac:dyDescent="0.3">
      <c r="B7" s="69" t="s">
        <v>159</v>
      </c>
      <c r="C7" s="74"/>
      <c r="D7" s="74">
        <f>D16/C16-1</f>
        <v>-0.64572864321608048</v>
      </c>
      <c r="E7" s="74">
        <f t="shared" ref="E7:J7" si="0">E16/D16-1</f>
        <v>0.34042553191489366</v>
      </c>
      <c r="F7" s="74">
        <f t="shared" si="0"/>
        <v>0.67195767195767186</v>
      </c>
      <c r="G7" s="74">
        <f t="shared" si="0"/>
        <v>0.42088607594936711</v>
      </c>
      <c r="H7" s="74">
        <f t="shared" si="0"/>
        <v>0.11135857461024501</v>
      </c>
      <c r="I7" s="74">
        <f t="shared" si="0"/>
        <v>0.23046092184368727</v>
      </c>
      <c r="J7" s="74">
        <f t="shared" si="0"/>
        <v>0.1791530944625408</v>
      </c>
      <c r="K7" s="74">
        <f>G59</f>
        <v>0.15</v>
      </c>
      <c r="L7" s="74">
        <f>H59</f>
        <v>0</v>
      </c>
      <c r="M7" s="74">
        <f>I59</f>
        <v>0</v>
      </c>
      <c r="N7" s="74">
        <f>J59</f>
        <v>0</v>
      </c>
      <c r="O7" s="74"/>
      <c r="P7" s="74"/>
      <c r="Q7" s="74"/>
    </row>
    <row r="8" spans="2:17" x14ac:dyDescent="0.3">
      <c r="L8" s="75"/>
      <c r="P8" s="75"/>
    </row>
    <row r="9" spans="2:17" x14ac:dyDescent="0.3">
      <c r="B9" s="69" t="s">
        <v>160</v>
      </c>
      <c r="C9" s="73">
        <f>J58</f>
        <v>0.10881428391761833</v>
      </c>
      <c r="D9" s="69" t="s">
        <v>204</v>
      </c>
      <c r="L9" s="75"/>
      <c r="P9" s="75"/>
    </row>
    <row r="10" spans="2:17" x14ac:dyDescent="0.3">
      <c r="B10" s="69" t="s">
        <v>162</v>
      </c>
      <c r="C10" s="73">
        <v>0.02</v>
      </c>
      <c r="L10" s="76"/>
    </row>
    <row r="11" spans="2:17" x14ac:dyDescent="0.3">
      <c r="L11" s="77"/>
      <c r="P11" s="75"/>
    </row>
    <row r="12" spans="2:17" x14ac:dyDescent="0.3">
      <c r="B12" s="78" t="s">
        <v>163</v>
      </c>
      <c r="P12" s="79"/>
    </row>
    <row r="13" spans="2:17" x14ac:dyDescent="0.3">
      <c r="B13" s="69" t="s">
        <v>164</v>
      </c>
      <c r="C13" s="80">
        <f>[1]Comps!D7</f>
        <v>6802</v>
      </c>
      <c r="D13" s="80">
        <f>'[1]Seagate Projections'!B7</f>
        <v>6619</v>
      </c>
      <c r="E13" s="80">
        <f>'[1]Seagate Projections'!C7</f>
        <v>7417</v>
      </c>
      <c r="F13" s="80">
        <f>'[1]Seagate Projections'!D7</f>
        <v>8564</v>
      </c>
      <c r="G13" s="80">
        <f>'[1]Seagate Projections'!E7</f>
        <v>9504</v>
      </c>
      <c r="H13" s="80">
        <f>'[1]Seagate Projections'!F7</f>
        <v>10416</v>
      </c>
      <c r="I13" s="80">
        <f>'[1]Seagate Projections'!G7</f>
        <v>11359</v>
      </c>
      <c r="J13" s="80">
        <f>'[1]Seagate Projections'!H7</f>
        <v>12350</v>
      </c>
      <c r="O13" s="75"/>
      <c r="P13" s="75"/>
    </row>
    <row r="14" spans="2:17" x14ac:dyDescent="0.3">
      <c r="B14" s="69" t="s">
        <v>165</v>
      </c>
      <c r="C14" s="81">
        <f>[1]Comps!D8</f>
        <v>5250</v>
      </c>
      <c r="D14" s="81">
        <f t="shared" ref="D14:J14" si="1">D5*D13</f>
        <v>5355</v>
      </c>
      <c r="E14" s="81">
        <f t="shared" si="1"/>
        <v>6008</v>
      </c>
      <c r="F14" s="81">
        <f t="shared" si="1"/>
        <v>6868</v>
      </c>
      <c r="G14" s="81">
        <f t="shared" si="1"/>
        <v>7461</v>
      </c>
      <c r="H14" s="81">
        <f t="shared" si="1"/>
        <v>8103.9999999999991</v>
      </c>
      <c r="I14" s="81">
        <f t="shared" si="1"/>
        <v>8735</v>
      </c>
      <c r="J14" s="81">
        <f t="shared" si="1"/>
        <v>9324</v>
      </c>
    </row>
    <row r="15" spans="2:17" x14ac:dyDescent="0.3">
      <c r="B15" s="82" t="s">
        <v>166</v>
      </c>
      <c r="C15" s="83">
        <f>[1]Comps!D9</f>
        <v>1552</v>
      </c>
      <c r="D15" s="83">
        <f>'[1]Seagate Projections'!B9</f>
        <v>1264</v>
      </c>
      <c r="E15" s="83">
        <f>'[1]Seagate Projections'!C9</f>
        <v>1409</v>
      </c>
      <c r="F15" s="83">
        <f>'[1]Seagate Projections'!D9</f>
        <v>1696</v>
      </c>
      <c r="G15" s="83">
        <f>'[1]Seagate Projections'!E9</f>
        <v>2043</v>
      </c>
      <c r="H15" s="83">
        <f>'[1]Seagate Projections'!F9</f>
        <v>2312</v>
      </c>
      <c r="I15" s="83">
        <f>'[1]Seagate Projections'!G9</f>
        <v>2624</v>
      </c>
      <c r="J15" s="90">
        <f>'[1]Seagate Projections'!H9</f>
        <v>3026</v>
      </c>
    </row>
    <row r="16" spans="2:17" x14ac:dyDescent="0.3">
      <c r="B16" s="84" t="s">
        <v>167</v>
      </c>
      <c r="C16" s="83">
        <f>[1]Comps!D12</f>
        <v>398</v>
      </c>
      <c r="D16" s="83">
        <f>'[1]Seagate Projections'!B12</f>
        <v>141</v>
      </c>
      <c r="E16" s="83">
        <f>'[1]Seagate Projections'!C12</f>
        <v>189</v>
      </c>
      <c r="F16" s="83">
        <f>'[1]Seagate Projections'!D12</f>
        <v>316</v>
      </c>
      <c r="G16" s="83">
        <f>'[1]Seagate Projections'!E12</f>
        <v>449</v>
      </c>
      <c r="H16" s="83">
        <f>'[1]Seagate Projections'!F12</f>
        <v>499</v>
      </c>
      <c r="I16" s="83">
        <f>'[1]Seagate Projections'!G12</f>
        <v>614</v>
      </c>
      <c r="J16" s="128">
        <f>'[1]Seagate Projections'!H12</f>
        <v>724</v>
      </c>
      <c r="K16" s="129">
        <f>J16*(1+$K$7)</f>
        <v>832.59999999999991</v>
      </c>
      <c r="L16" s="129">
        <f>K16*(1+$K$7)</f>
        <v>957.48999999999978</v>
      </c>
      <c r="M16" s="129">
        <f>L16*(1+$K$7)</f>
        <v>1101.1134999999997</v>
      </c>
      <c r="N16" s="129">
        <f>M16*(1+$K$7)</f>
        <v>1266.2805249999997</v>
      </c>
      <c r="O16" s="76"/>
      <c r="P16" s="76"/>
      <c r="Q16" s="76"/>
    </row>
    <row r="17" spans="2:17" x14ac:dyDescent="0.3">
      <c r="B17" s="89" t="s">
        <v>168</v>
      </c>
      <c r="C17" s="86"/>
      <c r="D17" s="86"/>
      <c r="E17" s="86">
        <f t="shared" ref="E17:N17" si="2">$G$56*$G$45</f>
        <v>46.72</v>
      </c>
      <c r="F17" s="86">
        <f t="shared" si="2"/>
        <v>46.72</v>
      </c>
      <c r="G17" s="86">
        <f t="shared" si="2"/>
        <v>46.72</v>
      </c>
      <c r="H17" s="86">
        <f t="shared" si="2"/>
        <v>46.72</v>
      </c>
      <c r="I17" s="86">
        <f t="shared" si="2"/>
        <v>46.72</v>
      </c>
      <c r="J17" s="86">
        <f t="shared" si="2"/>
        <v>46.72</v>
      </c>
      <c r="K17" s="86">
        <f t="shared" si="2"/>
        <v>46.72</v>
      </c>
      <c r="L17" s="86">
        <f t="shared" si="2"/>
        <v>46.72</v>
      </c>
      <c r="M17" s="86">
        <f t="shared" si="2"/>
        <v>46.72</v>
      </c>
      <c r="N17" s="86">
        <f t="shared" si="2"/>
        <v>46.72</v>
      </c>
      <c r="O17" s="86"/>
      <c r="P17" s="86"/>
      <c r="Q17" s="86"/>
    </row>
    <row r="18" spans="2:17" x14ac:dyDescent="0.3">
      <c r="B18" s="89" t="s">
        <v>214</v>
      </c>
      <c r="C18" s="86"/>
      <c r="D18" s="86"/>
      <c r="E18" s="86">
        <f>-'[1]Debt Payment'!D21</f>
        <v>-216.31907071235116</v>
      </c>
      <c r="F18" s="86">
        <f>-'[1]Debt Payment'!E21</f>
        <v>-164.85667071235116</v>
      </c>
      <c r="G18" s="86">
        <f>-'[1]Debt Payment'!F21</f>
        <v>-164.85667071235116</v>
      </c>
      <c r="H18" s="86">
        <f>-'[1]Debt Payment'!G21</f>
        <v>-164.85667071235116</v>
      </c>
      <c r="I18" s="86">
        <f>-'[1]Debt Payment'!H21</f>
        <v>-164.85667071235116</v>
      </c>
      <c r="J18" s="86">
        <f>-'[1]Debt Payment'!I21</f>
        <v>-164.85667071235116</v>
      </c>
      <c r="K18" s="86">
        <f>-'[1]Debt Payment'!J21</f>
        <v>-164.85667071235116</v>
      </c>
      <c r="L18" s="86">
        <f>-'[1]Debt Payment'!K21</f>
        <v>-164.85667071235116</v>
      </c>
      <c r="M18" s="86">
        <f>-'[1]Debt Payment'!L21</f>
        <v>-164.85667071235116</v>
      </c>
      <c r="N18" s="86">
        <f>-'[1]Debt Payment'!M21</f>
        <v>-164.85667071235116</v>
      </c>
      <c r="O18" s="86"/>
      <c r="P18" s="86"/>
      <c r="Q18" s="86"/>
    </row>
    <row r="19" spans="2:17" x14ac:dyDescent="0.3">
      <c r="B19" s="85" t="s">
        <v>169</v>
      </c>
      <c r="C19" s="87">
        <f>(C16+C17)*C6</f>
        <v>135.32000000000002</v>
      </c>
      <c r="D19" s="87">
        <f t="shared" ref="D19:N19" si="3">(D16+D17)*D6</f>
        <v>47.940000000000005</v>
      </c>
      <c r="E19" s="87">
        <f t="shared" si="3"/>
        <v>80.144800000000004</v>
      </c>
      <c r="F19" s="87">
        <f>(F16+F17+F18)*F6</f>
        <v>67.273531957800614</v>
      </c>
      <c r="G19" s="87">
        <f t="shared" si="3"/>
        <v>168.54480000000001</v>
      </c>
      <c r="H19" s="87">
        <f t="shared" si="3"/>
        <v>185.54480000000001</v>
      </c>
      <c r="I19" s="87">
        <f t="shared" si="3"/>
        <v>224.64480000000003</v>
      </c>
      <c r="J19" s="87">
        <f t="shared" si="3"/>
        <v>262.04480000000001</v>
      </c>
      <c r="K19" s="87">
        <f t="shared" si="3"/>
        <v>298.96879999999999</v>
      </c>
      <c r="L19" s="87">
        <f t="shared" si="3"/>
        <v>341.43139999999994</v>
      </c>
      <c r="M19" s="87">
        <f t="shared" si="3"/>
        <v>390.26338999999996</v>
      </c>
      <c r="N19" s="87">
        <f t="shared" si="3"/>
        <v>446.42017849999991</v>
      </c>
      <c r="O19" s="87"/>
      <c r="P19" s="87"/>
      <c r="Q19" s="87"/>
    </row>
    <row r="20" spans="2:17" x14ac:dyDescent="0.3">
      <c r="B20" s="82" t="s">
        <v>215</v>
      </c>
      <c r="C20" s="88">
        <f>(C16+C17)*(1-C6)</f>
        <v>262.67999999999995</v>
      </c>
      <c r="D20" s="88">
        <f>(D16+D17)*(1-D6)</f>
        <v>93.059999999999988</v>
      </c>
      <c r="E20" s="88">
        <f>(E16+E17+E18)*(1-E6)</f>
        <v>12.80461332984823</v>
      </c>
      <c r="F20" s="88">
        <f>(F16+F17+F18)*(1-F6)</f>
        <v>130.58979732984824</v>
      </c>
      <c r="G20" s="88">
        <f t="shared" ref="G20:N20" si="4">(G16+G17+G18)*(1-G6)</f>
        <v>218.36979732984824</v>
      </c>
      <c r="H20" s="88">
        <f t="shared" si="4"/>
        <v>251.36979732984821</v>
      </c>
      <c r="I20" s="88">
        <f t="shared" si="4"/>
        <v>327.26979732984819</v>
      </c>
      <c r="J20" s="88">
        <f t="shared" si="4"/>
        <v>399.86979732984821</v>
      </c>
      <c r="K20" s="88">
        <f t="shared" si="4"/>
        <v>471.54579732984814</v>
      </c>
      <c r="L20" s="88">
        <f t="shared" si="4"/>
        <v>553.97319732984806</v>
      </c>
      <c r="M20" s="88">
        <f t="shared" si="4"/>
        <v>648.76470732984797</v>
      </c>
      <c r="N20" s="88">
        <f t="shared" si="4"/>
        <v>757.77494382984798</v>
      </c>
      <c r="O20" s="88"/>
      <c r="P20" s="88"/>
      <c r="Q20" s="88"/>
    </row>
    <row r="21" spans="2:17" x14ac:dyDescent="0.3">
      <c r="B21" s="89" t="s">
        <v>170</v>
      </c>
      <c r="C21" s="90">
        <f>[1]Comps!D11</f>
        <v>613</v>
      </c>
      <c r="D21" s="90">
        <f>'[1]Seagate Projections'!B14</f>
        <v>625</v>
      </c>
      <c r="E21" s="90">
        <f>'[1]Seagate Projections'!C14</f>
        <v>626</v>
      </c>
      <c r="F21" s="90">
        <f>'[1]Seagate Projections'!D14</f>
        <v>642</v>
      </c>
      <c r="G21" s="90">
        <f>'[1]Seagate Projections'!E14</f>
        <v>666</v>
      </c>
      <c r="H21" s="90">
        <f>'[1]Seagate Projections'!F14</f>
        <v>708</v>
      </c>
      <c r="I21" s="90">
        <f>'[1]Seagate Projections'!G14</f>
        <v>726</v>
      </c>
      <c r="J21" s="90">
        <f>'[1]Seagate Projections'!H14</f>
        <v>729</v>
      </c>
      <c r="K21" s="90">
        <f>J21*(1+$G$60)</f>
        <v>747.27415919490386</v>
      </c>
      <c r="L21" s="90">
        <f>K21*(1+$G$60)</f>
        <v>766.00640466454115</v>
      </c>
      <c r="M21" s="90">
        <f>L21*(1+$G$60)</f>
        <v>785.20821945625005</v>
      </c>
      <c r="N21" s="90">
        <f>M21*(1+$G$60)</f>
        <v>804.89137446789687</v>
      </c>
      <c r="O21" s="90"/>
      <c r="P21" s="90"/>
      <c r="Q21" s="90"/>
    </row>
    <row r="22" spans="2:17" x14ac:dyDescent="0.3">
      <c r="B22" s="69" t="s">
        <v>171</v>
      </c>
      <c r="C22" s="91">
        <f>[1]Comps!$D$27</f>
        <v>1773</v>
      </c>
      <c r="D22" s="92">
        <f t="shared" ref="D22:N22" si="5">$G$51</f>
        <v>500</v>
      </c>
      <c r="E22" s="92">
        <f t="shared" si="5"/>
        <v>500</v>
      </c>
      <c r="F22" s="92">
        <f t="shared" si="5"/>
        <v>500</v>
      </c>
      <c r="G22" s="92">
        <f t="shared" si="5"/>
        <v>500</v>
      </c>
      <c r="H22" s="92">
        <f t="shared" si="5"/>
        <v>500</v>
      </c>
      <c r="I22" s="92">
        <f t="shared" si="5"/>
        <v>500</v>
      </c>
      <c r="J22" s="92">
        <f t="shared" si="5"/>
        <v>500</v>
      </c>
      <c r="K22" s="92">
        <f t="shared" si="5"/>
        <v>500</v>
      </c>
      <c r="L22" s="92">
        <f t="shared" si="5"/>
        <v>500</v>
      </c>
      <c r="M22" s="92">
        <f t="shared" si="5"/>
        <v>500</v>
      </c>
      <c r="N22" s="92">
        <f t="shared" si="5"/>
        <v>500</v>
      </c>
      <c r="O22" s="92"/>
      <c r="P22" s="92"/>
      <c r="Q22" s="92"/>
    </row>
    <row r="23" spans="2:17" x14ac:dyDescent="0.3">
      <c r="B23" s="82" t="s">
        <v>172</v>
      </c>
      <c r="C23" s="83">
        <f>[1]Comps!D49</f>
        <v>0</v>
      </c>
      <c r="D23" s="83">
        <v>0</v>
      </c>
      <c r="E23" s="83">
        <f t="shared" ref="E23:N23" si="6">D22-E22</f>
        <v>0</v>
      </c>
      <c r="F23" s="83">
        <f t="shared" si="6"/>
        <v>0</v>
      </c>
      <c r="G23" s="83">
        <f t="shared" si="6"/>
        <v>0</v>
      </c>
      <c r="H23" s="83">
        <f t="shared" si="6"/>
        <v>0</v>
      </c>
      <c r="I23" s="83">
        <f t="shared" si="6"/>
        <v>0</v>
      </c>
      <c r="J23" s="83">
        <f t="shared" si="6"/>
        <v>0</v>
      </c>
      <c r="K23" s="83">
        <f t="shared" si="6"/>
        <v>0</v>
      </c>
      <c r="L23" s="83">
        <f t="shared" si="6"/>
        <v>0</v>
      </c>
      <c r="M23" s="83">
        <f t="shared" si="6"/>
        <v>0</v>
      </c>
      <c r="N23" s="83">
        <f t="shared" si="6"/>
        <v>0</v>
      </c>
      <c r="O23" s="83"/>
      <c r="P23" s="83"/>
      <c r="Q23" s="83"/>
    </row>
    <row r="24" spans="2:17" ht="16.2" thickBot="1" x14ac:dyDescent="0.35">
      <c r="B24" s="93" t="s">
        <v>173</v>
      </c>
      <c r="C24" s="94">
        <f>[1]Comps!D15</f>
        <v>603</v>
      </c>
      <c r="D24" s="94">
        <f>'[1]Seagate Projections'!B16</f>
        <v>627</v>
      </c>
      <c r="E24" s="94">
        <f>'[1]Seagate Projections'!C16</f>
        <v>690</v>
      </c>
      <c r="F24" s="94">
        <f>'[1]Seagate Projections'!D16</f>
        <v>720</v>
      </c>
      <c r="G24" s="94">
        <f>'[1]Seagate Projections'!E16</f>
        <v>795</v>
      </c>
      <c r="H24" s="94">
        <f>'[1]Seagate Projections'!F16</f>
        <v>700</v>
      </c>
      <c r="I24" s="94">
        <f>'[1]Seagate Projections'!G16</f>
        <v>725</v>
      </c>
      <c r="J24" s="94">
        <f>'[1]Seagate Projections'!H16</f>
        <v>750</v>
      </c>
      <c r="K24" s="94">
        <f>J24*(1+$G$61)</f>
        <v>773.74189639553731</v>
      </c>
      <c r="L24" s="94">
        <f>K24*(1+$G$61)</f>
        <v>798.2353629836831</v>
      </c>
      <c r="M24" s="94">
        <f>L24*(1+$G$61)</f>
        <v>823.50419136663334</v>
      </c>
      <c r="N24" s="94">
        <f>M24*(1+$G$61)</f>
        <v>849.57292629025642</v>
      </c>
      <c r="O24" s="94"/>
      <c r="P24" s="94"/>
      <c r="Q24" s="94"/>
    </row>
    <row r="25" spans="2:17" x14ac:dyDescent="0.3">
      <c r="B25" s="89"/>
      <c r="C25" s="96"/>
      <c r="D25" s="96"/>
      <c r="E25" s="96"/>
      <c r="F25" s="96"/>
      <c r="G25" s="96"/>
      <c r="H25" s="96"/>
      <c r="I25" s="96"/>
      <c r="J25" s="96"/>
    </row>
    <row r="26" spans="2:17" x14ac:dyDescent="0.3">
      <c r="B26" s="69" t="s">
        <v>174</v>
      </c>
      <c r="C26" s="95">
        <f t="shared" ref="C26:N26" si="7">C20+C21-C23-C24</f>
        <v>272.67999999999995</v>
      </c>
      <c r="D26" s="95">
        <f t="shared" si="7"/>
        <v>91.059999999999945</v>
      </c>
      <c r="E26" s="95">
        <f t="shared" si="7"/>
        <v>-51.19538667015172</v>
      </c>
      <c r="F26" s="95">
        <f t="shared" si="7"/>
        <v>52.589797329848238</v>
      </c>
      <c r="G26" s="95">
        <f t="shared" si="7"/>
        <v>89.369797329848211</v>
      </c>
      <c r="H26" s="95">
        <f t="shared" si="7"/>
        <v>259.36979732984821</v>
      </c>
      <c r="I26" s="95">
        <f t="shared" si="7"/>
        <v>328.26979732984819</v>
      </c>
      <c r="J26" s="95">
        <f t="shared" si="7"/>
        <v>378.8697973298481</v>
      </c>
      <c r="K26" s="95">
        <f t="shared" si="7"/>
        <v>445.07806012921458</v>
      </c>
      <c r="L26" s="95">
        <f t="shared" si="7"/>
        <v>521.74423901070611</v>
      </c>
      <c r="M26" s="95">
        <f t="shared" si="7"/>
        <v>610.46873541946468</v>
      </c>
      <c r="N26" s="95">
        <f t="shared" si="7"/>
        <v>713.09339200748855</v>
      </c>
      <c r="O26" s="95"/>
      <c r="P26" s="95"/>
      <c r="Q26" s="95"/>
    </row>
    <row r="27" spans="2:17" x14ac:dyDescent="0.3">
      <c r="B27" s="69" t="s">
        <v>175</v>
      </c>
      <c r="C27" s="83"/>
      <c r="D27" s="83"/>
      <c r="E27" s="83"/>
      <c r="F27" s="83"/>
      <c r="G27" s="83"/>
      <c r="H27" s="83"/>
      <c r="I27" s="83"/>
      <c r="J27" s="82"/>
      <c r="K27" s="82"/>
      <c r="L27" s="82"/>
      <c r="M27" s="82"/>
      <c r="N27" s="83">
        <f>N26*(1+$C$10)/($C$9-$C$10)</f>
        <v>8189.6202701168313</v>
      </c>
      <c r="O27" s="82"/>
      <c r="P27" s="82"/>
    </row>
    <row r="28" spans="2:17" x14ac:dyDescent="0.3">
      <c r="B28" s="69" t="s">
        <v>176</v>
      </c>
      <c r="C28" s="90"/>
      <c r="D28" s="90"/>
      <c r="E28" s="90">
        <f>SUM(E26:E27)/2</f>
        <v>-25.59769333507586</v>
      </c>
      <c r="F28" s="90">
        <f t="shared" ref="F28:N28" si="8">SUM(F26:F27)</f>
        <v>52.589797329848238</v>
      </c>
      <c r="G28" s="90">
        <f t="shared" si="8"/>
        <v>89.369797329848211</v>
      </c>
      <c r="H28" s="90">
        <f t="shared" si="8"/>
        <v>259.36979732984821</v>
      </c>
      <c r="I28" s="90">
        <f t="shared" si="8"/>
        <v>328.26979732984819</v>
      </c>
      <c r="J28" s="90">
        <f t="shared" si="8"/>
        <v>378.8697973298481</v>
      </c>
      <c r="K28" s="90">
        <f t="shared" si="8"/>
        <v>445.07806012921458</v>
      </c>
      <c r="L28" s="90">
        <f t="shared" si="8"/>
        <v>521.74423901070611</v>
      </c>
      <c r="M28" s="90">
        <f t="shared" si="8"/>
        <v>610.46873541946468</v>
      </c>
      <c r="N28" s="90">
        <f t="shared" si="8"/>
        <v>8902.7136621243189</v>
      </c>
      <c r="O28" s="90"/>
      <c r="P28" s="90"/>
      <c r="Q28" s="90"/>
    </row>
    <row r="29" spans="2:17" x14ac:dyDescent="0.3">
      <c r="B29" s="69" t="s">
        <v>177</v>
      </c>
      <c r="C29" s="80"/>
      <c r="D29" s="80"/>
      <c r="E29" s="80">
        <f t="shared" ref="E29:N29" si="9">E28/(1+$C$9)^E$3</f>
        <v>-24.309242491623039</v>
      </c>
      <c r="F29" s="80">
        <f t="shared" si="9"/>
        <v>45.041545008738993</v>
      </c>
      <c r="G29" s="80">
        <f t="shared" si="9"/>
        <v>69.030932993791424</v>
      </c>
      <c r="H29" s="80">
        <f t="shared" si="9"/>
        <v>180.68144735909334</v>
      </c>
      <c r="I29" s="80">
        <f t="shared" si="9"/>
        <v>206.23685307069863</v>
      </c>
      <c r="J29" s="80">
        <f t="shared" si="9"/>
        <v>214.66760941018751</v>
      </c>
      <c r="K29" s="80">
        <f t="shared" si="9"/>
        <v>227.43322454167622</v>
      </c>
      <c r="L29" s="80">
        <f t="shared" si="9"/>
        <v>240.44545525409814</v>
      </c>
      <c r="M29" s="80">
        <f t="shared" si="9"/>
        <v>253.72515428811781</v>
      </c>
      <c r="N29" s="80">
        <f t="shared" si="9"/>
        <v>3337.0575146279575</v>
      </c>
      <c r="O29" s="80"/>
      <c r="P29" s="80"/>
      <c r="Q29" s="80"/>
    </row>
    <row r="30" spans="2:17" x14ac:dyDescent="0.3">
      <c r="C30" s="97"/>
      <c r="D30" s="97"/>
      <c r="E30" s="97"/>
      <c r="F30" s="97"/>
      <c r="G30" s="97"/>
      <c r="H30" s="97"/>
      <c r="I30" s="97"/>
      <c r="J30" s="97"/>
    </row>
    <row r="31" spans="2:17" x14ac:dyDescent="0.3">
      <c r="C31" s="81"/>
      <c r="D31" s="81"/>
      <c r="E31" s="81"/>
      <c r="F31" s="81"/>
      <c r="G31" s="81"/>
      <c r="H31" s="81"/>
      <c r="I31" s="81"/>
      <c r="J31" s="81"/>
    </row>
    <row r="32" spans="2:17" x14ac:dyDescent="0.3">
      <c r="B32" s="69" t="s">
        <v>178</v>
      </c>
      <c r="C32" s="98">
        <f>SUM(C29:Q29)</f>
        <v>4750.0104940627371</v>
      </c>
      <c r="D32" s="81"/>
      <c r="E32" s="101"/>
      <c r="F32" s="101"/>
      <c r="G32" s="81"/>
      <c r="H32" s="81"/>
      <c r="I32" s="81"/>
      <c r="J32" s="81"/>
      <c r="K32" s="81"/>
      <c r="L32" s="81"/>
    </row>
    <row r="33" spans="2:16" x14ac:dyDescent="0.3">
      <c r="B33" s="101"/>
      <c r="C33" s="101"/>
      <c r="D33" s="81"/>
      <c r="E33" s="76"/>
      <c r="F33" s="76"/>
      <c r="G33" s="102"/>
      <c r="H33" s="102"/>
      <c r="I33" s="102"/>
      <c r="J33" s="102"/>
      <c r="K33" s="102"/>
      <c r="L33" s="102"/>
      <c r="M33" s="76"/>
      <c r="N33" s="76"/>
      <c r="O33" s="76"/>
      <c r="P33" s="76"/>
    </row>
    <row r="34" spans="2:16" ht="16.2" thickBot="1" x14ac:dyDescent="0.35">
      <c r="C34" s="76"/>
      <c r="K34" s="81"/>
      <c r="L34" s="81"/>
    </row>
    <row r="35" spans="2:16" ht="16.2" thickBot="1" x14ac:dyDescent="0.35">
      <c r="B35" s="103" t="s">
        <v>216</v>
      </c>
      <c r="C35" s="104"/>
      <c r="E35" s="105" t="s">
        <v>180</v>
      </c>
    </row>
    <row r="36" spans="2:16" ht="16.2" thickBot="1" x14ac:dyDescent="0.35">
      <c r="B36" s="106" t="s">
        <v>181</v>
      </c>
      <c r="C36" s="124" t="s">
        <v>182</v>
      </c>
      <c r="E36" s="108" t="s">
        <v>183</v>
      </c>
      <c r="F36" s="108"/>
      <c r="G36" s="108"/>
      <c r="H36" s="109"/>
      <c r="I36" s="108" t="s">
        <v>184</v>
      </c>
      <c r="J36" s="108"/>
    </row>
    <row r="37" spans="2:16" x14ac:dyDescent="0.3">
      <c r="B37" s="110">
        <v>0.08</v>
      </c>
      <c r="C37" s="111">
        <f t="shared" ref="C37:C42" si="10">(NPV(B37,$E$28:$M$28,$N$26+$N$26*(1+$C$10)/(B37-$C$10)))*(1+B37)</f>
        <v>8140.5142670679134</v>
      </c>
      <c r="D37" s="112"/>
      <c r="E37" s="69" t="s">
        <v>185</v>
      </c>
      <c r="G37" s="113">
        <f>'[1]Interest-Ratings'!E6</f>
        <v>7.7200000000000005E-2</v>
      </c>
      <c r="I37" s="69" t="s">
        <v>186</v>
      </c>
      <c r="J37" s="76">
        <f>[1]Comps!D31</f>
        <v>8620</v>
      </c>
    </row>
    <row r="38" spans="2:16" x14ac:dyDescent="0.3">
      <c r="B38" s="110">
        <v>8.5000000000000006E-2</v>
      </c>
      <c r="C38" s="111">
        <f t="shared" si="10"/>
        <v>7388.1865209874786</v>
      </c>
      <c r="D38" s="112"/>
      <c r="E38" s="69" t="s">
        <v>187</v>
      </c>
      <c r="G38" s="114">
        <f>[1]Comps!D33</f>
        <v>704</v>
      </c>
      <c r="I38" s="69" t="s">
        <v>188</v>
      </c>
      <c r="J38" s="76">
        <f>G38</f>
        <v>704</v>
      </c>
      <c r="K38" s="115"/>
      <c r="L38" s="116"/>
    </row>
    <row r="39" spans="2:16" x14ac:dyDescent="0.3">
      <c r="B39" s="110">
        <v>0.09</v>
      </c>
      <c r="C39" s="111">
        <f t="shared" si="10"/>
        <v>6746.6528974977273</v>
      </c>
      <c r="D39" s="112"/>
      <c r="I39" s="69" t="s">
        <v>189</v>
      </c>
      <c r="J39" s="73">
        <f>G45+G44*G46</f>
        <v>0.1424</v>
      </c>
      <c r="K39" s="115"/>
    </row>
    <row r="40" spans="2:16" x14ac:dyDescent="0.3">
      <c r="B40" s="110">
        <v>9.5000000000000001E-2</v>
      </c>
      <c r="C40" s="111">
        <f t="shared" si="10"/>
        <v>6193.6412411262281</v>
      </c>
      <c r="D40" s="112"/>
      <c r="I40" s="69" t="s">
        <v>190</v>
      </c>
      <c r="J40" s="73">
        <f>G37</f>
        <v>7.7200000000000005E-2</v>
      </c>
    </row>
    <row r="41" spans="2:16" x14ac:dyDescent="0.3">
      <c r="B41" s="110">
        <v>0.1</v>
      </c>
      <c r="C41" s="111">
        <f t="shared" si="10"/>
        <v>5712.4519930062206</v>
      </c>
      <c r="D41" s="112"/>
      <c r="I41" s="69" t="s">
        <v>191</v>
      </c>
      <c r="J41" s="73">
        <v>0.34</v>
      </c>
    </row>
    <row r="42" spans="2:16" x14ac:dyDescent="0.3">
      <c r="B42" s="110">
        <v>0.105</v>
      </c>
      <c r="C42" s="111">
        <f t="shared" si="10"/>
        <v>5290.3189842832853</v>
      </c>
      <c r="D42" s="112"/>
      <c r="E42" s="108" t="s">
        <v>192</v>
      </c>
      <c r="F42" s="108"/>
      <c r="G42" s="108"/>
      <c r="I42" s="78" t="s">
        <v>161</v>
      </c>
      <c r="J42" s="73">
        <f>J38/(J38+J37)*J40*(1-J41)+J39*J37/(J37+J38)</f>
        <v>0.13549530330330331</v>
      </c>
    </row>
    <row r="43" spans="2:16" x14ac:dyDescent="0.3">
      <c r="B43" s="110">
        <v>0.11</v>
      </c>
      <c r="C43" s="111">
        <f>(NPV(B43,$E$28:$M$28,$N$26+$N$26*(1+$C$10)/(B43-$C$10)))*(1+B43)</f>
        <v>4917.3166421952246</v>
      </c>
      <c r="D43" s="112"/>
      <c r="E43" s="69" t="s">
        <v>193</v>
      </c>
      <c r="G43" s="69">
        <f>[1]Comps!D36</f>
        <v>227.2</v>
      </c>
      <c r="I43" s="73"/>
      <c r="J43" s="73"/>
    </row>
    <row r="44" spans="2:16" x14ac:dyDescent="0.3">
      <c r="B44" s="110">
        <v>0.115</v>
      </c>
      <c r="C44" s="111">
        <f t="shared" ref="C44:C53" si="11">(NPV(B44,$E$28:$M$28,$N$26+$N$26*(1+$C$10)/(B44-$C$10)))*(1+B44)</f>
        <v>4585.6122983157547</v>
      </c>
      <c r="D44" s="112"/>
      <c r="E44" s="69" t="s">
        <v>194</v>
      </c>
      <c r="G44" s="69">
        <f>[1]Comps!D32</f>
        <v>1.2</v>
      </c>
      <c r="I44" s="108" t="s">
        <v>195</v>
      </c>
      <c r="J44" s="108"/>
    </row>
    <row r="45" spans="2:16" x14ac:dyDescent="0.3">
      <c r="B45" s="110">
        <v>0.12</v>
      </c>
      <c r="C45" s="111">
        <f t="shared" si="11"/>
        <v>4288.9428126902449</v>
      </c>
      <c r="D45" s="112"/>
      <c r="E45" s="69" t="s">
        <v>196</v>
      </c>
      <c r="G45" s="113">
        <f>'[1]Interest-Ratings'!D13</f>
        <v>5.8400000000000001E-2</v>
      </c>
      <c r="I45" s="69" t="s">
        <v>197</v>
      </c>
      <c r="J45" s="74">
        <v>0.7</v>
      </c>
    </row>
    <row r="46" spans="2:16" x14ac:dyDescent="0.3">
      <c r="B46" s="117">
        <v>0.125</v>
      </c>
      <c r="C46" s="111">
        <f t="shared" si="11"/>
        <v>4022.2407414406243</v>
      </c>
      <c r="D46" s="112"/>
      <c r="E46" s="69" t="s">
        <v>198</v>
      </c>
      <c r="G46" s="113">
        <v>7.0000000000000007E-2</v>
      </c>
      <c r="I46" s="69" t="s">
        <v>199</v>
      </c>
      <c r="J46" s="74">
        <f>1-J45</f>
        <v>0.30000000000000004</v>
      </c>
    </row>
    <row r="47" spans="2:16" x14ac:dyDescent="0.3">
      <c r="B47" s="110">
        <v>0.13</v>
      </c>
      <c r="C47" s="111">
        <f t="shared" si="11"/>
        <v>3781.3624654153914</v>
      </c>
      <c r="D47" s="112"/>
      <c r="E47" s="69" t="s">
        <v>200</v>
      </c>
      <c r="G47" s="118">
        <f>G43*[1]Comps!D35</f>
        <v>14597.599999999999</v>
      </c>
      <c r="I47" s="69" t="s">
        <v>194</v>
      </c>
      <c r="J47" s="76">
        <f>[1]Comps!Q43</f>
        <v>0.7431280717332277</v>
      </c>
    </row>
    <row r="48" spans="2:16" x14ac:dyDescent="0.3">
      <c r="B48" s="110">
        <v>0.13500000000000001</v>
      </c>
      <c r="C48" s="111">
        <f t="shared" si="11"/>
        <v>3562.887247893625</v>
      </c>
      <c r="D48" s="112"/>
      <c r="I48" s="69" t="s">
        <v>189</v>
      </c>
      <c r="J48" s="73">
        <f>G45+G46*J47</f>
        <v>0.11041896502132595</v>
      </c>
    </row>
    <row r="49" spans="2:13" x14ac:dyDescent="0.3">
      <c r="B49" s="110">
        <v>0.14000000000000001</v>
      </c>
      <c r="C49" s="111">
        <f t="shared" si="11"/>
        <v>3363.9665333705648</v>
      </c>
      <c r="D49" s="112"/>
      <c r="I49" s="69" t="s">
        <v>190</v>
      </c>
      <c r="J49" s="73">
        <f>G37</f>
        <v>7.7200000000000005E-2</v>
      </c>
    </row>
    <row r="50" spans="2:13" x14ac:dyDescent="0.3">
      <c r="B50" s="110">
        <v>0.14499999999999999</v>
      </c>
      <c r="C50" s="111">
        <f t="shared" si="11"/>
        <v>3182.2094196229887</v>
      </c>
      <c r="D50" s="112"/>
      <c r="E50" s="108" t="s">
        <v>201</v>
      </c>
      <c r="F50" s="108"/>
      <c r="G50" s="108"/>
      <c r="I50" s="69" t="s">
        <v>191</v>
      </c>
      <c r="J50" s="73">
        <v>0.34</v>
      </c>
    </row>
    <row r="51" spans="2:13" x14ac:dyDescent="0.3">
      <c r="B51" s="110">
        <v>0.15</v>
      </c>
      <c r="C51" s="111">
        <f t="shared" si="11"/>
        <v>3015.5945638246521</v>
      </c>
      <c r="D51" s="112"/>
      <c r="E51" s="119" t="s">
        <v>202</v>
      </c>
      <c r="G51" s="75">
        <v>500</v>
      </c>
      <c r="I51" s="78" t="s">
        <v>161</v>
      </c>
      <c r="J51" s="73">
        <f>J46*J49*(1-J50)+J48*J45</f>
        <v>9.2578875514928161E-2</v>
      </c>
    </row>
    <row r="52" spans="2:13" x14ac:dyDescent="0.3">
      <c r="B52" s="110">
        <v>0.155</v>
      </c>
      <c r="C52" s="111">
        <f t="shared" si="11"/>
        <v>2862.4016691954753</v>
      </c>
      <c r="D52" s="112"/>
      <c r="G52" s="75"/>
    </row>
    <row r="53" spans="2:13" ht="16.2" thickBot="1" x14ac:dyDescent="0.35">
      <c r="B53" s="120">
        <v>0.16</v>
      </c>
      <c r="C53" s="121">
        <f t="shared" si="11"/>
        <v>2721.157656829897</v>
      </c>
      <c r="D53" s="112"/>
      <c r="E53" s="108" t="s">
        <v>64</v>
      </c>
      <c r="F53" s="108"/>
      <c r="G53" s="108"/>
    </row>
    <row r="54" spans="2:13" x14ac:dyDescent="0.3">
      <c r="E54" s="122" t="s">
        <v>203</v>
      </c>
      <c r="G54" s="75">
        <v>300</v>
      </c>
      <c r="I54" s="108" t="s">
        <v>204</v>
      </c>
      <c r="J54" s="108"/>
    </row>
    <row r="55" spans="2:13" ht="16.2" thickBot="1" x14ac:dyDescent="0.35">
      <c r="E55" s="123" t="s">
        <v>205</v>
      </c>
      <c r="G55" s="75">
        <v>500</v>
      </c>
      <c r="I55" s="69" t="s">
        <v>197</v>
      </c>
      <c r="J55" s="74">
        <v>0.6</v>
      </c>
    </row>
    <row r="56" spans="2:13" ht="16.2" thickBot="1" x14ac:dyDescent="0.35">
      <c r="B56" s="103" t="s">
        <v>207</v>
      </c>
      <c r="C56" s="104"/>
      <c r="E56" s="122" t="s">
        <v>206</v>
      </c>
      <c r="G56" s="75">
        <f>SUM(G54:G55)</f>
        <v>800</v>
      </c>
      <c r="I56" s="69" t="s">
        <v>199</v>
      </c>
      <c r="J56" s="74">
        <f>1-J55</f>
        <v>0.4</v>
      </c>
    </row>
    <row r="57" spans="2:13" ht="16.2" thickBot="1" x14ac:dyDescent="0.35">
      <c r="B57" s="106" t="s">
        <v>208</v>
      </c>
      <c r="C57" s="124" t="s">
        <v>182</v>
      </c>
      <c r="I57" s="69" t="s">
        <v>194</v>
      </c>
      <c r="J57" s="76">
        <f>[1]Comps!Q41</f>
        <v>0.72020405596597614</v>
      </c>
    </row>
    <row r="58" spans="2:13" x14ac:dyDescent="0.3">
      <c r="B58" s="130">
        <v>-0.02</v>
      </c>
      <c r="C58" s="131">
        <f>(NPV($C$9,$E$28:$M$28,$N$26+$N$26*(1+B58)/($C$9-B58)))*(1+$C$9)</f>
        <v>3910.6113890584461</v>
      </c>
      <c r="E58" s="108" t="s">
        <v>209</v>
      </c>
      <c r="F58" s="108"/>
      <c r="G58" s="108"/>
      <c r="I58" s="69" t="s">
        <v>204</v>
      </c>
      <c r="J58" s="125">
        <f>G45+G46*J57</f>
        <v>0.10881428391761833</v>
      </c>
      <c r="M58" s="113"/>
    </row>
    <row r="59" spans="2:13" x14ac:dyDescent="0.3">
      <c r="B59" s="110">
        <v>-1.4999999999999999E-2</v>
      </c>
      <c r="C59" s="111">
        <f t="shared" ref="C59:C74" si="12">(NPV($C$9,$E$28:$M$28,$N$26+$N$26*(1+B59)/($C$9-B59)))*(1+$C$9)</f>
        <v>4008.4501956962672</v>
      </c>
      <c r="E59" s="101" t="s">
        <v>167</v>
      </c>
      <c r="F59" s="101" t="s">
        <v>210</v>
      </c>
      <c r="G59" s="127">
        <v>0.15</v>
      </c>
      <c r="J59" s="73"/>
      <c r="M59" s="113"/>
    </row>
    <row r="60" spans="2:13" x14ac:dyDescent="0.3">
      <c r="B60" s="110">
        <v>-0.01</v>
      </c>
      <c r="C60" s="111">
        <f t="shared" si="12"/>
        <v>4114.5236020313487</v>
      </c>
      <c r="E60" s="69" t="s">
        <v>211</v>
      </c>
      <c r="F60" s="69" t="s">
        <v>212</v>
      </c>
      <c r="G60" s="115">
        <f>(J21/C21)^(1/7)-1</f>
        <v>2.5067433737865352E-2</v>
      </c>
      <c r="J60" s="73"/>
    </row>
    <row r="61" spans="2:13" x14ac:dyDescent="0.3">
      <c r="B61" s="110">
        <v>-5.0000000000000001E-3</v>
      </c>
      <c r="C61" s="111">
        <f t="shared" si="12"/>
        <v>4229.9168760213424</v>
      </c>
      <c r="E61" s="69" t="s">
        <v>213</v>
      </c>
      <c r="F61" s="69" t="s">
        <v>212</v>
      </c>
      <c r="G61" s="115">
        <f>(J24/C24)^(1/7)-1</f>
        <v>3.1655861860716339E-2</v>
      </c>
      <c r="I61" s="78"/>
      <c r="J61" s="73"/>
    </row>
    <row r="62" spans="2:13" x14ac:dyDescent="0.3">
      <c r="B62" s="110">
        <v>0</v>
      </c>
      <c r="C62" s="111">
        <f t="shared" si="12"/>
        <v>4355.9147572224038</v>
      </c>
    </row>
    <row r="63" spans="2:13" x14ac:dyDescent="0.3">
      <c r="B63" s="110">
        <v>5.0000000000000001E-3</v>
      </c>
      <c r="C63" s="111">
        <f t="shared" si="12"/>
        <v>4494.0494924715113</v>
      </c>
    </row>
    <row r="64" spans="2:13" x14ac:dyDescent="0.3">
      <c r="B64" s="110">
        <v>0.01</v>
      </c>
      <c r="C64" s="111">
        <f t="shared" si="12"/>
        <v>4646.1634551938732</v>
      </c>
    </row>
    <row r="65" spans="2:3" x14ac:dyDescent="0.3">
      <c r="B65" s="110">
        <v>1.4999999999999999E-2</v>
      </c>
      <c r="C65" s="111">
        <f t="shared" si="12"/>
        <v>4814.4917891580335</v>
      </c>
    </row>
    <row r="66" spans="2:3" x14ac:dyDescent="0.3">
      <c r="B66" s="110">
        <v>0.02</v>
      </c>
      <c r="C66" s="111">
        <f t="shared" si="12"/>
        <v>5001.7729679281347</v>
      </c>
    </row>
    <row r="67" spans="2:3" x14ac:dyDescent="0.3">
      <c r="B67" s="110">
        <v>2.5000000000000001E-2</v>
      </c>
      <c r="C67" s="111">
        <f t="shared" si="12"/>
        <v>5211.398927327059</v>
      </c>
    </row>
    <row r="68" spans="2:3" x14ac:dyDescent="0.3">
      <c r="B68" s="110">
        <v>0.03</v>
      </c>
      <c r="C68" s="111">
        <f t="shared" si="12"/>
        <v>5447.6223445697979</v>
      </c>
    </row>
    <row r="69" spans="2:3" x14ac:dyDescent="0.3">
      <c r="B69" s="110">
        <v>3.5000000000000003E-2</v>
      </c>
      <c r="C69" s="111">
        <f t="shared" si="12"/>
        <v>5715.8481609019027</v>
      </c>
    </row>
    <row r="70" spans="2:3" x14ac:dyDescent="0.3">
      <c r="B70" s="110">
        <v>0.04</v>
      </c>
      <c r="C70" s="111">
        <f t="shared" si="12"/>
        <v>6023.0521952814715</v>
      </c>
    </row>
    <row r="71" spans="2:3" x14ac:dyDescent="0.3">
      <c r="B71" s="110">
        <v>4.4999999999999998E-2</v>
      </c>
      <c r="C71" s="111">
        <f t="shared" si="12"/>
        <v>6378.3965542905789</v>
      </c>
    </row>
    <row r="72" spans="2:3" x14ac:dyDescent="0.3">
      <c r="B72" s="110">
        <v>0.05</v>
      </c>
      <c r="C72" s="111">
        <f t="shared" si="12"/>
        <v>6794.1589504395834</v>
      </c>
    </row>
    <row r="73" spans="2:3" x14ac:dyDescent="0.3">
      <c r="B73" s="110">
        <v>5.5E-2</v>
      </c>
      <c r="C73" s="111">
        <f t="shared" si="12"/>
        <v>7287.1800901566467</v>
      </c>
    </row>
    <row r="74" spans="2:3" ht="16.2" thickBot="1" x14ac:dyDescent="0.35">
      <c r="B74" s="120">
        <v>0.06</v>
      </c>
      <c r="C74" s="121">
        <f t="shared" si="12"/>
        <v>7881.2005891082163</v>
      </c>
    </row>
  </sheetData>
  <mergeCells count="12">
    <mergeCell ref="I44:J44"/>
    <mergeCell ref="E50:G50"/>
    <mergeCell ref="E53:G53"/>
    <mergeCell ref="I54:J54"/>
    <mergeCell ref="B56:C56"/>
    <mergeCell ref="E58:G58"/>
    <mergeCell ref="B1:L1"/>
    <mergeCell ref="B2:L2"/>
    <mergeCell ref="B35:C35"/>
    <mergeCell ref="E36:G36"/>
    <mergeCell ref="I36:J36"/>
    <mergeCell ref="E42:G42"/>
  </mergeCells>
  <conditionalFormatting sqref="B37:B53">
    <cfRule type="expression" dxfId="1" priority="2">
      <formula>ABS(B37-$C$9)=MIN(ABS($B$37:$B$53-$C$9))</formula>
    </cfRule>
  </conditionalFormatting>
  <conditionalFormatting sqref="B58:B74">
    <cfRule type="expression" dxfId="0" priority="1">
      <formula>ABS(B58-$C$9)=MIN(ABS($B$37:$B$53-$C$9))</formula>
    </cfRule>
  </conditionalFormatting>
  <pageMargins left="0.75" right="0.75" top="1" bottom="1" header="0.5" footer="0.5"/>
  <pageSetup scale="39" orientation="landscape" horizontalDpi="4294967292" verticalDpi="4294967292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2"/>
  <sheetViews>
    <sheetView workbookViewId="0">
      <selection activeCell="D7" sqref="D7"/>
    </sheetView>
  </sheetViews>
  <sheetFormatPr defaultColWidth="10.77734375" defaultRowHeight="15.6" x14ac:dyDescent="0.3"/>
  <cols>
    <col min="1" max="1" width="10.77734375" style="75"/>
    <col min="2" max="2" width="15.44140625" style="75" customWidth="1"/>
    <col min="3" max="3" width="12" style="75" bestFit="1" customWidth="1"/>
    <col min="4" max="4" width="11.21875" style="75" bestFit="1" customWidth="1"/>
    <col min="5" max="5" width="10.6640625" style="75" bestFit="1" customWidth="1"/>
    <col min="6" max="10" width="11.109375" style="75" bestFit="1" customWidth="1"/>
    <col min="11" max="14" width="11" style="75" bestFit="1" customWidth="1"/>
    <col min="15" max="16384" width="10.77734375" style="75"/>
  </cols>
  <sheetData>
    <row r="1" spans="2:10" ht="16.2" thickBot="1" x14ac:dyDescent="0.35"/>
    <row r="2" spans="2:10" ht="13.05" customHeight="1" thickBot="1" x14ac:dyDescent="0.35">
      <c r="B2" s="132" t="s">
        <v>217</v>
      </c>
      <c r="C2" s="133"/>
      <c r="D2" s="134">
        <v>0.3</v>
      </c>
      <c r="G2" s="135" t="s">
        <v>218</v>
      </c>
      <c r="H2" s="136"/>
      <c r="I2" s="136"/>
      <c r="J2" s="137"/>
    </row>
    <row r="3" spans="2:10" ht="13.05" customHeight="1" thickBot="1" x14ac:dyDescent="0.35">
      <c r="B3" s="138" t="s">
        <v>219</v>
      </c>
      <c r="C3" s="139"/>
      <c r="D3" s="140">
        <f>1-D2</f>
        <v>0.7</v>
      </c>
      <c r="G3" s="141" t="s">
        <v>220</v>
      </c>
      <c r="H3" s="142" t="s">
        <v>221</v>
      </c>
      <c r="I3" s="142" t="s">
        <v>222</v>
      </c>
      <c r="J3" s="143" t="s">
        <v>223</v>
      </c>
    </row>
    <row r="4" spans="2:10" ht="13.05" customHeight="1" x14ac:dyDescent="0.3">
      <c r="B4" s="138" t="s">
        <v>224</v>
      </c>
      <c r="C4" s="139"/>
      <c r="D4" s="140">
        <f>D2/D3</f>
        <v>0.4285714285714286</v>
      </c>
      <c r="G4" s="144">
        <v>3.6999999999999998E-2</v>
      </c>
      <c r="H4" s="145" t="s">
        <v>225</v>
      </c>
      <c r="I4" s="146">
        <v>7.0099999999999996E-2</v>
      </c>
      <c r="J4" s="147" t="s">
        <v>226</v>
      </c>
    </row>
    <row r="5" spans="2:10" ht="13.05" customHeight="1" thickBot="1" x14ac:dyDescent="0.35">
      <c r="B5" s="148" t="s">
        <v>221</v>
      </c>
      <c r="C5" s="149"/>
      <c r="D5" s="150" t="str">
        <f>INDEX(H4:H9,MATCH(D2,G4:G9,1))</f>
        <v xml:space="preserve"> A</v>
      </c>
      <c r="G5" s="144">
        <v>9.1999999999999998E-2</v>
      </c>
      <c r="H5" s="145" t="s">
        <v>227</v>
      </c>
      <c r="I5" s="146">
        <v>7.1400000000000005E-2</v>
      </c>
      <c r="J5" s="147" t="s">
        <v>228</v>
      </c>
    </row>
    <row r="6" spans="2:10" ht="13.05" customHeight="1" thickBot="1" x14ac:dyDescent="0.35">
      <c r="B6" s="151"/>
      <c r="C6" s="152"/>
      <c r="D6" s="153"/>
      <c r="G6" s="144">
        <v>0.16400000000000001</v>
      </c>
      <c r="H6" s="145" t="s">
        <v>229</v>
      </c>
      <c r="I6" s="146">
        <v>7.3099999999999998E-2</v>
      </c>
      <c r="J6" s="147" t="s">
        <v>230</v>
      </c>
    </row>
    <row r="7" spans="2:10" ht="13.05" customHeight="1" x14ac:dyDescent="0.3">
      <c r="B7" s="138" t="s">
        <v>231</v>
      </c>
      <c r="C7" s="139"/>
      <c r="D7" s="154">
        <f>[1]DCFU!C31</f>
        <v>7517.4040452508507</v>
      </c>
      <c r="G7" s="144">
        <v>0.30399999999999999</v>
      </c>
      <c r="H7" s="145" t="s">
        <v>232</v>
      </c>
      <c r="I7" s="146">
        <v>7.7200000000000005E-2</v>
      </c>
      <c r="J7" s="147" t="s">
        <v>233</v>
      </c>
    </row>
    <row r="8" spans="2:10" ht="13.05" customHeight="1" x14ac:dyDescent="0.3">
      <c r="B8" s="138" t="s">
        <v>234</v>
      </c>
      <c r="C8" s="139"/>
      <c r="D8" s="154">
        <f>D2*[1]DCFU!C31</f>
        <v>2255.2212135752552</v>
      </c>
      <c r="G8" s="144">
        <v>0.47499999999999998</v>
      </c>
      <c r="H8" s="145" t="s">
        <v>235</v>
      </c>
      <c r="I8" s="146">
        <v>9.1800000000000007E-2</v>
      </c>
      <c r="J8" s="147" t="s">
        <v>236</v>
      </c>
    </row>
    <row r="9" spans="2:10" ht="13.05" customHeight="1" thickBot="1" x14ac:dyDescent="0.35">
      <c r="B9" s="138" t="s">
        <v>237</v>
      </c>
      <c r="C9" s="139"/>
      <c r="D9" s="155">
        <f>INDEX(I4:I9,MATCH(D5,H4:H9,0))</f>
        <v>7.3099999999999998E-2</v>
      </c>
      <c r="G9" s="156">
        <v>0.59299999999999997</v>
      </c>
      <c r="H9" s="157" t="s">
        <v>238</v>
      </c>
      <c r="I9" s="158">
        <v>0.10440000000000001</v>
      </c>
      <c r="J9" s="159" t="s">
        <v>239</v>
      </c>
    </row>
    <row r="10" spans="2:10" ht="13.05" customHeight="1" thickBot="1" x14ac:dyDescent="0.35">
      <c r="B10" s="148" t="s">
        <v>240</v>
      </c>
      <c r="C10" s="149"/>
      <c r="D10" s="160">
        <f>D9*D8</f>
        <v>164.85667071235116</v>
      </c>
      <c r="G10" s="119" t="s">
        <v>241</v>
      </c>
    </row>
    <row r="11" spans="2:10" ht="13.05" customHeight="1" thickBot="1" x14ac:dyDescent="0.35">
      <c r="B11" s="138"/>
      <c r="C11" s="139"/>
      <c r="D11" s="161"/>
      <c r="G11" s="119" t="s">
        <v>242</v>
      </c>
      <c r="H11" s="162"/>
      <c r="I11" s="162"/>
      <c r="J11" s="163"/>
    </row>
    <row r="12" spans="2:10" ht="13.05" customHeight="1" x14ac:dyDescent="0.3">
      <c r="B12" s="132" t="s">
        <v>243</v>
      </c>
      <c r="C12" s="133"/>
      <c r="D12" s="164">
        <v>10</v>
      </c>
      <c r="J12" s="163"/>
    </row>
    <row r="13" spans="2:10" ht="13.05" customHeight="1" thickBot="1" x14ac:dyDescent="0.35">
      <c r="B13" s="148" t="s">
        <v>244</v>
      </c>
      <c r="C13" s="149"/>
      <c r="D13" s="160">
        <f>D8/D12</f>
        <v>225.52212135752552</v>
      </c>
      <c r="H13" s="165"/>
      <c r="I13" s="165"/>
      <c r="J13" s="163"/>
    </row>
    <row r="14" spans="2:10" ht="13.05" customHeight="1" x14ac:dyDescent="0.3">
      <c r="B14" s="166"/>
      <c r="C14" s="166"/>
      <c r="D14" s="167"/>
      <c r="H14" s="165"/>
      <c r="I14" s="165"/>
      <c r="J14" s="163"/>
    </row>
    <row r="15" spans="2:10" ht="13.05" customHeight="1" x14ac:dyDescent="0.3">
      <c r="H15" s="165"/>
      <c r="I15" s="165"/>
      <c r="J15" s="168"/>
    </row>
    <row r="16" spans="2:10" ht="13.05" customHeight="1" thickBot="1" x14ac:dyDescent="0.35"/>
    <row r="17" spans="2:16" ht="13.05" customHeight="1" thickBot="1" x14ac:dyDescent="0.35">
      <c r="B17" s="135" t="s">
        <v>245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7"/>
      <c r="N17" s="169"/>
      <c r="O17" s="170"/>
    </row>
    <row r="18" spans="2:16" ht="13.05" customHeight="1" x14ac:dyDescent="0.3">
      <c r="B18" s="171"/>
      <c r="C18" s="72">
        <v>2000</v>
      </c>
      <c r="D18" s="72" t="s">
        <v>153</v>
      </c>
      <c r="E18" s="72" t="s">
        <v>154</v>
      </c>
      <c r="F18" s="72" t="s">
        <v>155</v>
      </c>
      <c r="G18" s="72" t="s">
        <v>156</v>
      </c>
      <c r="H18" s="72" t="s">
        <v>246</v>
      </c>
      <c r="I18" s="72">
        <v>2006</v>
      </c>
      <c r="J18" s="72">
        <v>2007</v>
      </c>
      <c r="K18" s="72">
        <v>2008</v>
      </c>
      <c r="L18" s="72">
        <v>2009</v>
      </c>
      <c r="M18" s="172">
        <v>2010</v>
      </c>
      <c r="N18" s="173"/>
      <c r="O18" s="173"/>
    </row>
    <row r="19" spans="2:16" ht="13.05" customHeight="1" x14ac:dyDescent="0.3">
      <c r="B19" s="174" t="s">
        <v>247</v>
      </c>
      <c r="C19" s="173"/>
      <c r="D19" s="175">
        <f>C24+D8</f>
        <v>2959.2212135752552</v>
      </c>
      <c r="E19" s="175">
        <f t="shared" ref="E19:M19" si="0">D24</f>
        <v>3056.2042002454068</v>
      </c>
      <c r="F19" s="175">
        <f t="shared" si="0"/>
        <v>3003.6144029155585</v>
      </c>
      <c r="G19" s="175">
        <f t="shared" si="0"/>
        <v>2914.2446055857104</v>
      </c>
      <c r="H19" s="175">
        <f t="shared" si="0"/>
        <v>2654.8748082558623</v>
      </c>
      <c r="I19" s="175">
        <f t="shared" si="0"/>
        <v>2326.6050109260141</v>
      </c>
      <c r="J19" s="175">
        <f t="shared" si="0"/>
        <v>1947.735213596166</v>
      </c>
      <c r="K19" s="175">
        <f t="shared" si="0"/>
        <v>1502.6571534669513</v>
      </c>
      <c r="L19" s="175">
        <f t="shared" si="0"/>
        <v>980.91291445624529</v>
      </c>
      <c r="M19" s="176">
        <f t="shared" si="0"/>
        <v>370.4441790367805</v>
      </c>
      <c r="N19" s="173"/>
      <c r="O19" s="173"/>
    </row>
    <row r="20" spans="2:16" ht="13.05" customHeight="1" x14ac:dyDescent="0.3">
      <c r="B20" s="174" t="s">
        <v>248</v>
      </c>
      <c r="C20" s="173"/>
      <c r="D20" s="175">
        <f>[1]DCFU!E27</f>
        <v>45.787599999999998</v>
      </c>
      <c r="E20" s="175">
        <f>[1]DCFU!F27</f>
        <v>161.39519999999993</v>
      </c>
      <c r="F20" s="175">
        <f>[1]DCFU!G27</f>
        <v>198.1751999999999</v>
      </c>
      <c r="G20" s="175">
        <f>[1]DCFU!H27</f>
        <v>368.1751999999999</v>
      </c>
      <c r="H20" s="175">
        <f>[1]DCFU!I27</f>
        <v>437.0752</v>
      </c>
      <c r="I20" s="175">
        <f>[1]DCFU!J27</f>
        <v>487.6751999999999</v>
      </c>
      <c r="J20" s="175">
        <f>[1]DCFU!K27</f>
        <v>553.88346279936638</v>
      </c>
      <c r="K20" s="175">
        <f>[1]DCFU!L27</f>
        <v>630.54964168085769</v>
      </c>
      <c r="L20" s="175">
        <f>[1]DCFU!M27</f>
        <v>719.27413808961649</v>
      </c>
      <c r="M20" s="176">
        <f>[1]DCFU!N25</f>
        <v>821.89879467764013</v>
      </c>
      <c r="N20" s="173"/>
      <c r="O20" s="173"/>
    </row>
    <row r="21" spans="2:16" ht="13.05" customHeight="1" x14ac:dyDescent="0.3">
      <c r="B21" s="174" t="s">
        <v>240</v>
      </c>
      <c r="C21" s="173"/>
      <c r="D21" s="175">
        <f>(D8+C24)*D9</f>
        <v>216.31907071235116</v>
      </c>
      <c r="E21" s="175">
        <f>D10</f>
        <v>164.85667071235116</v>
      </c>
      <c r="F21" s="175">
        <f>$D$10</f>
        <v>164.85667071235116</v>
      </c>
      <c r="G21" s="175">
        <f t="shared" ref="G21:M21" si="1">$D$10</f>
        <v>164.85667071235116</v>
      </c>
      <c r="H21" s="175">
        <f t="shared" si="1"/>
        <v>164.85667071235116</v>
      </c>
      <c r="I21" s="175">
        <f t="shared" si="1"/>
        <v>164.85667071235116</v>
      </c>
      <c r="J21" s="175">
        <f t="shared" si="1"/>
        <v>164.85667071235116</v>
      </c>
      <c r="K21" s="175">
        <f t="shared" si="1"/>
        <v>164.85667071235116</v>
      </c>
      <c r="L21" s="175">
        <f t="shared" si="1"/>
        <v>164.85667071235116</v>
      </c>
      <c r="M21" s="176">
        <f t="shared" si="1"/>
        <v>164.85667071235116</v>
      </c>
      <c r="N21" s="173"/>
      <c r="O21" s="173"/>
    </row>
    <row r="22" spans="2:16" ht="13.05" customHeight="1" x14ac:dyDescent="0.3">
      <c r="B22" s="174" t="s">
        <v>249</v>
      </c>
      <c r="C22" s="173"/>
      <c r="D22" s="175"/>
      <c r="E22" s="175">
        <f t="shared" ref="E22:M22" si="2">MIN(D23,0)</f>
        <v>-96.982986670151746</v>
      </c>
      <c r="F22" s="175">
        <f t="shared" si="2"/>
        <v>0</v>
      </c>
      <c r="G22" s="175">
        <f t="shared" si="2"/>
        <v>0</v>
      </c>
      <c r="H22" s="175">
        <f t="shared" si="2"/>
        <v>0</v>
      </c>
      <c r="I22" s="175">
        <f t="shared" si="2"/>
        <v>0</v>
      </c>
      <c r="J22" s="175">
        <f t="shared" si="2"/>
        <v>0</v>
      </c>
      <c r="K22" s="175">
        <f t="shared" si="2"/>
        <v>0</v>
      </c>
      <c r="L22" s="175">
        <f t="shared" si="2"/>
        <v>0</v>
      </c>
      <c r="M22" s="176">
        <f t="shared" si="2"/>
        <v>0</v>
      </c>
      <c r="N22" s="173"/>
      <c r="O22" s="173"/>
    </row>
    <row r="23" spans="2:16" ht="13.05" customHeight="1" x14ac:dyDescent="0.3">
      <c r="B23" s="177" t="s">
        <v>250</v>
      </c>
      <c r="C23" s="178"/>
      <c r="D23" s="179">
        <f>D20-D21*(1-[1]DCFU!E6)</f>
        <v>-96.982986670151746</v>
      </c>
      <c r="E23" s="179">
        <f>E20-E21*(1-[1]DCFU!F6)</f>
        <v>52.589797329848182</v>
      </c>
      <c r="F23" s="179">
        <f>F20-F21*(1-[1]DCFU!G6)</f>
        <v>89.369797329848154</v>
      </c>
      <c r="G23" s="179">
        <f>G20-G21*(1-[1]DCFU!H6)</f>
        <v>259.36979732984815</v>
      </c>
      <c r="H23" s="179">
        <f>H20-H21*(1-[1]DCFU!I6)</f>
        <v>328.26979732984825</v>
      </c>
      <c r="I23" s="179">
        <f>I20-I21*(1-[1]DCFU!J6)</f>
        <v>378.86979732984815</v>
      </c>
      <c r="J23" s="179">
        <f>J20-J21*(1-[1]DCFU!K6)</f>
        <v>445.07806012921463</v>
      </c>
      <c r="K23" s="179">
        <f>K20-K21*(1-[1]DCFU!L6)</f>
        <v>521.744239010706</v>
      </c>
      <c r="L23" s="179">
        <f>L20-L21*(1-[1]DCFU!M6)</f>
        <v>610.46873541946479</v>
      </c>
      <c r="M23" s="180">
        <f>M20-M21*(1-[1]DCFU!N6)</f>
        <v>713.09339200748832</v>
      </c>
      <c r="N23" s="173"/>
      <c r="O23" s="173"/>
    </row>
    <row r="24" spans="2:16" ht="13.05" customHeight="1" thickBot="1" x14ac:dyDescent="0.35">
      <c r="B24" s="181" t="s">
        <v>251</v>
      </c>
      <c r="C24" s="182">
        <f>[1]Comps!D33</f>
        <v>704</v>
      </c>
      <c r="D24" s="183">
        <f t="shared" ref="D24:M24" si="3">E25</f>
        <v>3056.2042002454068</v>
      </c>
      <c r="E24" s="183">
        <f t="shared" si="3"/>
        <v>3003.6144029155585</v>
      </c>
      <c r="F24" s="183">
        <f t="shared" si="3"/>
        <v>2914.2446055857104</v>
      </c>
      <c r="G24" s="183">
        <f t="shared" si="3"/>
        <v>2654.8748082558623</v>
      </c>
      <c r="H24" s="183">
        <f t="shared" si="3"/>
        <v>2326.6050109260141</v>
      </c>
      <c r="I24" s="183">
        <f t="shared" si="3"/>
        <v>1947.735213596166</v>
      </c>
      <c r="J24" s="183">
        <f t="shared" si="3"/>
        <v>1502.6571534669513</v>
      </c>
      <c r="K24" s="183">
        <f t="shared" si="3"/>
        <v>980.91291445624529</v>
      </c>
      <c r="L24" s="183">
        <f t="shared" si="3"/>
        <v>370.4441790367805</v>
      </c>
      <c r="M24" s="184">
        <f t="shared" si="3"/>
        <v>0</v>
      </c>
      <c r="N24" s="173"/>
      <c r="O24" s="173"/>
    </row>
    <row r="25" spans="2:16" ht="13.05" customHeight="1" x14ac:dyDescent="0.3">
      <c r="B25" s="185" t="s">
        <v>252</v>
      </c>
      <c r="C25" s="185"/>
      <c r="D25" s="185"/>
      <c r="E25" s="186">
        <f t="shared" ref="E25:N25" si="4">MAX(0,D19-D23)</f>
        <v>3056.2042002454068</v>
      </c>
      <c r="F25" s="186">
        <f t="shared" si="4"/>
        <v>3003.6144029155585</v>
      </c>
      <c r="G25" s="186">
        <f t="shared" si="4"/>
        <v>2914.2446055857104</v>
      </c>
      <c r="H25" s="186">
        <f t="shared" si="4"/>
        <v>2654.8748082558623</v>
      </c>
      <c r="I25" s="186">
        <f t="shared" si="4"/>
        <v>2326.6050109260141</v>
      </c>
      <c r="J25" s="186">
        <f t="shared" si="4"/>
        <v>1947.735213596166</v>
      </c>
      <c r="K25" s="186">
        <f t="shared" si="4"/>
        <v>1502.6571534669513</v>
      </c>
      <c r="L25" s="186">
        <f t="shared" si="4"/>
        <v>980.91291445624529</v>
      </c>
      <c r="M25" s="186">
        <f t="shared" si="4"/>
        <v>370.4441790367805</v>
      </c>
      <c r="N25" s="186">
        <f t="shared" si="4"/>
        <v>0</v>
      </c>
      <c r="O25" s="173"/>
      <c r="P25" s="173"/>
    </row>
    <row r="26" spans="2:16" ht="16.2" thickBot="1" x14ac:dyDescent="0.35">
      <c r="L26" s="173"/>
      <c r="M26" s="187"/>
    </row>
    <row r="27" spans="2:16" ht="16.2" thickBot="1" x14ac:dyDescent="0.35">
      <c r="B27" s="135" t="s">
        <v>253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7"/>
    </row>
    <row r="28" spans="2:16" ht="16.2" thickBot="1" x14ac:dyDescent="0.35">
      <c r="B28" s="188" t="s">
        <v>254</v>
      </c>
      <c r="C28" s="166">
        <v>1</v>
      </c>
      <c r="D28" s="166">
        <v>2</v>
      </c>
      <c r="E28" s="166">
        <v>3</v>
      </c>
      <c r="F28" s="166">
        <v>4</v>
      </c>
      <c r="G28" s="166">
        <v>5</v>
      </c>
      <c r="H28" s="166">
        <v>6</v>
      </c>
      <c r="I28" s="166">
        <v>7</v>
      </c>
      <c r="J28" s="166">
        <v>8</v>
      </c>
      <c r="K28" s="166">
        <v>9</v>
      </c>
      <c r="L28" s="166">
        <v>10</v>
      </c>
      <c r="M28" s="161"/>
    </row>
    <row r="29" spans="2:16" ht="16.2" thickBot="1" x14ac:dyDescent="0.35">
      <c r="B29" s="189" t="s">
        <v>255</v>
      </c>
      <c r="C29" s="190">
        <f t="array" ref="C29:L29">TRANSPOSE(M30:M39)</f>
        <v>0.5563161775413028</v>
      </c>
      <c r="D29" s="190">
        <v>0.2475240188234058</v>
      </c>
      <c r="E29" s="190">
        <v>0.1588643705432613</v>
      </c>
      <c r="F29" s="190">
        <v>0.11692614743466168</v>
      </c>
      <c r="G29" s="190">
        <v>9.2495272568272835E-2</v>
      </c>
      <c r="H29" s="190">
        <v>7.6505629591996804E-2</v>
      </c>
      <c r="I29" s="190">
        <v>6.5227935897482325E-2</v>
      </c>
      <c r="J29" s="190">
        <v>5.6847267789787104E-2</v>
      </c>
      <c r="K29" s="190">
        <v>5.0374581560080678E-2</v>
      </c>
      <c r="L29" s="190">
        <v>4.5224986578662252E-2</v>
      </c>
      <c r="M29" s="191" t="s">
        <v>256</v>
      </c>
    </row>
    <row r="30" spans="2:16" x14ac:dyDescent="0.3">
      <c r="B30" s="192">
        <f>-$D$3*$D$7</f>
        <v>-5262.1828316755955</v>
      </c>
      <c r="C30" s="193">
        <f>[1]DCFL!$N$27</f>
        <v>8189.6202701168313</v>
      </c>
      <c r="D30" s="166"/>
      <c r="E30" s="166"/>
      <c r="F30" s="166"/>
      <c r="G30" s="166"/>
      <c r="H30" s="166"/>
      <c r="I30" s="166"/>
      <c r="J30" s="166"/>
      <c r="K30" s="166"/>
      <c r="L30" s="166"/>
      <c r="M30" s="194">
        <f>IRR(B30:L30)</f>
        <v>0.5563161775413028</v>
      </c>
      <c r="N30" s="195" t="s">
        <v>257</v>
      </c>
    </row>
    <row r="31" spans="2:16" x14ac:dyDescent="0.3">
      <c r="B31" s="192">
        <f>-$D$3*$D$7</f>
        <v>-5262.1828316755955</v>
      </c>
      <c r="C31" s="166">
        <v>0</v>
      </c>
      <c r="D31" s="193">
        <f>[1]DCFL!$N$27</f>
        <v>8189.6202701168313</v>
      </c>
      <c r="E31" s="166"/>
      <c r="F31" s="166"/>
      <c r="G31" s="166"/>
      <c r="H31" s="166"/>
      <c r="I31" s="166"/>
      <c r="J31" s="166"/>
      <c r="K31" s="166"/>
      <c r="L31" s="166"/>
      <c r="M31" s="194">
        <f>IRR(B31:L31)</f>
        <v>0.2475240188234058</v>
      </c>
      <c r="N31" s="196"/>
    </row>
    <row r="32" spans="2:16" x14ac:dyDescent="0.3">
      <c r="B32" s="192">
        <f t="shared" ref="B32:B39" si="5">-$D$3*$D$7</f>
        <v>-5262.1828316755955</v>
      </c>
      <c r="C32" s="166">
        <v>0</v>
      </c>
      <c r="D32" s="166">
        <v>0</v>
      </c>
      <c r="E32" s="193">
        <f>[1]DCFL!$N$27</f>
        <v>8189.6202701168313</v>
      </c>
      <c r="F32" s="166"/>
      <c r="G32" s="166"/>
      <c r="H32" s="166"/>
      <c r="I32" s="166"/>
      <c r="J32" s="166"/>
      <c r="K32" s="166"/>
      <c r="L32" s="166"/>
      <c r="M32" s="194">
        <f t="shared" ref="M32:M39" si="6">IRR(B32:L32)</f>
        <v>0.1588643705432613</v>
      </c>
      <c r="N32" s="196"/>
    </row>
    <row r="33" spans="2:14" ht="16.2" thickBot="1" x14ac:dyDescent="0.35">
      <c r="B33" s="192">
        <f t="shared" si="5"/>
        <v>-5262.1828316755955</v>
      </c>
      <c r="C33" s="166">
        <v>0</v>
      </c>
      <c r="D33" s="166">
        <v>0</v>
      </c>
      <c r="E33" s="166">
        <v>0</v>
      </c>
      <c r="F33" s="193">
        <f>[1]DCFL!$N$27</f>
        <v>8189.6202701168313</v>
      </c>
      <c r="G33" s="166"/>
      <c r="H33" s="166"/>
      <c r="I33" s="166"/>
      <c r="J33" s="166"/>
      <c r="K33" s="166"/>
      <c r="L33" s="166"/>
      <c r="M33" s="194">
        <f t="shared" si="6"/>
        <v>0.11692614743466168</v>
      </c>
      <c r="N33" s="197"/>
    </row>
    <row r="34" spans="2:14" x14ac:dyDescent="0.3">
      <c r="B34" s="192">
        <f t="shared" si="5"/>
        <v>-5262.1828316755955</v>
      </c>
      <c r="C34" s="166">
        <v>0</v>
      </c>
      <c r="D34" s="166">
        <v>0</v>
      </c>
      <c r="E34" s="166">
        <v>0</v>
      </c>
      <c r="F34" s="166">
        <v>0</v>
      </c>
      <c r="G34" s="193">
        <f>[1]DCFL!$N$27</f>
        <v>8189.6202701168313</v>
      </c>
      <c r="H34" s="166"/>
      <c r="I34" s="166"/>
      <c r="J34" s="166"/>
      <c r="K34" s="166"/>
      <c r="L34" s="166"/>
      <c r="M34" s="194">
        <f t="shared" si="6"/>
        <v>9.2495272568272835E-2</v>
      </c>
    </row>
    <row r="35" spans="2:14" x14ac:dyDescent="0.3">
      <c r="B35" s="192">
        <f t="shared" si="5"/>
        <v>-5262.1828316755955</v>
      </c>
      <c r="C35" s="166">
        <v>0</v>
      </c>
      <c r="D35" s="166">
        <v>0</v>
      </c>
      <c r="E35" s="166">
        <v>0</v>
      </c>
      <c r="F35" s="166">
        <v>0</v>
      </c>
      <c r="G35" s="166">
        <v>0</v>
      </c>
      <c r="H35" s="193">
        <f>[1]DCFL!$N$27</f>
        <v>8189.6202701168313</v>
      </c>
      <c r="I35" s="166"/>
      <c r="J35" s="166"/>
      <c r="K35" s="166"/>
      <c r="L35" s="166"/>
      <c r="M35" s="194">
        <f t="shared" si="6"/>
        <v>7.6505629591996804E-2</v>
      </c>
    </row>
    <row r="36" spans="2:14" x14ac:dyDescent="0.3">
      <c r="B36" s="192">
        <f t="shared" si="5"/>
        <v>-5262.1828316755955</v>
      </c>
      <c r="C36" s="166">
        <v>0</v>
      </c>
      <c r="D36" s="166">
        <v>0</v>
      </c>
      <c r="E36" s="166">
        <v>0</v>
      </c>
      <c r="F36" s="166">
        <v>0</v>
      </c>
      <c r="G36" s="166">
        <v>0</v>
      </c>
      <c r="H36" s="166">
        <v>0</v>
      </c>
      <c r="I36" s="193">
        <f>[1]DCFL!$N$27</f>
        <v>8189.6202701168313</v>
      </c>
      <c r="J36" s="166"/>
      <c r="K36" s="166"/>
      <c r="L36" s="166"/>
      <c r="M36" s="194">
        <f t="shared" si="6"/>
        <v>6.5227935897482325E-2</v>
      </c>
    </row>
    <row r="37" spans="2:14" x14ac:dyDescent="0.3">
      <c r="B37" s="192">
        <f t="shared" si="5"/>
        <v>-5262.1828316755955</v>
      </c>
      <c r="C37" s="166">
        <v>0</v>
      </c>
      <c r="D37" s="166">
        <v>0</v>
      </c>
      <c r="E37" s="166">
        <v>0</v>
      </c>
      <c r="F37" s="166">
        <v>0</v>
      </c>
      <c r="G37" s="166">
        <v>0</v>
      </c>
      <c r="H37" s="166">
        <v>0</v>
      </c>
      <c r="I37" s="198">
        <v>0</v>
      </c>
      <c r="J37" s="193">
        <f>[1]DCFL!$N$27</f>
        <v>8189.6202701168313</v>
      </c>
      <c r="K37" s="166"/>
      <c r="L37" s="166"/>
      <c r="M37" s="194">
        <f t="shared" si="6"/>
        <v>5.6847267789787104E-2</v>
      </c>
    </row>
    <row r="38" spans="2:14" x14ac:dyDescent="0.3">
      <c r="B38" s="192">
        <f t="shared" si="5"/>
        <v>-5262.1828316755955</v>
      </c>
      <c r="C38" s="166">
        <v>0</v>
      </c>
      <c r="D38" s="166">
        <v>0</v>
      </c>
      <c r="E38" s="166">
        <v>0</v>
      </c>
      <c r="F38" s="166">
        <v>0</v>
      </c>
      <c r="G38" s="166">
        <v>0</v>
      </c>
      <c r="H38" s="166">
        <v>0</v>
      </c>
      <c r="I38" s="198">
        <v>0</v>
      </c>
      <c r="J38" s="166">
        <v>0</v>
      </c>
      <c r="K38" s="193">
        <f>[1]DCFL!$N$27</f>
        <v>8189.6202701168313</v>
      </c>
      <c r="L38" s="166"/>
      <c r="M38" s="194">
        <f t="shared" si="6"/>
        <v>5.0374581560080678E-2</v>
      </c>
    </row>
    <row r="39" spans="2:14" ht="16.2" thickBot="1" x14ac:dyDescent="0.35">
      <c r="B39" s="199">
        <f t="shared" si="5"/>
        <v>-5262.1828316755955</v>
      </c>
      <c r="C39" s="200">
        <v>0</v>
      </c>
      <c r="D39" s="200">
        <v>0</v>
      </c>
      <c r="E39" s="200">
        <v>0</v>
      </c>
      <c r="F39" s="200">
        <v>0</v>
      </c>
      <c r="G39" s="200">
        <v>0</v>
      </c>
      <c r="H39" s="200">
        <v>0</v>
      </c>
      <c r="I39" s="201">
        <v>0</v>
      </c>
      <c r="J39" s="200">
        <v>0</v>
      </c>
      <c r="K39" s="200">
        <v>0</v>
      </c>
      <c r="L39" s="202">
        <f>[1]DCFL!$N$27</f>
        <v>8189.6202701168313</v>
      </c>
      <c r="M39" s="203">
        <f t="shared" si="6"/>
        <v>4.5224986578662252E-2</v>
      </c>
      <c r="N39" s="193"/>
    </row>
    <row r="41" spans="2:14" x14ac:dyDescent="0.3">
      <c r="C41" s="204"/>
    </row>
    <row r="42" spans="2:14" x14ac:dyDescent="0.3">
      <c r="C42" s="204"/>
    </row>
  </sheetData>
  <mergeCells count="16">
    <mergeCell ref="B13:C13"/>
    <mergeCell ref="B17:M17"/>
    <mergeCell ref="B27:M27"/>
    <mergeCell ref="N30:N33"/>
    <mergeCell ref="B7:C7"/>
    <mergeCell ref="B8:C8"/>
    <mergeCell ref="B9:C9"/>
    <mergeCell ref="B10:C10"/>
    <mergeCell ref="B11:C11"/>
    <mergeCell ref="B12:C12"/>
    <mergeCell ref="B2:C2"/>
    <mergeCell ref="G2:J2"/>
    <mergeCell ref="B3:C3"/>
    <mergeCell ref="B4:C4"/>
    <mergeCell ref="B5:C5"/>
    <mergeCell ref="B6:C6"/>
  </mergeCells>
  <pageMargins left="0.75" right="0.75" top="1" bottom="1" header="0.3" footer="0.3"/>
  <pageSetup scale="67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Page 3</vt:lpstr>
      <vt:lpstr>People</vt:lpstr>
      <vt:lpstr>RJRCondensed</vt:lpstr>
      <vt:lpstr>RJRBS</vt:lpstr>
      <vt:lpstr>RJRSegment</vt:lpstr>
      <vt:lpstr>RJRMan</vt:lpstr>
      <vt:lpstr>DCFMan</vt:lpstr>
      <vt:lpstr>RJRKKR</vt:lpstr>
      <vt:lpstr>DCFKKR</vt:lpstr>
      <vt:lpstr>RJRPrebid</vt:lpstr>
      <vt:lpstr>DCFPreBid</vt:lpstr>
      <vt:lpstr>DCFL</vt:lpstr>
      <vt:lpstr>Debt 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Hiles</dc:creator>
  <cp:lastModifiedBy>Windows User</cp:lastModifiedBy>
  <cp:lastPrinted>2010-06-15T14:51:05Z</cp:lastPrinted>
  <dcterms:created xsi:type="dcterms:W3CDTF">2010-04-05T11:50:24Z</dcterms:created>
  <dcterms:modified xsi:type="dcterms:W3CDTF">2017-04-19T23:56:10Z</dcterms:modified>
</cp:coreProperties>
</file>