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gilbert\Desktop\Code\Minority Coaching Analysis\"/>
    </mc:Choice>
  </mc:AlternateContent>
  <xr:revisionPtr revIDLastSave="0" documentId="13_ncr:1_{2A24C5B5-7C76-4776-950A-D89CDA5EF8CD}" xr6:coauthVersionLast="47" xr6:coauthVersionMax="47" xr10:uidLastSave="{00000000-0000-0000-0000-000000000000}"/>
  <bookViews>
    <workbookView xWindow="28680" yWindow="-120" windowWidth="29040" windowHeight="15720" activeTab="1" xr2:uid="{CECD8263-EEDA-4D2C-AD48-0246428136B2}"/>
  </bookViews>
  <sheets>
    <sheet name="Year by Year Coaching Hires" sheetId="1" r:id="rId1"/>
    <sheet name="Rehired" sheetId="8" r:id="rId2"/>
    <sheet name="MLS Total Compensation by Team " sheetId="2" r:id="rId3"/>
    <sheet name="Year by Year Team x Comp x HC" sheetId="3" r:id="rId4"/>
    <sheet name="List of Leagues" sheetId="4" r:id="rId5"/>
  </sheets>
  <definedNames>
    <definedName name="_xlnm._FilterDatabase" localSheetId="4" hidden="1">'List of Leagues'!$A$1:$F$257</definedName>
    <definedName name="_xlnm._FilterDatabase" localSheetId="1" hidden="1">Rehired!$A$1:$BD$104</definedName>
    <definedName name="_xlnm._FilterDatabase" localSheetId="0" hidden="1">'Year by Year Coaching Hires'!$A$1:$AG$239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N100" i="8" s="1"/>
  <c r="K101" i="8"/>
  <c r="K102" i="8"/>
  <c r="K103" i="8"/>
  <c r="K104" i="8"/>
  <c r="K105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N3" i="8"/>
  <c r="N4" i="8"/>
  <c r="N5" i="8"/>
  <c r="N6" i="8"/>
  <c r="N7" i="8"/>
  <c r="N8" i="8"/>
  <c r="N9" i="8"/>
  <c r="N11" i="8"/>
  <c r="N12" i="8"/>
  <c r="N13" i="8"/>
  <c r="N14" i="8"/>
  <c r="N15" i="8"/>
  <c r="N16" i="8"/>
  <c r="N17" i="8"/>
  <c r="N19" i="8"/>
  <c r="N20" i="8"/>
  <c r="N21" i="8"/>
  <c r="N22" i="8"/>
  <c r="N23" i="8"/>
  <c r="N24" i="8"/>
  <c r="N25" i="8"/>
  <c r="N27" i="8"/>
  <c r="N28" i="8"/>
  <c r="N29" i="8"/>
  <c r="N30" i="8"/>
  <c r="N31" i="8"/>
  <c r="N32" i="8"/>
  <c r="N33" i="8"/>
  <c r="N35" i="8"/>
  <c r="N36" i="8"/>
  <c r="N37" i="8"/>
  <c r="N38" i="8"/>
  <c r="N39" i="8"/>
  <c r="N40" i="8"/>
  <c r="N41" i="8"/>
  <c r="N43" i="8"/>
  <c r="N44" i="8"/>
  <c r="N45" i="8"/>
  <c r="N46" i="8"/>
  <c r="N47" i="8"/>
  <c r="N48" i="8"/>
  <c r="N49" i="8"/>
  <c r="N51" i="8"/>
  <c r="N52" i="8"/>
  <c r="N53" i="8"/>
  <c r="N54" i="8"/>
  <c r="N55" i="8"/>
  <c r="N56" i="8"/>
  <c r="N57" i="8"/>
  <c r="N59" i="8"/>
  <c r="N60" i="8"/>
  <c r="N61" i="8"/>
  <c r="N62" i="8"/>
  <c r="N63" i="8"/>
  <c r="N64" i="8"/>
  <c r="N65" i="8"/>
  <c r="N67" i="8"/>
  <c r="N68" i="8"/>
  <c r="N69" i="8"/>
  <c r="N70" i="8"/>
  <c r="N71" i="8"/>
  <c r="N72" i="8"/>
  <c r="N73" i="8"/>
  <c r="N75" i="8"/>
  <c r="N76" i="8"/>
  <c r="N77" i="8"/>
  <c r="N78" i="8"/>
  <c r="N79" i="8"/>
  <c r="N80" i="8"/>
  <c r="N81" i="8"/>
  <c r="N83" i="8"/>
  <c r="N84" i="8"/>
  <c r="N85" i="8"/>
  <c r="N86" i="8"/>
  <c r="N87" i="8"/>
  <c r="N88" i="8"/>
  <c r="N89" i="8"/>
  <c r="N91" i="8"/>
  <c r="N92" i="8"/>
  <c r="N93" i="8"/>
  <c r="N94" i="8"/>
  <c r="N95" i="8"/>
  <c r="N96" i="8"/>
  <c r="N97" i="8"/>
  <c r="N99" i="8"/>
  <c r="N101" i="8"/>
  <c r="N102" i="8"/>
  <c r="N103" i="8"/>
  <c r="N104" i="8"/>
  <c r="N105" i="8"/>
  <c r="R6" i="8"/>
  <c r="Q6" i="8"/>
  <c r="P6" i="8"/>
  <c r="R5" i="8"/>
  <c r="Q5" i="8"/>
  <c r="P5" i="8"/>
  <c r="P4" i="8"/>
  <c r="Q4" i="8"/>
  <c r="R4" i="8"/>
  <c r="R3" i="8"/>
  <c r="Q3" i="8"/>
  <c r="P3" i="8"/>
  <c r="R2" i="8"/>
  <c r="Q2" i="8"/>
  <c r="P2" i="8"/>
  <c r="R8" i="8"/>
  <c r="Q8" i="8"/>
  <c r="P8" i="8"/>
  <c r="R10" i="8"/>
  <c r="Q10" i="8"/>
  <c r="S10" i="8" s="1"/>
  <c r="P10" i="8"/>
  <c r="S9" i="8"/>
  <c r="O9" i="8"/>
  <c r="P9" i="8"/>
  <c r="Q9" i="8"/>
  <c r="R9" i="8"/>
  <c r="M2" i="8"/>
  <c r="L2" i="8"/>
  <c r="K2" i="8"/>
  <c r="O8" i="8"/>
  <c r="O7" i="8"/>
  <c r="O6" i="8"/>
  <c r="O5" i="8"/>
  <c r="O4" i="8"/>
  <c r="O3" i="8"/>
  <c r="O2" i="8"/>
  <c r="J2" i="8" s="1"/>
  <c r="S8" i="8"/>
  <c r="S7" i="8"/>
  <c r="S6" i="8"/>
  <c r="S5" i="8"/>
  <c r="S4" i="8"/>
  <c r="S3" i="8"/>
  <c r="S2" i="8"/>
  <c r="V6" i="8"/>
  <c r="W64" i="8"/>
  <c r="U64" i="8"/>
  <c r="V64" i="8" s="1"/>
  <c r="U65" i="8"/>
  <c r="BC64" i="8"/>
  <c r="BA64" i="8"/>
  <c r="AY64" i="8"/>
  <c r="AW64" i="8"/>
  <c r="AU64" i="8"/>
  <c r="AS64" i="8"/>
  <c r="AP64" i="8"/>
  <c r="AN64" i="8"/>
  <c r="AL64" i="8"/>
  <c r="AJ64" i="8"/>
  <c r="AH64" i="8"/>
  <c r="AF64" i="8"/>
  <c r="AD64" i="8"/>
  <c r="AB64" i="8"/>
  <c r="R64" i="8"/>
  <c r="Q64" i="8"/>
  <c r="P64" i="8"/>
  <c r="S64" i="8" s="1"/>
  <c r="BC105" i="8"/>
  <c r="BA105" i="8"/>
  <c r="AY105" i="8"/>
  <c r="AW105" i="8"/>
  <c r="AU105" i="8"/>
  <c r="AS105" i="8"/>
  <c r="AP105" i="8"/>
  <c r="AN105" i="8"/>
  <c r="AL105" i="8"/>
  <c r="AJ105" i="8"/>
  <c r="AH105" i="8"/>
  <c r="AF105" i="8"/>
  <c r="AD105" i="8"/>
  <c r="AB105" i="8"/>
  <c r="X105" i="8"/>
  <c r="S105" i="8"/>
  <c r="R105" i="8"/>
  <c r="O105" i="8" s="1"/>
  <c r="BC10" i="8"/>
  <c r="BA10" i="8"/>
  <c r="AY10" i="8"/>
  <c r="AW10" i="8"/>
  <c r="AU10" i="8"/>
  <c r="AS10" i="8"/>
  <c r="AP10" i="8"/>
  <c r="AN10" i="8"/>
  <c r="AL10" i="8"/>
  <c r="AJ10" i="8"/>
  <c r="AH10" i="8"/>
  <c r="AF10" i="8"/>
  <c r="AD10" i="8"/>
  <c r="AB10" i="8"/>
  <c r="BC5" i="8"/>
  <c r="BA5" i="8"/>
  <c r="AY5" i="8"/>
  <c r="AW5" i="8"/>
  <c r="AU5" i="8"/>
  <c r="AS5" i="8"/>
  <c r="AP5" i="8"/>
  <c r="AN5" i="8"/>
  <c r="AL5" i="8"/>
  <c r="AJ5" i="8"/>
  <c r="AH5" i="8"/>
  <c r="AF5" i="8"/>
  <c r="AD5" i="8"/>
  <c r="AB5" i="8"/>
  <c r="BC2" i="8"/>
  <c r="BA2" i="8"/>
  <c r="AY2" i="8"/>
  <c r="AW2" i="8"/>
  <c r="AU2" i="8"/>
  <c r="AS2" i="8"/>
  <c r="AP2" i="8"/>
  <c r="AN2" i="8"/>
  <c r="AL2" i="8"/>
  <c r="AJ2" i="8"/>
  <c r="AH2" i="8"/>
  <c r="AF2" i="8"/>
  <c r="AD2" i="8"/>
  <c r="AB2" i="8"/>
  <c r="BC4" i="8"/>
  <c r="BA4" i="8"/>
  <c r="AY4" i="8"/>
  <c r="AW4" i="8"/>
  <c r="AU4" i="8"/>
  <c r="AS4" i="8"/>
  <c r="AP4" i="8"/>
  <c r="AN4" i="8"/>
  <c r="AL4" i="8"/>
  <c r="AJ4" i="8"/>
  <c r="AH4" i="8"/>
  <c r="AF4" i="8"/>
  <c r="AD4" i="8"/>
  <c r="AB4" i="8"/>
  <c r="BC3" i="8"/>
  <c r="BA3" i="8"/>
  <c r="AY3" i="8"/>
  <c r="AW3" i="8"/>
  <c r="AU3" i="8"/>
  <c r="AS3" i="8"/>
  <c r="AP3" i="8"/>
  <c r="AN3" i="8"/>
  <c r="AL3" i="8"/>
  <c r="AJ3" i="8"/>
  <c r="AH3" i="8"/>
  <c r="AF3" i="8"/>
  <c r="AD3" i="8"/>
  <c r="AB3" i="8"/>
  <c r="BC8" i="8"/>
  <c r="BA8" i="8"/>
  <c r="AY8" i="8"/>
  <c r="AW8" i="8"/>
  <c r="AU8" i="8"/>
  <c r="AS8" i="8"/>
  <c r="AP8" i="8"/>
  <c r="AN8" i="8"/>
  <c r="AL8" i="8"/>
  <c r="AJ8" i="8"/>
  <c r="AH8" i="8"/>
  <c r="AF8" i="8"/>
  <c r="AD8" i="8"/>
  <c r="AB8" i="8"/>
  <c r="BC9" i="8"/>
  <c r="BA9" i="8"/>
  <c r="AY9" i="8"/>
  <c r="AW9" i="8"/>
  <c r="AU9" i="8"/>
  <c r="AS9" i="8"/>
  <c r="AP9" i="8"/>
  <c r="AN9" i="8"/>
  <c r="AL9" i="8"/>
  <c r="AJ9" i="8"/>
  <c r="AH9" i="8"/>
  <c r="AF9" i="8"/>
  <c r="AD9" i="8"/>
  <c r="AB9" i="8"/>
  <c r="BC7" i="8"/>
  <c r="BA7" i="8"/>
  <c r="AY7" i="8"/>
  <c r="AW7" i="8"/>
  <c r="AU7" i="8"/>
  <c r="AS7" i="8"/>
  <c r="AP7" i="8"/>
  <c r="AN7" i="8"/>
  <c r="AL7" i="8"/>
  <c r="AJ7" i="8"/>
  <c r="AH7" i="8"/>
  <c r="AF7" i="8"/>
  <c r="AD7" i="8"/>
  <c r="AB7" i="8"/>
  <c r="BC6" i="8"/>
  <c r="BA6" i="8"/>
  <c r="AY6" i="8"/>
  <c r="AW6" i="8"/>
  <c r="AU6" i="8"/>
  <c r="AS6" i="8"/>
  <c r="AP6" i="8"/>
  <c r="AN6" i="8"/>
  <c r="AL6" i="8"/>
  <c r="AJ6" i="8"/>
  <c r="AH6" i="8"/>
  <c r="AF6" i="8"/>
  <c r="AD6" i="8"/>
  <c r="AB6" i="8"/>
  <c r="AB11" i="8"/>
  <c r="AD11" i="8"/>
  <c r="AF11" i="8"/>
  <c r="AH11" i="8"/>
  <c r="AJ11" i="8"/>
  <c r="AL11" i="8"/>
  <c r="AN11" i="8"/>
  <c r="AP11" i="8"/>
  <c r="AS11" i="8"/>
  <c r="AU11" i="8"/>
  <c r="AW11" i="8"/>
  <c r="AY11" i="8"/>
  <c r="BA11" i="8"/>
  <c r="BC11" i="8"/>
  <c r="I10" i="8"/>
  <c r="I9" i="8"/>
  <c r="I8" i="8"/>
  <c r="I7" i="8"/>
  <c r="I6" i="8"/>
  <c r="I5" i="8"/>
  <c r="I4" i="8"/>
  <c r="I3" i="8"/>
  <c r="I2" i="8"/>
  <c r="I21" i="1"/>
  <c r="U84" i="8"/>
  <c r="U85" i="8"/>
  <c r="F17" i="8"/>
  <c r="W17" i="8" s="1"/>
  <c r="F18" i="8"/>
  <c r="W18" i="8" s="1"/>
  <c r="F19" i="8"/>
  <c r="W19" i="8" s="1"/>
  <c r="F22" i="8"/>
  <c r="W22" i="8" s="1"/>
  <c r="F24" i="8"/>
  <c r="W24" i="8" s="1"/>
  <c r="F25" i="8"/>
  <c r="W25" i="8" s="1"/>
  <c r="F26" i="8"/>
  <c r="W26" i="8" s="1"/>
  <c r="F27" i="8"/>
  <c r="W27" i="8" s="1"/>
  <c r="F28" i="8"/>
  <c r="W28" i="8" s="1"/>
  <c r="F30" i="8"/>
  <c r="W30" i="8" s="1"/>
  <c r="F32" i="8"/>
  <c r="W32" i="8" s="1"/>
  <c r="F33" i="8"/>
  <c r="W33" i="8" s="1"/>
  <c r="F35" i="8"/>
  <c r="W35" i="8" s="1"/>
  <c r="F36" i="8"/>
  <c r="W36" i="8" s="1"/>
  <c r="F38" i="8"/>
  <c r="W38" i="8" s="1"/>
  <c r="F40" i="8"/>
  <c r="W40" i="8" s="1"/>
  <c r="F41" i="8"/>
  <c r="W41" i="8" s="1"/>
  <c r="F42" i="8"/>
  <c r="W42" i="8" s="1"/>
  <c r="F44" i="8"/>
  <c r="W44" i="8" s="1"/>
  <c r="F45" i="8"/>
  <c r="W45" i="8" s="1"/>
  <c r="F47" i="8"/>
  <c r="W47" i="8" s="1"/>
  <c r="F49" i="8"/>
  <c r="W49" i="8" s="1"/>
  <c r="F50" i="8"/>
  <c r="W50" i="8" s="1"/>
  <c r="F55" i="8"/>
  <c r="W55" i="8" s="1"/>
  <c r="F57" i="8"/>
  <c r="W57" i="8" s="1"/>
  <c r="F58" i="8"/>
  <c r="W58" i="8" s="1"/>
  <c r="F59" i="8"/>
  <c r="W59" i="8" s="1"/>
  <c r="F60" i="8"/>
  <c r="W60" i="8" s="1"/>
  <c r="F61" i="8"/>
  <c r="W61" i="8" s="1"/>
  <c r="F62" i="8"/>
  <c r="W62" i="8" s="1"/>
  <c r="F63" i="8"/>
  <c r="W63" i="8" s="1"/>
  <c r="F65" i="8"/>
  <c r="W65" i="8" s="1"/>
  <c r="F67" i="8"/>
  <c r="W67" i="8" s="1"/>
  <c r="F68" i="8"/>
  <c r="W68" i="8" s="1"/>
  <c r="F69" i="8"/>
  <c r="W69" i="8" s="1"/>
  <c r="F70" i="8"/>
  <c r="W70" i="8" s="1"/>
  <c r="F71" i="8"/>
  <c r="W71" i="8" s="1"/>
  <c r="F74" i="8"/>
  <c r="W74" i="8" s="1"/>
  <c r="F75" i="8"/>
  <c r="W75" i="8" s="1"/>
  <c r="F76" i="8"/>
  <c r="W76" i="8" s="1"/>
  <c r="F77" i="8"/>
  <c r="W77" i="8" s="1"/>
  <c r="F78" i="8"/>
  <c r="W78" i="8" s="1"/>
  <c r="F79" i="8"/>
  <c r="W79" i="8" s="1"/>
  <c r="F80" i="8"/>
  <c r="W80" i="8" s="1"/>
  <c r="F81" i="8"/>
  <c r="W81" i="8" s="1"/>
  <c r="F82" i="8"/>
  <c r="W82" i="8" s="1"/>
  <c r="F84" i="8"/>
  <c r="W84" i="8" s="1"/>
  <c r="F85" i="8"/>
  <c r="W85" i="8" s="1"/>
  <c r="F86" i="8"/>
  <c r="W86" i="8" s="1"/>
  <c r="F87" i="8"/>
  <c r="W87" i="8" s="1"/>
  <c r="F88" i="8"/>
  <c r="W88" i="8" s="1"/>
  <c r="F89" i="8"/>
  <c r="W89" i="8" s="1"/>
  <c r="F90" i="8"/>
  <c r="W90" i="8" s="1"/>
  <c r="F91" i="8"/>
  <c r="W91" i="8" s="1"/>
  <c r="F92" i="8"/>
  <c r="W92" i="8" s="1"/>
  <c r="F93" i="8"/>
  <c r="W93" i="8" s="1"/>
  <c r="F94" i="8"/>
  <c r="W94" i="8" s="1"/>
  <c r="F95" i="8"/>
  <c r="W95" i="8" s="1"/>
  <c r="F97" i="8"/>
  <c r="W97" i="8" s="1"/>
  <c r="F101" i="8"/>
  <c r="W101" i="8" s="1"/>
  <c r="F102" i="8"/>
  <c r="W102" i="8" s="1"/>
  <c r="F103" i="8"/>
  <c r="F104" i="8"/>
  <c r="W104" i="8" s="1"/>
  <c r="F15" i="8"/>
  <c r="W15" i="8" s="1"/>
  <c r="F16" i="8"/>
  <c r="W16" i="8" s="1"/>
  <c r="BC84" i="8"/>
  <c r="BA84" i="8"/>
  <c r="AY84" i="8"/>
  <c r="AW84" i="8"/>
  <c r="AU84" i="8"/>
  <c r="AS84" i="8"/>
  <c r="AP84" i="8"/>
  <c r="AN84" i="8"/>
  <c r="AL84" i="8"/>
  <c r="AJ84" i="8"/>
  <c r="AH84" i="8"/>
  <c r="AF84" i="8"/>
  <c r="AD84" i="8"/>
  <c r="AB84" i="8"/>
  <c r="C84" i="8"/>
  <c r="R84" i="8"/>
  <c r="Q84" i="8"/>
  <c r="P84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1" i="8"/>
  <c r="AP12" i="8"/>
  <c r="AP13" i="8"/>
  <c r="AP14" i="8"/>
  <c r="AP15" i="8"/>
  <c r="AP16" i="8"/>
  <c r="AP17" i="8"/>
  <c r="AP18" i="8"/>
  <c r="AP19" i="8"/>
  <c r="AP20" i="8"/>
  <c r="AP21" i="8"/>
  <c r="AP22" i="8"/>
  <c r="AP23" i="8"/>
  <c r="AP24" i="8"/>
  <c r="AP25" i="8"/>
  <c r="AP26" i="8"/>
  <c r="AP27" i="8"/>
  <c r="AP28" i="8"/>
  <c r="AP29" i="8"/>
  <c r="AP30" i="8"/>
  <c r="AP31" i="8"/>
  <c r="AP32" i="8"/>
  <c r="AP33" i="8"/>
  <c r="AP34" i="8"/>
  <c r="AP35" i="8"/>
  <c r="AP36" i="8"/>
  <c r="AP37" i="8"/>
  <c r="AP38" i="8"/>
  <c r="AP39" i="8"/>
  <c r="AP40" i="8"/>
  <c r="AP41" i="8"/>
  <c r="AP42" i="8"/>
  <c r="AP43" i="8"/>
  <c r="AP44" i="8"/>
  <c r="AP45" i="8"/>
  <c r="AP46" i="8"/>
  <c r="AP47" i="8"/>
  <c r="AP48" i="8"/>
  <c r="AP49" i="8"/>
  <c r="AP50" i="8"/>
  <c r="AP51" i="8"/>
  <c r="AP52" i="8"/>
  <c r="AP53" i="8"/>
  <c r="AP54" i="8"/>
  <c r="AP55" i="8"/>
  <c r="AP56" i="8"/>
  <c r="AP57" i="8"/>
  <c r="AP58" i="8"/>
  <c r="AP59" i="8"/>
  <c r="AP60" i="8"/>
  <c r="AP61" i="8"/>
  <c r="AP62" i="8"/>
  <c r="AP63" i="8"/>
  <c r="AP65" i="8"/>
  <c r="AP66" i="8"/>
  <c r="AP67" i="8"/>
  <c r="AP68" i="8"/>
  <c r="AP69" i="8"/>
  <c r="AP70" i="8"/>
  <c r="AP71" i="8"/>
  <c r="AP72" i="8"/>
  <c r="AP73" i="8"/>
  <c r="AP74" i="8"/>
  <c r="AP75" i="8"/>
  <c r="AP76" i="8"/>
  <c r="AP77" i="8"/>
  <c r="AP78" i="8"/>
  <c r="AP79" i="8"/>
  <c r="AP80" i="8"/>
  <c r="AP81" i="8"/>
  <c r="AP82" i="8"/>
  <c r="AP83" i="8"/>
  <c r="AP85" i="8"/>
  <c r="AP86" i="8"/>
  <c r="AP87" i="8"/>
  <c r="AP88" i="8"/>
  <c r="AP89" i="8"/>
  <c r="AP90" i="8"/>
  <c r="AP91" i="8"/>
  <c r="AP92" i="8"/>
  <c r="AP93" i="8"/>
  <c r="AP94" i="8"/>
  <c r="AP95" i="8"/>
  <c r="AP96" i="8"/>
  <c r="AP97" i="8"/>
  <c r="AP98" i="8"/>
  <c r="AP99" i="8"/>
  <c r="AP100" i="8"/>
  <c r="AP101" i="8"/>
  <c r="AP102" i="8"/>
  <c r="AP103" i="8"/>
  <c r="AP104" i="8"/>
  <c r="AN12" i="8"/>
  <c r="AN13" i="8"/>
  <c r="AN14" i="8"/>
  <c r="AN15" i="8"/>
  <c r="AN16" i="8"/>
  <c r="AN17" i="8"/>
  <c r="AN18" i="8"/>
  <c r="AN19" i="8"/>
  <c r="AN20" i="8"/>
  <c r="AN21" i="8"/>
  <c r="AN22" i="8"/>
  <c r="AN23" i="8"/>
  <c r="AN24" i="8"/>
  <c r="AN25" i="8"/>
  <c r="AN26" i="8"/>
  <c r="AN27" i="8"/>
  <c r="AN28" i="8"/>
  <c r="AN29" i="8"/>
  <c r="AN30" i="8"/>
  <c r="AN31" i="8"/>
  <c r="AN32" i="8"/>
  <c r="AN33" i="8"/>
  <c r="AN34" i="8"/>
  <c r="AN35" i="8"/>
  <c r="AN36" i="8"/>
  <c r="AN37" i="8"/>
  <c r="AN38" i="8"/>
  <c r="AN39" i="8"/>
  <c r="AN40" i="8"/>
  <c r="AN41" i="8"/>
  <c r="AN42" i="8"/>
  <c r="AN43" i="8"/>
  <c r="AN44" i="8"/>
  <c r="AN45" i="8"/>
  <c r="AN46" i="8"/>
  <c r="AN47" i="8"/>
  <c r="AN48" i="8"/>
  <c r="AN49" i="8"/>
  <c r="AN50" i="8"/>
  <c r="AN51" i="8"/>
  <c r="AN52" i="8"/>
  <c r="AN53" i="8"/>
  <c r="AN54" i="8"/>
  <c r="AN55" i="8"/>
  <c r="AN56" i="8"/>
  <c r="AN57" i="8"/>
  <c r="AN58" i="8"/>
  <c r="AN59" i="8"/>
  <c r="AN60" i="8"/>
  <c r="AN61" i="8"/>
  <c r="AN62" i="8"/>
  <c r="AN63" i="8"/>
  <c r="AN65" i="8"/>
  <c r="AN66" i="8"/>
  <c r="AN67" i="8"/>
  <c r="AN68" i="8"/>
  <c r="AN69" i="8"/>
  <c r="AN70" i="8"/>
  <c r="AN71" i="8"/>
  <c r="AN72" i="8"/>
  <c r="AN73" i="8"/>
  <c r="AN74" i="8"/>
  <c r="AN75" i="8"/>
  <c r="AN76" i="8"/>
  <c r="AN77" i="8"/>
  <c r="AN78" i="8"/>
  <c r="AN79" i="8"/>
  <c r="AN80" i="8"/>
  <c r="AN81" i="8"/>
  <c r="AN82" i="8"/>
  <c r="AN83" i="8"/>
  <c r="AN85" i="8"/>
  <c r="AN86" i="8"/>
  <c r="AN87" i="8"/>
  <c r="AN88" i="8"/>
  <c r="AN89" i="8"/>
  <c r="AN90" i="8"/>
  <c r="AN91" i="8"/>
  <c r="AN92" i="8"/>
  <c r="AN93" i="8"/>
  <c r="AN94" i="8"/>
  <c r="AN95" i="8"/>
  <c r="AN96" i="8"/>
  <c r="AN97" i="8"/>
  <c r="AN98" i="8"/>
  <c r="AN99" i="8"/>
  <c r="AN100" i="8"/>
  <c r="AN101" i="8"/>
  <c r="AN102" i="8"/>
  <c r="AN103" i="8"/>
  <c r="AN104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34" i="8"/>
  <c r="AL35" i="8"/>
  <c r="AL36" i="8"/>
  <c r="AL37" i="8"/>
  <c r="AL38" i="8"/>
  <c r="AL39" i="8"/>
  <c r="AL40" i="8"/>
  <c r="AL41" i="8"/>
  <c r="AL42" i="8"/>
  <c r="AL43" i="8"/>
  <c r="AL44" i="8"/>
  <c r="AL45" i="8"/>
  <c r="AL46" i="8"/>
  <c r="AL47" i="8"/>
  <c r="AL48" i="8"/>
  <c r="AL49" i="8"/>
  <c r="AL50" i="8"/>
  <c r="AL51" i="8"/>
  <c r="AL52" i="8"/>
  <c r="AL53" i="8"/>
  <c r="AL54" i="8"/>
  <c r="AL55" i="8"/>
  <c r="AL56" i="8"/>
  <c r="AL57" i="8"/>
  <c r="AL58" i="8"/>
  <c r="AL59" i="8"/>
  <c r="AL60" i="8"/>
  <c r="AL61" i="8"/>
  <c r="AL62" i="8"/>
  <c r="AL63" i="8"/>
  <c r="AL65" i="8"/>
  <c r="AL66" i="8"/>
  <c r="AL67" i="8"/>
  <c r="AL68" i="8"/>
  <c r="AL69" i="8"/>
  <c r="AL70" i="8"/>
  <c r="AL71" i="8"/>
  <c r="AL72" i="8"/>
  <c r="AL73" i="8"/>
  <c r="AL74" i="8"/>
  <c r="AL75" i="8"/>
  <c r="AL76" i="8"/>
  <c r="AL77" i="8"/>
  <c r="AL78" i="8"/>
  <c r="AL79" i="8"/>
  <c r="AL80" i="8"/>
  <c r="AL81" i="8"/>
  <c r="AL82" i="8"/>
  <c r="AL83" i="8"/>
  <c r="AL85" i="8"/>
  <c r="AL86" i="8"/>
  <c r="AL87" i="8"/>
  <c r="AL88" i="8"/>
  <c r="AL89" i="8"/>
  <c r="AL90" i="8"/>
  <c r="AL91" i="8"/>
  <c r="AL92" i="8"/>
  <c r="AL93" i="8"/>
  <c r="AL94" i="8"/>
  <c r="AL95" i="8"/>
  <c r="AL96" i="8"/>
  <c r="AL97" i="8"/>
  <c r="AL98" i="8"/>
  <c r="AL99" i="8"/>
  <c r="AL100" i="8"/>
  <c r="AL101" i="8"/>
  <c r="AL102" i="8"/>
  <c r="AL103" i="8"/>
  <c r="AL104" i="8"/>
  <c r="AJ12" i="8"/>
  <c r="AJ13" i="8"/>
  <c r="AJ14" i="8"/>
  <c r="AJ15" i="8"/>
  <c r="AJ16" i="8"/>
  <c r="AJ17" i="8"/>
  <c r="AJ18" i="8"/>
  <c r="AJ19" i="8"/>
  <c r="AJ20" i="8"/>
  <c r="AJ21" i="8"/>
  <c r="AJ22" i="8"/>
  <c r="AJ23" i="8"/>
  <c r="AJ24" i="8"/>
  <c r="AJ25" i="8"/>
  <c r="AJ26" i="8"/>
  <c r="AJ27" i="8"/>
  <c r="AJ28" i="8"/>
  <c r="AJ29" i="8"/>
  <c r="AJ30" i="8"/>
  <c r="AJ31" i="8"/>
  <c r="AJ32" i="8"/>
  <c r="AJ33" i="8"/>
  <c r="AJ34" i="8"/>
  <c r="AJ35" i="8"/>
  <c r="AJ36" i="8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3" i="8"/>
  <c r="AJ54" i="8"/>
  <c r="AJ55" i="8"/>
  <c r="AJ56" i="8"/>
  <c r="AJ57" i="8"/>
  <c r="AJ58" i="8"/>
  <c r="AJ59" i="8"/>
  <c r="AJ60" i="8"/>
  <c r="AJ61" i="8"/>
  <c r="AJ62" i="8"/>
  <c r="AJ63" i="8"/>
  <c r="AJ65" i="8"/>
  <c r="AJ66" i="8"/>
  <c r="AJ67" i="8"/>
  <c r="AJ68" i="8"/>
  <c r="AJ69" i="8"/>
  <c r="AJ70" i="8"/>
  <c r="AJ71" i="8"/>
  <c r="AJ72" i="8"/>
  <c r="AJ73" i="8"/>
  <c r="AJ74" i="8"/>
  <c r="AJ75" i="8"/>
  <c r="AJ76" i="8"/>
  <c r="AJ77" i="8"/>
  <c r="AJ78" i="8"/>
  <c r="AJ79" i="8"/>
  <c r="AJ80" i="8"/>
  <c r="AJ81" i="8"/>
  <c r="AJ82" i="8"/>
  <c r="AJ83" i="8"/>
  <c r="AJ85" i="8"/>
  <c r="AJ86" i="8"/>
  <c r="AJ87" i="8"/>
  <c r="AJ88" i="8"/>
  <c r="AJ89" i="8"/>
  <c r="AJ90" i="8"/>
  <c r="AJ91" i="8"/>
  <c r="AJ92" i="8"/>
  <c r="AJ93" i="8"/>
  <c r="AJ94" i="8"/>
  <c r="AJ95" i="8"/>
  <c r="AJ96" i="8"/>
  <c r="AJ97" i="8"/>
  <c r="AJ98" i="8"/>
  <c r="AJ99" i="8"/>
  <c r="AJ100" i="8"/>
  <c r="AJ101" i="8"/>
  <c r="AJ102" i="8"/>
  <c r="AJ103" i="8"/>
  <c r="AJ104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52" i="8"/>
  <c r="AH53" i="8"/>
  <c r="AH54" i="8"/>
  <c r="AH55" i="8"/>
  <c r="AH56" i="8"/>
  <c r="AH57" i="8"/>
  <c r="AH58" i="8"/>
  <c r="AH59" i="8"/>
  <c r="AH60" i="8"/>
  <c r="AH61" i="8"/>
  <c r="AH62" i="8"/>
  <c r="AH63" i="8"/>
  <c r="AH65" i="8"/>
  <c r="AH66" i="8"/>
  <c r="AH67" i="8"/>
  <c r="AH68" i="8"/>
  <c r="AH69" i="8"/>
  <c r="AH70" i="8"/>
  <c r="AH71" i="8"/>
  <c r="AH72" i="8"/>
  <c r="AH73" i="8"/>
  <c r="AH74" i="8"/>
  <c r="AH75" i="8"/>
  <c r="AH76" i="8"/>
  <c r="AH77" i="8"/>
  <c r="AH78" i="8"/>
  <c r="AH79" i="8"/>
  <c r="AH80" i="8"/>
  <c r="AH81" i="8"/>
  <c r="AH82" i="8"/>
  <c r="AH83" i="8"/>
  <c r="AH85" i="8"/>
  <c r="AH86" i="8"/>
  <c r="AH87" i="8"/>
  <c r="AH88" i="8"/>
  <c r="AH89" i="8"/>
  <c r="AH90" i="8"/>
  <c r="AH91" i="8"/>
  <c r="AH92" i="8"/>
  <c r="AH93" i="8"/>
  <c r="AH94" i="8"/>
  <c r="AH95" i="8"/>
  <c r="AH96" i="8"/>
  <c r="AH97" i="8"/>
  <c r="AH98" i="8"/>
  <c r="AH99" i="8"/>
  <c r="AH100" i="8"/>
  <c r="AH101" i="8"/>
  <c r="AH102" i="8"/>
  <c r="AH103" i="8"/>
  <c r="AH104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58" i="8"/>
  <c r="AF59" i="8"/>
  <c r="AF60" i="8"/>
  <c r="AF61" i="8"/>
  <c r="AF62" i="8"/>
  <c r="AF63" i="8"/>
  <c r="AF65" i="8"/>
  <c r="AF66" i="8"/>
  <c r="AF67" i="8"/>
  <c r="AF68" i="8"/>
  <c r="AF69" i="8"/>
  <c r="AF70" i="8"/>
  <c r="AF71" i="8"/>
  <c r="AF72" i="8"/>
  <c r="AF73" i="8"/>
  <c r="AF74" i="8"/>
  <c r="AF75" i="8"/>
  <c r="AF76" i="8"/>
  <c r="AF77" i="8"/>
  <c r="AF78" i="8"/>
  <c r="AF79" i="8"/>
  <c r="AF80" i="8"/>
  <c r="AF81" i="8"/>
  <c r="AF82" i="8"/>
  <c r="AF83" i="8"/>
  <c r="AF85" i="8"/>
  <c r="AF86" i="8"/>
  <c r="AF87" i="8"/>
  <c r="AF88" i="8"/>
  <c r="AF89" i="8"/>
  <c r="AF90" i="8"/>
  <c r="AF91" i="8"/>
  <c r="AF92" i="8"/>
  <c r="AF93" i="8"/>
  <c r="AF94" i="8"/>
  <c r="AF95" i="8"/>
  <c r="AF96" i="8"/>
  <c r="AF97" i="8"/>
  <c r="AF98" i="8"/>
  <c r="AF99" i="8"/>
  <c r="AF100" i="8"/>
  <c r="AF101" i="8"/>
  <c r="AF102" i="8"/>
  <c r="AF103" i="8"/>
  <c r="AF104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D83" i="8"/>
  <c r="AD85" i="8"/>
  <c r="AD86" i="8"/>
  <c r="AD87" i="8"/>
  <c r="AD88" i="8"/>
  <c r="AD89" i="8"/>
  <c r="AD90" i="8"/>
  <c r="AD91" i="8"/>
  <c r="AD92" i="8"/>
  <c r="AD93" i="8"/>
  <c r="AD94" i="8"/>
  <c r="AD95" i="8"/>
  <c r="AD96" i="8"/>
  <c r="AD97" i="8"/>
  <c r="AD98" i="8"/>
  <c r="AD99" i="8"/>
  <c r="AD100" i="8"/>
  <c r="AD101" i="8"/>
  <c r="AD102" i="8"/>
  <c r="AD103" i="8"/>
  <c r="AD104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100" i="8"/>
  <c r="AB101" i="8"/>
  <c r="AB102" i="8"/>
  <c r="AB103" i="8"/>
  <c r="AB104" i="8"/>
  <c r="AS79" i="8"/>
  <c r="AU79" i="8"/>
  <c r="AW79" i="8"/>
  <c r="AY79" i="8"/>
  <c r="BA79" i="8"/>
  <c r="BC79" i="8"/>
  <c r="BC104" i="8"/>
  <c r="BA104" i="8"/>
  <c r="AY104" i="8"/>
  <c r="AW104" i="8"/>
  <c r="AU104" i="8"/>
  <c r="AS104" i="8"/>
  <c r="BC103" i="8"/>
  <c r="BA103" i="8"/>
  <c r="AY103" i="8"/>
  <c r="AW103" i="8"/>
  <c r="AU103" i="8"/>
  <c r="AS103" i="8"/>
  <c r="BC102" i="8"/>
  <c r="BA102" i="8"/>
  <c r="AY102" i="8"/>
  <c r="AW102" i="8"/>
  <c r="AU102" i="8"/>
  <c r="AS102" i="8"/>
  <c r="BC101" i="8"/>
  <c r="BA101" i="8"/>
  <c r="AY101" i="8"/>
  <c r="AW101" i="8"/>
  <c r="AU101" i="8"/>
  <c r="AS101" i="8"/>
  <c r="BC100" i="8"/>
  <c r="BA100" i="8"/>
  <c r="AY100" i="8"/>
  <c r="AW100" i="8"/>
  <c r="AU100" i="8"/>
  <c r="AS100" i="8"/>
  <c r="BC99" i="8"/>
  <c r="BA99" i="8"/>
  <c r="AY99" i="8"/>
  <c r="AW99" i="8"/>
  <c r="AU99" i="8"/>
  <c r="AS99" i="8"/>
  <c r="BC98" i="8"/>
  <c r="BA98" i="8"/>
  <c r="AY98" i="8"/>
  <c r="AW98" i="8"/>
  <c r="AU98" i="8"/>
  <c r="AS98" i="8"/>
  <c r="BC97" i="8"/>
  <c r="BA97" i="8"/>
  <c r="AY97" i="8"/>
  <c r="AW97" i="8"/>
  <c r="AU97" i="8"/>
  <c r="AS97" i="8"/>
  <c r="BC96" i="8"/>
  <c r="BA96" i="8"/>
  <c r="AY96" i="8"/>
  <c r="AW96" i="8"/>
  <c r="AU96" i="8"/>
  <c r="AS96" i="8"/>
  <c r="BC95" i="8"/>
  <c r="BA95" i="8"/>
  <c r="AY95" i="8"/>
  <c r="AW95" i="8"/>
  <c r="AU95" i="8"/>
  <c r="AS95" i="8"/>
  <c r="BC94" i="8"/>
  <c r="BA94" i="8"/>
  <c r="AY94" i="8"/>
  <c r="AW94" i="8"/>
  <c r="AU94" i="8"/>
  <c r="AS94" i="8"/>
  <c r="BC93" i="8"/>
  <c r="BA93" i="8"/>
  <c r="AY93" i="8"/>
  <c r="AW93" i="8"/>
  <c r="AU93" i="8"/>
  <c r="AS93" i="8"/>
  <c r="BC92" i="8"/>
  <c r="BA92" i="8"/>
  <c r="AY92" i="8"/>
  <c r="AW92" i="8"/>
  <c r="AU92" i="8"/>
  <c r="AS92" i="8"/>
  <c r="BC91" i="8"/>
  <c r="BA91" i="8"/>
  <c r="AY91" i="8"/>
  <c r="AW91" i="8"/>
  <c r="AU91" i="8"/>
  <c r="AS91" i="8"/>
  <c r="BC90" i="8"/>
  <c r="BA90" i="8"/>
  <c r="AY90" i="8"/>
  <c r="AW90" i="8"/>
  <c r="AU90" i="8"/>
  <c r="AS90" i="8"/>
  <c r="BC89" i="8"/>
  <c r="BA89" i="8"/>
  <c r="AY89" i="8"/>
  <c r="AW89" i="8"/>
  <c r="AU89" i="8"/>
  <c r="AS89" i="8"/>
  <c r="BC88" i="8"/>
  <c r="BA88" i="8"/>
  <c r="AY88" i="8"/>
  <c r="AW88" i="8"/>
  <c r="AU88" i="8"/>
  <c r="AS88" i="8"/>
  <c r="BC87" i="8"/>
  <c r="BA87" i="8"/>
  <c r="AY87" i="8"/>
  <c r="AW87" i="8"/>
  <c r="AU87" i="8"/>
  <c r="AS87" i="8"/>
  <c r="BC86" i="8"/>
  <c r="BA86" i="8"/>
  <c r="AY86" i="8"/>
  <c r="AW86" i="8"/>
  <c r="AU86" i="8"/>
  <c r="AS86" i="8"/>
  <c r="BC85" i="8"/>
  <c r="BA85" i="8"/>
  <c r="AY85" i="8"/>
  <c r="AW85" i="8"/>
  <c r="AU85" i="8"/>
  <c r="AS85" i="8"/>
  <c r="BC83" i="8"/>
  <c r="BA83" i="8"/>
  <c r="AY83" i="8"/>
  <c r="AW83" i="8"/>
  <c r="AU83" i="8"/>
  <c r="AS83" i="8"/>
  <c r="BC82" i="8"/>
  <c r="BA82" i="8"/>
  <c r="AY82" i="8"/>
  <c r="AW82" i="8"/>
  <c r="AU82" i="8"/>
  <c r="AS82" i="8"/>
  <c r="BC81" i="8"/>
  <c r="BA81" i="8"/>
  <c r="AY81" i="8"/>
  <c r="AW81" i="8"/>
  <c r="AU81" i="8"/>
  <c r="AS81" i="8"/>
  <c r="BC80" i="8"/>
  <c r="BA80" i="8"/>
  <c r="AY80" i="8"/>
  <c r="AW80" i="8"/>
  <c r="AU80" i="8"/>
  <c r="AS80" i="8"/>
  <c r="BC78" i="8"/>
  <c r="BA78" i="8"/>
  <c r="AY78" i="8"/>
  <c r="AW78" i="8"/>
  <c r="AU78" i="8"/>
  <c r="AS78" i="8"/>
  <c r="BC77" i="8"/>
  <c r="BA77" i="8"/>
  <c r="AY77" i="8"/>
  <c r="AW77" i="8"/>
  <c r="AU77" i="8"/>
  <c r="AS77" i="8"/>
  <c r="BC76" i="8"/>
  <c r="BA76" i="8"/>
  <c r="AY76" i="8"/>
  <c r="AW76" i="8"/>
  <c r="AU76" i="8"/>
  <c r="AS76" i="8"/>
  <c r="BC75" i="8"/>
  <c r="BA75" i="8"/>
  <c r="AY75" i="8"/>
  <c r="AW75" i="8"/>
  <c r="AU75" i="8"/>
  <c r="AS75" i="8"/>
  <c r="BC74" i="8"/>
  <c r="BA74" i="8"/>
  <c r="AY74" i="8"/>
  <c r="AW74" i="8"/>
  <c r="AU74" i="8"/>
  <c r="AS74" i="8"/>
  <c r="BC73" i="8"/>
  <c r="BA73" i="8"/>
  <c r="AY73" i="8"/>
  <c r="AW73" i="8"/>
  <c r="AU73" i="8"/>
  <c r="AS73" i="8"/>
  <c r="BC72" i="8"/>
  <c r="BA72" i="8"/>
  <c r="AY72" i="8"/>
  <c r="AW72" i="8"/>
  <c r="AU72" i="8"/>
  <c r="AS72" i="8"/>
  <c r="BC71" i="8"/>
  <c r="BA71" i="8"/>
  <c r="AY71" i="8"/>
  <c r="AW71" i="8"/>
  <c r="AU71" i="8"/>
  <c r="AS71" i="8"/>
  <c r="BC70" i="8"/>
  <c r="BA70" i="8"/>
  <c r="AY70" i="8"/>
  <c r="AW70" i="8"/>
  <c r="AU70" i="8"/>
  <c r="AS70" i="8"/>
  <c r="BC69" i="8"/>
  <c r="BA69" i="8"/>
  <c r="AY69" i="8"/>
  <c r="AW69" i="8"/>
  <c r="AU69" i="8"/>
  <c r="AS69" i="8"/>
  <c r="BC68" i="8"/>
  <c r="BA68" i="8"/>
  <c r="AY68" i="8"/>
  <c r="AW68" i="8"/>
  <c r="AU68" i="8"/>
  <c r="AS68" i="8"/>
  <c r="BC67" i="8"/>
  <c r="BA67" i="8"/>
  <c r="AY67" i="8"/>
  <c r="AW67" i="8"/>
  <c r="AU67" i="8"/>
  <c r="AS67" i="8"/>
  <c r="BC66" i="8"/>
  <c r="BA66" i="8"/>
  <c r="AY66" i="8"/>
  <c r="AW66" i="8"/>
  <c r="AU66" i="8"/>
  <c r="AS66" i="8"/>
  <c r="BC65" i="8"/>
  <c r="BA65" i="8"/>
  <c r="AY65" i="8"/>
  <c r="AW65" i="8"/>
  <c r="AU65" i="8"/>
  <c r="AS65" i="8"/>
  <c r="BC63" i="8"/>
  <c r="BA63" i="8"/>
  <c r="AY63" i="8"/>
  <c r="AW63" i="8"/>
  <c r="AU63" i="8"/>
  <c r="AS63" i="8"/>
  <c r="BC62" i="8"/>
  <c r="BA62" i="8"/>
  <c r="AY62" i="8"/>
  <c r="AW62" i="8"/>
  <c r="AU62" i="8"/>
  <c r="AS62" i="8"/>
  <c r="BC61" i="8"/>
  <c r="BA61" i="8"/>
  <c r="AY61" i="8"/>
  <c r="AW61" i="8"/>
  <c r="AU61" i="8"/>
  <c r="AS61" i="8"/>
  <c r="BC60" i="8"/>
  <c r="BA60" i="8"/>
  <c r="AY60" i="8"/>
  <c r="AW60" i="8"/>
  <c r="AU60" i="8"/>
  <c r="AS60" i="8"/>
  <c r="BC59" i="8"/>
  <c r="BA59" i="8"/>
  <c r="AY59" i="8"/>
  <c r="AW59" i="8"/>
  <c r="AU59" i="8"/>
  <c r="AS59" i="8"/>
  <c r="BC58" i="8"/>
  <c r="BA58" i="8"/>
  <c r="AY58" i="8"/>
  <c r="AW58" i="8"/>
  <c r="AU58" i="8"/>
  <c r="AS58" i="8"/>
  <c r="BC57" i="8"/>
  <c r="BA57" i="8"/>
  <c r="AY57" i="8"/>
  <c r="AW57" i="8"/>
  <c r="AU57" i="8"/>
  <c r="AS57" i="8"/>
  <c r="BC56" i="8"/>
  <c r="BA56" i="8"/>
  <c r="AY56" i="8"/>
  <c r="AW56" i="8"/>
  <c r="AU56" i="8"/>
  <c r="AS56" i="8"/>
  <c r="BC55" i="8"/>
  <c r="BA55" i="8"/>
  <c r="AY55" i="8"/>
  <c r="AW55" i="8"/>
  <c r="AU55" i="8"/>
  <c r="AS55" i="8"/>
  <c r="BC54" i="8"/>
  <c r="BA54" i="8"/>
  <c r="AY54" i="8"/>
  <c r="AW54" i="8"/>
  <c r="AU54" i="8"/>
  <c r="AS54" i="8"/>
  <c r="BC53" i="8"/>
  <c r="BA53" i="8"/>
  <c r="AY53" i="8"/>
  <c r="AW53" i="8"/>
  <c r="AU53" i="8"/>
  <c r="AS53" i="8"/>
  <c r="BC52" i="8"/>
  <c r="BA52" i="8"/>
  <c r="AY52" i="8"/>
  <c r="AW52" i="8"/>
  <c r="AU52" i="8"/>
  <c r="AS52" i="8"/>
  <c r="BC51" i="8"/>
  <c r="BA51" i="8"/>
  <c r="AY51" i="8"/>
  <c r="AW51" i="8"/>
  <c r="AU51" i="8"/>
  <c r="AS51" i="8"/>
  <c r="BC50" i="8"/>
  <c r="BA50" i="8"/>
  <c r="AY50" i="8"/>
  <c r="AW50" i="8"/>
  <c r="AU50" i="8"/>
  <c r="AS50" i="8"/>
  <c r="BC49" i="8"/>
  <c r="BA49" i="8"/>
  <c r="AY49" i="8"/>
  <c r="AW49" i="8"/>
  <c r="AU49" i="8"/>
  <c r="AS49" i="8"/>
  <c r="BC48" i="8"/>
  <c r="BA48" i="8"/>
  <c r="AY48" i="8"/>
  <c r="AW48" i="8"/>
  <c r="AU48" i="8"/>
  <c r="AS48" i="8"/>
  <c r="BC47" i="8"/>
  <c r="BA47" i="8"/>
  <c r="AY47" i="8"/>
  <c r="AW47" i="8"/>
  <c r="AU47" i="8"/>
  <c r="AS47" i="8"/>
  <c r="BC46" i="8"/>
  <c r="BA46" i="8"/>
  <c r="AY46" i="8"/>
  <c r="AW46" i="8"/>
  <c r="AU46" i="8"/>
  <c r="AS46" i="8"/>
  <c r="BC45" i="8"/>
  <c r="BA45" i="8"/>
  <c r="AY45" i="8"/>
  <c r="AW45" i="8"/>
  <c r="AU45" i="8"/>
  <c r="AS45" i="8"/>
  <c r="BC44" i="8"/>
  <c r="BA44" i="8"/>
  <c r="AY44" i="8"/>
  <c r="AW44" i="8"/>
  <c r="AU44" i="8"/>
  <c r="AS44" i="8"/>
  <c r="BC43" i="8"/>
  <c r="BA43" i="8"/>
  <c r="AY43" i="8"/>
  <c r="AW43" i="8"/>
  <c r="AU43" i="8"/>
  <c r="AS43" i="8"/>
  <c r="BC42" i="8"/>
  <c r="BA42" i="8"/>
  <c r="AY42" i="8"/>
  <c r="AW42" i="8"/>
  <c r="AU42" i="8"/>
  <c r="AS42" i="8"/>
  <c r="BC41" i="8"/>
  <c r="BA41" i="8"/>
  <c r="AY41" i="8"/>
  <c r="AW41" i="8"/>
  <c r="AU41" i="8"/>
  <c r="AS41" i="8"/>
  <c r="BC40" i="8"/>
  <c r="BA40" i="8"/>
  <c r="AY40" i="8"/>
  <c r="AW40" i="8"/>
  <c r="AU40" i="8"/>
  <c r="AS40" i="8"/>
  <c r="BC39" i="8"/>
  <c r="BA39" i="8"/>
  <c r="AY39" i="8"/>
  <c r="AW39" i="8"/>
  <c r="AU39" i="8"/>
  <c r="AS39" i="8"/>
  <c r="BC38" i="8"/>
  <c r="BA38" i="8"/>
  <c r="AY38" i="8"/>
  <c r="AW38" i="8"/>
  <c r="AU38" i="8"/>
  <c r="AS38" i="8"/>
  <c r="BC37" i="8"/>
  <c r="BA37" i="8"/>
  <c r="AY37" i="8"/>
  <c r="AW37" i="8"/>
  <c r="AU37" i="8"/>
  <c r="AS37" i="8"/>
  <c r="BC36" i="8"/>
  <c r="BA36" i="8"/>
  <c r="AY36" i="8"/>
  <c r="AW36" i="8"/>
  <c r="AU36" i="8"/>
  <c r="AS36" i="8"/>
  <c r="BC35" i="8"/>
  <c r="BA35" i="8"/>
  <c r="AY35" i="8"/>
  <c r="AW35" i="8"/>
  <c r="AU35" i="8"/>
  <c r="AS35" i="8"/>
  <c r="BC34" i="8"/>
  <c r="BA34" i="8"/>
  <c r="AY34" i="8"/>
  <c r="AW34" i="8"/>
  <c r="AU34" i="8"/>
  <c r="AS34" i="8"/>
  <c r="BC33" i="8"/>
  <c r="BA33" i="8"/>
  <c r="AY33" i="8"/>
  <c r="AW33" i="8"/>
  <c r="AU33" i="8"/>
  <c r="AS33" i="8"/>
  <c r="BC32" i="8"/>
  <c r="BA32" i="8"/>
  <c r="AY32" i="8"/>
  <c r="AW32" i="8"/>
  <c r="AU32" i="8"/>
  <c r="AS32" i="8"/>
  <c r="BC31" i="8"/>
  <c r="BA31" i="8"/>
  <c r="AY31" i="8"/>
  <c r="AW31" i="8"/>
  <c r="AU31" i="8"/>
  <c r="AS31" i="8"/>
  <c r="BC30" i="8"/>
  <c r="BA30" i="8"/>
  <c r="AY30" i="8"/>
  <c r="AW30" i="8"/>
  <c r="AU30" i="8"/>
  <c r="AS30" i="8"/>
  <c r="BC29" i="8"/>
  <c r="BA29" i="8"/>
  <c r="AY29" i="8"/>
  <c r="AW29" i="8"/>
  <c r="AU29" i="8"/>
  <c r="AS29" i="8"/>
  <c r="BC28" i="8"/>
  <c r="BA28" i="8"/>
  <c r="AY28" i="8"/>
  <c r="AW28" i="8"/>
  <c r="AU28" i="8"/>
  <c r="AS28" i="8"/>
  <c r="BC27" i="8"/>
  <c r="BA27" i="8"/>
  <c r="AY27" i="8"/>
  <c r="AW27" i="8"/>
  <c r="AU27" i="8"/>
  <c r="AS27" i="8"/>
  <c r="BC26" i="8"/>
  <c r="BA26" i="8"/>
  <c r="AY26" i="8"/>
  <c r="AW26" i="8"/>
  <c r="AU26" i="8"/>
  <c r="AS26" i="8"/>
  <c r="BC25" i="8"/>
  <c r="BA25" i="8"/>
  <c r="AY25" i="8"/>
  <c r="AW25" i="8"/>
  <c r="AU25" i="8"/>
  <c r="AS25" i="8"/>
  <c r="BC24" i="8"/>
  <c r="BA24" i="8"/>
  <c r="AY24" i="8"/>
  <c r="AW24" i="8"/>
  <c r="AU24" i="8"/>
  <c r="AS24" i="8"/>
  <c r="BC23" i="8"/>
  <c r="BA23" i="8"/>
  <c r="AY23" i="8"/>
  <c r="AW23" i="8"/>
  <c r="AU23" i="8"/>
  <c r="AS23" i="8"/>
  <c r="BC22" i="8"/>
  <c r="BA22" i="8"/>
  <c r="AY22" i="8"/>
  <c r="AW22" i="8"/>
  <c r="AU22" i="8"/>
  <c r="AS22" i="8"/>
  <c r="BC21" i="8"/>
  <c r="BA21" i="8"/>
  <c r="AY21" i="8"/>
  <c r="AW21" i="8"/>
  <c r="AU21" i="8"/>
  <c r="AS21" i="8"/>
  <c r="BC20" i="8"/>
  <c r="BA20" i="8"/>
  <c r="AY20" i="8"/>
  <c r="AW20" i="8"/>
  <c r="AU20" i="8"/>
  <c r="AS20" i="8"/>
  <c r="BC19" i="8"/>
  <c r="BA19" i="8"/>
  <c r="AY19" i="8"/>
  <c r="AW19" i="8"/>
  <c r="AU19" i="8"/>
  <c r="AS19" i="8"/>
  <c r="BC18" i="8"/>
  <c r="BA18" i="8"/>
  <c r="AY18" i="8"/>
  <c r="AW18" i="8"/>
  <c r="AU18" i="8"/>
  <c r="AS18" i="8"/>
  <c r="BC17" i="8"/>
  <c r="BA17" i="8"/>
  <c r="AY17" i="8"/>
  <c r="AW17" i="8"/>
  <c r="AU17" i="8"/>
  <c r="AS17" i="8"/>
  <c r="BC16" i="8"/>
  <c r="BA16" i="8"/>
  <c r="AY16" i="8"/>
  <c r="AW16" i="8"/>
  <c r="AU16" i="8"/>
  <c r="AS16" i="8"/>
  <c r="BC15" i="8"/>
  <c r="BA15" i="8"/>
  <c r="AY15" i="8"/>
  <c r="AW15" i="8"/>
  <c r="AU15" i="8"/>
  <c r="AS15" i="8"/>
  <c r="BC14" i="8"/>
  <c r="BA14" i="8"/>
  <c r="AY14" i="8"/>
  <c r="AW14" i="8"/>
  <c r="AU14" i="8"/>
  <c r="AS14" i="8"/>
  <c r="BC13" i="8"/>
  <c r="BA13" i="8"/>
  <c r="AY13" i="8"/>
  <c r="AW13" i="8"/>
  <c r="AU13" i="8"/>
  <c r="AS13" i="8"/>
  <c r="BC12" i="8"/>
  <c r="BA12" i="8"/>
  <c r="AY12" i="8"/>
  <c r="AW12" i="8"/>
  <c r="AU12" i="8"/>
  <c r="AS12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V24" i="8" s="1"/>
  <c r="U25" i="8"/>
  <c r="U26" i="8"/>
  <c r="U27" i="8"/>
  <c r="U28" i="8"/>
  <c r="U29" i="8"/>
  <c r="U30" i="8"/>
  <c r="U31" i="8"/>
  <c r="U32" i="8"/>
  <c r="U33" i="8"/>
  <c r="U34" i="8"/>
  <c r="U35" i="8"/>
  <c r="V35" i="8" s="1"/>
  <c r="U36" i="8"/>
  <c r="U37" i="8"/>
  <c r="U38" i="8"/>
  <c r="U39" i="8"/>
  <c r="U40" i="8"/>
  <c r="U41" i="8"/>
  <c r="U42" i="8"/>
  <c r="U43" i="8"/>
  <c r="U44" i="8"/>
  <c r="U45" i="8"/>
  <c r="U46" i="8"/>
  <c r="U47" i="8"/>
  <c r="V47" i="8" s="1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V81" i="8" s="1"/>
  <c r="U82" i="8"/>
  <c r="U83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X11" i="8"/>
  <c r="U11" i="8" s="1"/>
  <c r="C104" i="8"/>
  <c r="S104" i="8"/>
  <c r="O104" i="8"/>
  <c r="C103" i="8"/>
  <c r="S103" i="8"/>
  <c r="O103" i="8"/>
  <c r="C102" i="8"/>
  <c r="S102" i="8"/>
  <c r="O102" i="8"/>
  <c r="C101" i="8"/>
  <c r="S101" i="8"/>
  <c r="R101" i="8"/>
  <c r="O101" i="8" s="1"/>
  <c r="C100" i="8"/>
  <c r="S100" i="8"/>
  <c r="O100" i="8"/>
  <c r="C99" i="8"/>
  <c r="R99" i="8"/>
  <c r="Q99" i="8"/>
  <c r="P99" i="8"/>
  <c r="C98" i="8"/>
  <c r="R98" i="8"/>
  <c r="Q98" i="8"/>
  <c r="P98" i="8"/>
  <c r="C97" i="8"/>
  <c r="S97" i="8"/>
  <c r="O97" i="8"/>
  <c r="C96" i="8"/>
  <c r="S96" i="8"/>
  <c r="O96" i="8"/>
  <c r="C95" i="8"/>
  <c r="S95" i="8"/>
  <c r="O95" i="8"/>
  <c r="C94" i="8"/>
  <c r="S94" i="8"/>
  <c r="O94" i="8"/>
  <c r="C93" i="8"/>
  <c r="R93" i="8"/>
  <c r="Q93" i="8"/>
  <c r="P93" i="8"/>
  <c r="C92" i="8"/>
  <c r="S92" i="8"/>
  <c r="O92" i="8"/>
  <c r="C91" i="8"/>
  <c r="S91" i="8"/>
  <c r="R91" i="8"/>
  <c r="O91" i="8" s="1"/>
  <c r="C90" i="8"/>
  <c r="R90" i="8"/>
  <c r="Q90" i="8"/>
  <c r="P90" i="8"/>
  <c r="C89" i="8"/>
  <c r="S89" i="8"/>
  <c r="O89" i="8"/>
  <c r="C88" i="8"/>
  <c r="S88" i="8"/>
  <c r="O88" i="8"/>
  <c r="C87" i="8"/>
  <c r="R87" i="8"/>
  <c r="Q87" i="8"/>
  <c r="P87" i="8"/>
  <c r="C86" i="8"/>
  <c r="X86" i="8"/>
  <c r="U86" i="8" s="1"/>
  <c r="R86" i="8"/>
  <c r="Q86" i="8"/>
  <c r="P86" i="8"/>
  <c r="C85" i="8"/>
  <c r="R85" i="8"/>
  <c r="Q85" i="8"/>
  <c r="P85" i="8"/>
  <c r="C83" i="8"/>
  <c r="R83" i="8"/>
  <c r="Q83" i="8"/>
  <c r="P83" i="8"/>
  <c r="C82" i="8"/>
  <c r="R82" i="8"/>
  <c r="Q82" i="8"/>
  <c r="P82" i="8"/>
  <c r="C81" i="8"/>
  <c r="R81" i="8"/>
  <c r="Q81" i="8"/>
  <c r="P81" i="8"/>
  <c r="C80" i="8"/>
  <c r="S80" i="8"/>
  <c r="O80" i="8"/>
  <c r="C79" i="8"/>
  <c r="R79" i="8"/>
  <c r="Q79" i="8"/>
  <c r="P79" i="8"/>
  <c r="C78" i="8"/>
  <c r="S78" i="8"/>
  <c r="O78" i="8"/>
  <c r="C77" i="8"/>
  <c r="S77" i="8"/>
  <c r="R77" i="8"/>
  <c r="O77" i="8" s="1"/>
  <c r="C76" i="8"/>
  <c r="S76" i="8"/>
  <c r="O76" i="8"/>
  <c r="C75" i="8"/>
  <c r="R75" i="8"/>
  <c r="Q75" i="8"/>
  <c r="P75" i="8"/>
  <c r="C74" i="8"/>
  <c r="S74" i="8"/>
  <c r="O74" i="8"/>
  <c r="C73" i="8"/>
  <c r="S73" i="8"/>
  <c r="O73" i="8"/>
  <c r="R72" i="8"/>
  <c r="Q72" i="8"/>
  <c r="P72" i="8"/>
  <c r="C71" i="8"/>
  <c r="S71" i="8"/>
  <c r="O71" i="8"/>
  <c r="C70" i="8"/>
  <c r="S70" i="8"/>
  <c r="R70" i="8"/>
  <c r="O70" i="8" s="1"/>
  <c r="C69" i="8"/>
  <c r="S69" i="8"/>
  <c r="O69" i="8"/>
  <c r="C68" i="8"/>
  <c r="R68" i="8"/>
  <c r="Q68" i="8"/>
  <c r="P68" i="8"/>
  <c r="C67" i="8"/>
  <c r="S67" i="8"/>
  <c r="O67" i="8"/>
  <c r="C66" i="8"/>
  <c r="R66" i="8"/>
  <c r="P66" i="8"/>
  <c r="S66" i="8" s="1"/>
  <c r="C65" i="8"/>
  <c r="S65" i="8"/>
  <c r="O65" i="8"/>
  <c r="C63" i="8"/>
  <c r="S63" i="8"/>
  <c r="O63" i="8"/>
  <c r="C62" i="8"/>
  <c r="R62" i="8"/>
  <c r="Q62" i="8"/>
  <c r="P62" i="8"/>
  <c r="C61" i="8"/>
  <c r="S61" i="8"/>
  <c r="O61" i="8"/>
  <c r="C60" i="8"/>
  <c r="S60" i="8"/>
  <c r="O60" i="8"/>
  <c r="C59" i="8"/>
  <c r="S59" i="8"/>
  <c r="O59" i="8"/>
  <c r="C58" i="8"/>
  <c r="S58" i="8"/>
  <c r="R58" i="8"/>
  <c r="O58" i="8" s="1"/>
  <c r="C57" i="8"/>
  <c r="R57" i="8"/>
  <c r="Q57" i="8"/>
  <c r="P57" i="8"/>
  <c r="S56" i="8"/>
  <c r="O56" i="8"/>
  <c r="S55" i="8"/>
  <c r="O55" i="8"/>
  <c r="C54" i="8"/>
  <c r="S54" i="8"/>
  <c r="R54" i="8"/>
  <c r="O54" i="8" s="1"/>
  <c r="C53" i="8"/>
  <c r="S53" i="8"/>
  <c r="O53" i="8"/>
  <c r="C52" i="8"/>
  <c r="R52" i="8"/>
  <c r="Q52" i="8"/>
  <c r="P52" i="8"/>
  <c r="C51" i="8"/>
  <c r="R51" i="8"/>
  <c r="Q51" i="8"/>
  <c r="P51" i="8"/>
  <c r="C50" i="8"/>
  <c r="R50" i="8"/>
  <c r="Q50" i="8"/>
  <c r="P50" i="8"/>
  <c r="C49" i="8"/>
  <c r="R49" i="8"/>
  <c r="Q49" i="8"/>
  <c r="P49" i="8"/>
  <c r="C48" i="8"/>
  <c r="R48" i="8"/>
  <c r="Q48" i="8"/>
  <c r="P48" i="8"/>
  <c r="C47" i="8"/>
  <c r="Q47" i="8"/>
  <c r="S47" i="8" s="1"/>
  <c r="C46" i="8"/>
  <c r="S46" i="8"/>
  <c r="R46" i="8"/>
  <c r="O46" i="8" s="1"/>
  <c r="C45" i="8"/>
  <c r="R45" i="8"/>
  <c r="Q45" i="8"/>
  <c r="P45" i="8"/>
  <c r="C44" i="8"/>
  <c r="R44" i="8"/>
  <c r="Q44" i="8"/>
  <c r="P44" i="8"/>
  <c r="C43" i="8"/>
  <c r="R43" i="8"/>
  <c r="Q43" i="8"/>
  <c r="P43" i="8"/>
  <c r="C42" i="8"/>
  <c r="Q42" i="8"/>
  <c r="P42" i="8"/>
  <c r="C41" i="8"/>
  <c r="S41" i="8"/>
  <c r="O41" i="8"/>
  <c r="C40" i="8"/>
  <c r="S40" i="8"/>
  <c r="O40" i="8"/>
  <c r="C39" i="8"/>
  <c r="R39" i="8"/>
  <c r="Q39" i="8"/>
  <c r="P39" i="8"/>
  <c r="C38" i="8"/>
  <c r="S38" i="8"/>
  <c r="O38" i="8"/>
  <c r="C37" i="8"/>
  <c r="S37" i="8"/>
  <c r="O37" i="8"/>
  <c r="C36" i="8"/>
  <c r="R36" i="8"/>
  <c r="Q36" i="8"/>
  <c r="P36" i="8"/>
  <c r="C35" i="8"/>
  <c r="R35" i="8"/>
  <c r="Q35" i="8"/>
  <c r="P35" i="8"/>
  <c r="C34" i="8"/>
  <c r="S34" i="8"/>
  <c r="O34" i="8"/>
  <c r="C33" i="8"/>
  <c r="R33" i="8"/>
  <c r="Q33" i="8"/>
  <c r="P33" i="8"/>
  <c r="C32" i="8"/>
  <c r="S32" i="8"/>
  <c r="O32" i="8"/>
  <c r="C31" i="8"/>
  <c r="S31" i="8"/>
  <c r="O31" i="8"/>
  <c r="C30" i="8"/>
  <c r="R30" i="8"/>
  <c r="Q30" i="8"/>
  <c r="P30" i="8"/>
  <c r="C29" i="8"/>
  <c r="R29" i="8"/>
  <c r="Q29" i="8"/>
  <c r="P29" i="8"/>
  <c r="C28" i="8"/>
  <c r="S28" i="8"/>
  <c r="O28" i="8"/>
  <c r="S27" i="8"/>
  <c r="O27" i="8"/>
  <c r="R26" i="8"/>
  <c r="Q26" i="8"/>
  <c r="P26" i="8"/>
  <c r="C25" i="8"/>
  <c r="S25" i="8"/>
  <c r="O25" i="8"/>
  <c r="C24" i="8"/>
  <c r="R24" i="8"/>
  <c r="Q24" i="8"/>
  <c r="P24" i="8"/>
  <c r="S23" i="8"/>
  <c r="O23" i="8"/>
  <c r="C22" i="8"/>
  <c r="S22" i="8"/>
  <c r="O22" i="8"/>
  <c r="C21" i="8"/>
  <c r="R21" i="8"/>
  <c r="Q21" i="8"/>
  <c r="P21" i="8"/>
  <c r="R20" i="8"/>
  <c r="Q20" i="8"/>
  <c r="P20" i="8"/>
  <c r="C19" i="8"/>
  <c r="R19" i="8"/>
  <c r="Q19" i="8"/>
  <c r="P19" i="8"/>
  <c r="C18" i="8"/>
  <c r="R18" i="8"/>
  <c r="Q18" i="8"/>
  <c r="P18" i="8"/>
  <c r="C17" i="8"/>
  <c r="S17" i="8"/>
  <c r="O17" i="8"/>
  <c r="S16" i="8"/>
  <c r="O16" i="8"/>
  <c r="C15" i="8"/>
  <c r="S15" i="8"/>
  <c r="O15" i="8"/>
  <c r="C14" i="8"/>
  <c r="R13" i="8"/>
  <c r="Q13" i="8"/>
  <c r="P13" i="8"/>
  <c r="C12" i="8"/>
  <c r="R11" i="8"/>
  <c r="Q11" i="8"/>
  <c r="P11" i="8"/>
  <c r="Q118" i="1"/>
  <c r="Q3" i="1"/>
  <c r="Q5" i="1"/>
  <c r="Q6" i="1"/>
  <c r="Q8" i="1"/>
  <c r="Q9" i="1"/>
  <c r="Q10" i="1"/>
  <c r="Q11" i="1"/>
  <c r="Q13" i="1"/>
  <c r="Q14" i="1"/>
  <c r="Q16" i="1"/>
  <c r="Q17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D2" i="4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U2" i="1"/>
  <c r="AS2" i="1"/>
  <c r="AQ2" i="1"/>
  <c r="AO2" i="1"/>
  <c r="AM2" i="1"/>
  <c r="AK2" i="1"/>
  <c r="AH47" i="1"/>
  <c r="AB57" i="1"/>
  <c r="AB72" i="1"/>
  <c r="AB65" i="1"/>
  <c r="AB20" i="1"/>
  <c r="AB13" i="1"/>
  <c r="AB112" i="1"/>
  <c r="AB66" i="1"/>
  <c r="AB102" i="1"/>
  <c r="AB58" i="1"/>
  <c r="AB113" i="1"/>
  <c r="AB53" i="1"/>
  <c r="AB2" i="1"/>
  <c r="AB73" i="1"/>
  <c r="AB31" i="1"/>
  <c r="AB74" i="1"/>
  <c r="AB37" i="1"/>
  <c r="AB14" i="1"/>
  <c r="AB67" i="1"/>
  <c r="AB92" i="1"/>
  <c r="AB103" i="1"/>
  <c r="AB15" i="1"/>
  <c r="AB59" i="1"/>
  <c r="AB3" i="1"/>
  <c r="AB83" i="1"/>
  <c r="AB68" i="1"/>
  <c r="AB48" i="1"/>
  <c r="AB104" i="1"/>
  <c r="AB75" i="1"/>
  <c r="AB21" i="1"/>
  <c r="AB38" i="1"/>
  <c r="AB4" i="1"/>
  <c r="AB39" i="1"/>
  <c r="AB76" i="1"/>
  <c r="AB93" i="1"/>
  <c r="AB5" i="1"/>
  <c r="AB84" i="1"/>
  <c r="AB60" i="1"/>
  <c r="AB114" i="1"/>
  <c r="AB85" i="1"/>
  <c r="AB69" i="1"/>
  <c r="AB94" i="1"/>
  <c r="AB40" i="1"/>
  <c r="AB95" i="1"/>
  <c r="AB41" i="1"/>
  <c r="AB77" i="1"/>
  <c r="AB16" i="1"/>
  <c r="AB96" i="1"/>
  <c r="AB115" i="1"/>
  <c r="AB86" i="1"/>
  <c r="AB70" i="1"/>
  <c r="AB49" i="1"/>
  <c r="AB54" i="1"/>
  <c r="AB25" i="1"/>
  <c r="AB42" i="1"/>
  <c r="AB26" i="1"/>
  <c r="AB50" i="1"/>
  <c r="AB43" i="1"/>
  <c r="AB6" i="1"/>
  <c r="AB27" i="1"/>
  <c r="AB22" i="1"/>
  <c r="AB32" i="1"/>
  <c r="AB97" i="1"/>
  <c r="AB7" i="1"/>
  <c r="AB78" i="1"/>
  <c r="AB116" i="1"/>
  <c r="AB79" i="1"/>
  <c r="AB33" i="1"/>
  <c r="AB34" i="1"/>
  <c r="AB28" i="1"/>
  <c r="AB17" i="1"/>
  <c r="AB80" i="1"/>
  <c r="AB51" i="1"/>
  <c r="AB105" i="1"/>
  <c r="AB61" i="1"/>
  <c r="AB35" i="1"/>
  <c r="AB62" i="1"/>
  <c r="AB106" i="1"/>
  <c r="AB107" i="1"/>
  <c r="AB29" i="1"/>
  <c r="AB44" i="1"/>
  <c r="AB87" i="1"/>
  <c r="AB52" i="1"/>
  <c r="AB45" i="1"/>
  <c r="AB98" i="1"/>
  <c r="AB108" i="1"/>
  <c r="AB55" i="1"/>
  <c r="AB30" i="1"/>
  <c r="AB109" i="1"/>
  <c r="AB10" i="1"/>
  <c r="AB99" i="1"/>
  <c r="AB18" i="1"/>
  <c r="AB19" i="1"/>
  <c r="AB88" i="1"/>
  <c r="AB71" i="1"/>
  <c r="AB11" i="1"/>
  <c r="AB23" i="1"/>
  <c r="AB81" i="1"/>
  <c r="AB82" i="1"/>
  <c r="AB89" i="1"/>
  <c r="AB8" i="1"/>
  <c r="AB36" i="1"/>
  <c r="AB9" i="1"/>
  <c r="AB12" i="1"/>
  <c r="AB63" i="1"/>
  <c r="AB110" i="1"/>
  <c r="AB90" i="1"/>
  <c r="AB24" i="1"/>
  <c r="AB91" i="1"/>
  <c r="AB117" i="1"/>
  <c r="AB100" i="1"/>
  <c r="AB56" i="1"/>
  <c r="AB111" i="1"/>
  <c r="AB101" i="1"/>
  <c r="AB118" i="1"/>
  <c r="AB46" i="1"/>
  <c r="AB64" i="1"/>
  <c r="AB47" i="1"/>
  <c r="Z57" i="1"/>
  <c r="Z72" i="1"/>
  <c r="Z65" i="1"/>
  <c r="Z20" i="1"/>
  <c r="Z13" i="1"/>
  <c r="Z112" i="1"/>
  <c r="Z66" i="1"/>
  <c r="Z102" i="1"/>
  <c r="Z58" i="1"/>
  <c r="Z113" i="1"/>
  <c r="Z53" i="1"/>
  <c r="Z2" i="1"/>
  <c r="Z73" i="1"/>
  <c r="Z31" i="1"/>
  <c r="Z74" i="1"/>
  <c r="Z37" i="1"/>
  <c r="Z14" i="1"/>
  <c r="Z67" i="1"/>
  <c r="Z92" i="1"/>
  <c r="Z103" i="1"/>
  <c r="Z15" i="1"/>
  <c r="Z59" i="1"/>
  <c r="Z3" i="1"/>
  <c r="Z83" i="1"/>
  <c r="Z68" i="1"/>
  <c r="Z48" i="1"/>
  <c r="Z104" i="1"/>
  <c r="Z75" i="1"/>
  <c r="Z21" i="1"/>
  <c r="Z38" i="1"/>
  <c r="Z4" i="1"/>
  <c r="Z39" i="1"/>
  <c r="Z76" i="1"/>
  <c r="Z93" i="1"/>
  <c r="Z5" i="1"/>
  <c r="Z84" i="1"/>
  <c r="Z60" i="1"/>
  <c r="Z114" i="1"/>
  <c r="Z85" i="1"/>
  <c r="Z69" i="1"/>
  <c r="Z94" i="1"/>
  <c r="Z40" i="1"/>
  <c r="Z95" i="1"/>
  <c r="Z41" i="1"/>
  <c r="Z77" i="1"/>
  <c r="Z16" i="1"/>
  <c r="Z96" i="1"/>
  <c r="Z115" i="1"/>
  <c r="Z86" i="1"/>
  <c r="Z70" i="1"/>
  <c r="Z49" i="1"/>
  <c r="Z54" i="1"/>
  <c r="Z25" i="1"/>
  <c r="Z42" i="1"/>
  <c r="Z26" i="1"/>
  <c r="Z50" i="1"/>
  <c r="Z43" i="1"/>
  <c r="Z6" i="1"/>
  <c r="Z27" i="1"/>
  <c r="Z22" i="1"/>
  <c r="Z32" i="1"/>
  <c r="Z97" i="1"/>
  <c r="Z7" i="1"/>
  <c r="Z78" i="1"/>
  <c r="Z116" i="1"/>
  <c r="Z79" i="1"/>
  <c r="Z33" i="1"/>
  <c r="Z34" i="1"/>
  <c r="Z28" i="1"/>
  <c r="Z17" i="1"/>
  <c r="Z80" i="1"/>
  <c r="Z51" i="1"/>
  <c r="Z105" i="1"/>
  <c r="Z61" i="1"/>
  <c r="Z35" i="1"/>
  <c r="Z62" i="1"/>
  <c r="Z106" i="1"/>
  <c r="Z107" i="1"/>
  <c r="Z29" i="1"/>
  <c r="Z44" i="1"/>
  <c r="Z87" i="1"/>
  <c r="Z52" i="1"/>
  <c r="Z45" i="1"/>
  <c r="Z98" i="1"/>
  <c r="Z108" i="1"/>
  <c r="Z55" i="1"/>
  <c r="Z30" i="1"/>
  <c r="Z109" i="1"/>
  <c r="Z10" i="1"/>
  <c r="Z99" i="1"/>
  <c r="Z18" i="1"/>
  <c r="Z19" i="1"/>
  <c r="Z88" i="1"/>
  <c r="Z71" i="1"/>
  <c r="Z11" i="1"/>
  <c r="Z23" i="1"/>
  <c r="Z81" i="1"/>
  <c r="Z82" i="1"/>
  <c r="Z89" i="1"/>
  <c r="Z8" i="1"/>
  <c r="Z36" i="1"/>
  <c r="Z9" i="1"/>
  <c r="Z12" i="1"/>
  <c r="Z63" i="1"/>
  <c r="Z110" i="1"/>
  <c r="Z90" i="1"/>
  <c r="Z24" i="1"/>
  <c r="Z91" i="1"/>
  <c r="Z117" i="1"/>
  <c r="Z100" i="1"/>
  <c r="Z56" i="1"/>
  <c r="Z111" i="1"/>
  <c r="Z101" i="1"/>
  <c r="Z118" i="1"/>
  <c r="Z46" i="1"/>
  <c r="Z64" i="1"/>
  <c r="Z47" i="1"/>
  <c r="X57" i="1"/>
  <c r="X72" i="1"/>
  <c r="X65" i="1"/>
  <c r="X20" i="1"/>
  <c r="X13" i="1"/>
  <c r="X112" i="1"/>
  <c r="X66" i="1"/>
  <c r="X102" i="1"/>
  <c r="X58" i="1"/>
  <c r="X113" i="1"/>
  <c r="X53" i="1"/>
  <c r="X2" i="1"/>
  <c r="X73" i="1"/>
  <c r="X31" i="1"/>
  <c r="X74" i="1"/>
  <c r="X37" i="1"/>
  <c r="X14" i="1"/>
  <c r="X67" i="1"/>
  <c r="X92" i="1"/>
  <c r="X103" i="1"/>
  <c r="X15" i="1"/>
  <c r="X59" i="1"/>
  <c r="X3" i="1"/>
  <c r="X83" i="1"/>
  <c r="X68" i="1"/>
  <c r="X48" i="1"/>
  <c r="X104" i="1"/>
  <c r="X75" i="1"/>
  <c r="X21" i="1"/>
  <c r="X38" i="1"/>
  <c r="X4" i="1"/>
  <c r="X39" i="1"/>
  <c r="X76" i="1"/>
  <c r="X93" i="1"/>
  <c r="X5" i="1"/>
  <c r="X84" i="1"/>
  <c r="X60" i="1"/>
  <c r="X114" i="1"/>
  <c r="X85" i="1"/>
  <c r="X69" i="1"/>
  <c r="X94" i="1"/>
  <c r="X40" i="1"/>
  <c r="X95" i="1"/>
  <c r="X41" i="1"/>
  <c r="X77" i="1"/>
  <c r="X16" i="1"/>
  <c r="X96" i="1"/>
  <c r="X115" i="1"/>
  <c r="X86" i="1"/>
  <c r="X70" i="1"/>
  <c r="X49" i="1"/>
  <c r="X54" i="1"/>
  <c r="X25" i="1"/>
  <c r="X42" i="1"/>
  <c r="X26" i="1"/>
  <c r="X50" i="1"/>
  <c r="X43" i="1"/>
  <c r="X6" i="1"/>
  <c r="X27" i="1"/>
  <c r="X22" i="1"/>
  <c r="X32" i="1"/>
  <c r="X97" i="1"/>
  <c r="X7" i="1"/>
  <c r="X78" i="1"/>
  <c r="X116" i="1"/>
  <c r="X79" i="1"/>
  <c r="X33" i="1"/>
  <c r="X34" i="1"/>
  <c r="X28" i="1"/>
  <c r="X17" i="1"/>
  <c r="X80" i="1"/>
  <c r="X51" i="1"/>
  <c r="X105" i="1"/>
  <c r="X61" i="1"/>
  <c r="X35" i="1"/>
  <c r="X62" i="1"/>
  <c r="X106" i="1"/>
  <c r="X107" i="1"/>
  <c r="X29" i="1"/>
  <c r="X44" i="1"/>
  <c r="X87" i="1"/>
  <c r="X52" i="1"/>
  <c r="X45" i="1"/>
  <c r="X98" i="1"/>
  <c r="X108" i="1"/>
  <c r="X55" i="1"/>
  <c r="X30" i="1"/>
  <c r="X109" i="1"/>
  <c r="X10" i="1"/>
  <c r="X99" i="1"/>
  <c r="X18" i="1"/>
  <c r="X19" i="1"/>
  <c r="X88" i="1"/>
  <c r="X71" i="1"/>
  <c r="X11" i="1"/>
  <c r="X23" i="1"/>
  <c r="X81" i="1"/>
  <c r="X82" i="1"/>
  <c r="X89" i="1"/>
  <c r="X8" i="1"/>
  <c r="X36" i="1"/>
  <c r="X9" i="1"/>
  <c r="X12" i="1"/>
  <c r="X63" i="1"/>
  <c r="X110" i="1"/>
  <c r="X90" i="1"/>
  <c r="X24" i="1"/>
  <c r="X91" i="1"/>
  <c r="X117" i="1"/>
  <c r="X100" i="1"/>
  <c r="X56" i="1"/>
  <c r="X111" i="1"/>
  <c r="X101" i="1"/>
  <c r="X118" i="1"/>
  <c r="X46" i="1"/>
  <c r="X64" i="1"/>
  <c r="X47" i="1"/>
  <c r="V57" i="1"/>
  <c r="V72" i="1"/>
  <c r="V65" i="1"/>
  <c r="V20" i="1"/>
  <c r="V13" i="1"/>
  <c r="V112" i="1"/>
  <c r="V66" i="1"/>
  <c r="V102" i="1"/>
  <c r="V58" i="1"/>
  <c r="V113" i="1"/>
  <c r="V53" i="1"/>
  <c r="V2" i="1"/>
  <c r="V73" i="1"/>
  <c r="V31" i="1"/>
  <c r="V74" i="1"/>
  <c r="V37" i="1"/>
  <c r="V14" i="1"/>
  <c r="V67" i="1"/>
  <c r="V92" i="1"/>
  <c r="V103" i="1"/>
  <c r="V15" i="1"/>
  <c r="V59" i="1"/>
  <c r="V3" i="1"/>
  <c r="V83" i="1"/>
  <c r="V68" i="1"/>
  <c r="V48" i="1"/>
  <c r="V104" i="1"/>
  <c r="V75" i="1"/>
  <c r="V21" i="1"/>
  <c r="V38" i="1"/>
  <c r="V4" i="1"/>
  <c r="V39" i="1"/>
  <c r="V76" i="1"/>
  <c r="V93" i="1"/>
  <c r="V5" i="1"/>
  <c r="V84" i="1"/>
  <c r="V60" i="1"/>
  <c r="V114" i="1"/>
  <c r="V85" i="1"/>
  <c r="V69" i="1"/>
  <c r="V94" i="1"/>
  <c r="V40" i="1"/>
  <c r="V95" i="1"/>
  <c r="V41" i="1"/>
  <c r="V77" i="1"/>
  <c r="V16" i="1"/>
  <c r="V96" i="1"/>
  <c r="V115" i="1"/>
  <c r="V86" i="1"/>
  <c r="V70" i="1"/>
  <c r="V49" i="1"/>
  <c r="V54" i="1"/>
  <c r="V25" i="1"/>
  <c r="V42" i="1"/>
  <c r="V26" i="1"/>
  <c r="V50" i="1"/>
  <c r="V43" i="1"/>
  <c r="V6" i="1"/>
  <c r="V27" i="1"/>
  <c r="V22" i="1"/>
  <c r="V32" i="1"/>
  <c r="V97" i="1"/>
  <c r="V7" i="1"/>
  <c r="V78" i="1"/>
  <c r="V116" i="1"/>
  <c r="V79" i="1"/>
  <c r="V33" i="1"/>
  <c r="V34" i="1"/>
  <c r="V28" i="1"/>
  <c r="V17" i="1"/>
  <c r="V80" i="1"/>
  <c r="V51" i="1"/>
  <c r="V105" i="1"/>
  <c r="V61" i="1"/>
  <c r="V35" i="1"/>
  <c r="V62" i="1"/>
  <c r="V106" i="1"/>
  <c r="V107" i="1"/>
  <c r="V29" i="1"/>
  <c r="V44" i="1"/>
  <c r="V87" i="1"/>
  <c r="V52" i="1"/>
  <c r="V45" i="1"/>
  <c r="V98" i="1"/>
  <c r="V108" i="1"/>
  <c r="V55" i="1"/>
  <c r="V30" i="1"/>
  <c r="V109" i="1"/>
  <c r="V10" i="1"/>
  <c r="V99" i="1"/>
  <c r="V18" i="1"/>
  <c r="V19" i="1"/>
  <c r="V88" i="1"/>
  <c r="V71" i="1"/>
  <c r="V11" i="1"/>
  <c r="V23" i="1"/>
  <c r="V81" i="1"/>
  <c r="V82" i="1"/>
  <c r="V89" i="1"/>
  <c r="V8" i="1"/>
  <c r="V36" i="1"/>
  <c r="V9" i="1"/>
  <c r="V12" i="1"/>
  <c r="V63" i="1"/>
  <c r="V110" i="1"/>
  <c r="V90" i="1"/>
  <c r="V24" i="1"/>
  <c r="V91" i="1"/>
  <c r="V117" i="1"/>
  <c r="V100" i="1"/>
  <c r="V56" i="1"/>
  <c r="V111" i="1"/>
  <c r="V101" i="1"/>
  <c r="V118" i="1"/>
  <c r="V46" i="1"/>
  <c r="V64" i="1"/>
  <c r="V47" i="1"/>
  <c r="T57" i="1"/>
  <c r="T72" i="1"/>
  <c r="T65" i="1"/>
  <c r="T20" i="1"/>
  <c r="T13" i="1"/>
  <c r="T112" i="1"/>
  <c r="T66" i="1"/>
  <c r="T102" i="1"/>
  <c r="T58" i="1"/>
  <c r="T113" i="1"/>
  <c r="T53" i="1"/>
  <c r="T2" i="1"/>
  <c r="T73" i="1"/>
  <c r="T31" i="1"/>
  <c r="T74" i="1"/>
  <c r="T37" i="1"/>
  <c r="T14" i="1"/>
  <c r="T67" i="1"/>
  <c r="T92" i="1"/>
  <c r="T103" i="1"/>
  <c r="T15" i="1"/>
  <c r="T59" i="1"/>
  <c r="T3" i="1"/>
  <c r="T83" i="1"/>
  <c r="T68" i="1"/>
  <c r="T48" i="1"/>
  <c r="T104" i="1"/>
  <c r="T75" i="1"/>
  <c r="T21" i="1"/>
  <c r="T38" i="1"/>
  <c r="T4" i="1"/>
  <c r="T39" i="1"/>
  <c r="T76" i="1"/>
  <c r="T93" i="1"/>
  <c r="T5" i="1"/>
  <c r="T84" i="1"/>
  <c r="T60" i="1"/>
  <c r="T114" i="1"/>
  <c r="T85" i="1"/>
  <c r="T69" i="1"/>
  <c r="T94" i="1"/>
  <c r="T40" i="1"/>
  <c r="T95" i="1"/>
  <c r="T41" i="1"/>
  <c r="T77" i="1"/>
  <c r="T16" i="1"/>
  <c r="T96" i="1"/>
  <c r="T115" i="1"/>
  <c r="T86" i="1"/>
  <c r="T70" i="1"/>
  <c r="T49" i="1"/>
  <c r="T54" i="1"/>
  <c r="T25" i="1"/>
  <c r="T42" i="1"/>
  <c r="T26" i="1"/>
  <c r="T50" i="1"/>
  <c r="T43" i="1"/>
  <c r="T6" i="1"/>
  <c r="T27" i="1"/>
  <c r="T22" i="1"/>
  <c r="T32" i="1"/>
  <c r="T97" i="1"/>
  <c r="T7" i="1"/>
  <c r="T78" i="1"/>
  <c r="T116" i="1"/>
  <c r="T79" i="1"/>
  <c r="T33" i="1"/>
  <c r="T34" i="1"/>
  <c r="T28" i="1"/>
  <c r="T17" i="1"/>
  <c r="T80" i="1"/>
  <c r="T51" i="1"/>
  <c r="T105" i="1"/>
  <c r="T61" i="1"/>
  <c r="T35" i="1"/>
  <c r="T62" i="1"/>
  <c r="T106" i="1"/>
  <c r="T107" i="1"/>
  <c r="T29" i="1"/>
  <c r="T44" i="1"/>
  <c r="T87" i="1"/>
  <c r="T52" i="1"/>
  <c r="T45" i="1"/>
  <c r="T98" i="1"/>
  <c r="T108" i="1"/>
  <c r="T55" i="1"/>
  <c r="T30" i="1"/>
  <c r="T109" i="1"/>
  <c r="T10" i="1"/>
  <c r="T99" i="1"/>
  <c r="T18" i="1"/>
  <c r="T19" i="1"/>
  <c r="T88" i="1"/>
  <c r="T71" i="1"/>
  <c r="T11" i="1"/>
  <c r="T23" i="1"/>
  <c r="T81" i="1"/>
  <c r="T82" i="1"/>
  <c r="T89" i="1"/>
  <c r="T8" i="1"/>
  <c r="T36" i="1"/>
  <c r="T9" i="1"/>
  <c r="T12" i="1"/>
  <c r="T63" i="1"/>
  <c r="T110" i="1"/>
  <c r="T90" i="1"/>
  <c r="T24" i="1"/>
  <c r="T91" i="1"/>
  <c r="T117" i="1"/>
  <c r="T100" i="1"/>
  <c r="T56" i="1"/>
  <c r="T111" i="1"/>
  <c r="T101" i="1"/>
  <c r="T118" i="1"/>
  <c r="T46" i="1"/>
  <c r="T64" i="1"/>
  <c r="T47" i="1"/>
  <c r="AD57" i="1"/>
  <c r="AD72" i="1"/>
  <c r="AD65" i="1"/>
  <c r="AD20" i="1"/>
  <c r="AD13" i="1"/>
  <c r="AD112" i="1"/>
  <c r="AD66" i="1"/>
  <c r="AD102" i="1"/>
  <c r="AD58" i="1"/>
  <c r="AD113" i="1"/>
  <c r="AD53" i="1"/>
  <c r="AD2" i="1"/>
  <c r="AD73" i="1"/>
  <c r="AD31" i="1"/>
  <c r="AD74" i="1"/>
  <c r="AD37" i="1"/>
  <c r="AD14" i="1"/>
  <c r="AD67" i="1"/>
  <c r="AD92" i="1"/>
  <c r="AD103" i="1"/>
  <c r="AD15" i="1"/>
  <c r="AD59" i="1"/>
  <c r="AD3" i="1"/>
  <c r="AD83" i="1"/>
  <c r="AD68" i="1"/>
  <c r="AD48" i="1"/>
  <c r="AD104" i="1"/>
  <c r="AD75" i="1"/>
  <c r="AD21" i="1"/>
  <c r="AD38" i="1"/>
  <c r="AD4" i="1"/>
  <c r="AD39" i="1"/>
  <c r="AD76" i="1"/>
  <c r="AD93" i="1"/>
  <c r="AD5" i="1"/>
  <c r="AD84" i="1"/>
  <c r="AD60" i="1"/>
  <c r="AD114" i="1"/>
  <c r="AD85" i="1"/>
  <c r="AD69" i="1"/>
  <c r="AD94" i="1"/>
  <c r="AD40" i="1"/>
  <c r="AD95" i="1"/>
  <c r="AD41" i="1"/>
  <c r="AD77" i="1"/>
  <c r="AD16" i="1"/>
  <c r="AD96" i="1"/>
  <c r="AD115" i="1"/>
  <c r="AD86" i="1"/>
  <c r="AD70" i="1"/>
  <c r="AD49" i="1"/>
  <c r="AD54" i="1"/>
  <c r="AD25" i="1"/>
  <c r="AD42" i="1"/>
  <c r="AD26" i="1"/>
  <c r="AD50" i="1"/>
  <c r="AD43" i="1"/>
  <c r="AD6" i="1"/>
  <c r="AD27" i="1"/>
  <c r="AD22" i="1"/>
  <c r="AD32" i="1"/>
  <c r="AD97" i="1"/>
  <c r="AD7" i="1"/>
  <c r="AD78" i="1"/>
  <c r="AD116" i="1"/>
  <c r="AD79" i="1"/>
  <c r="AD33" i="1"/>
  <c r="AD34" i="1"/>
  <c r="AD28" i="1"/>
  <c r="AD17" i="1"/>
  <c r="AD80" i="1"/>
  <c r="AD51" i="1"/>
  <c r="AD105" i="1"/>
  <c r="AD61" i="1"/>
  <c r="AD35" i="1"/>
  <c r="AD62" i="1"/>
  <c r="AD106" i="1"/>
  <c r="AD107" i="1"/>
  <c r="AD29" i="1"/>
  <c r="AD44" i="1"/>
  <c r="AD87" i="1"/>
  <c r="AD52" i="1"/>
  <c r="AD45" i="1"/>
  <c r="AD98" i="1"/>
  <c r="AD108" i="1"/>
  <c r="AD55" i="1"/>
  <c r="AD30" i="1"/>
  <c r="AD109" i="1"/>
  <c r="AD10" i="1"/>
  <c r="AD99" i="1"/>
  <c r="AD18" i="1"/>
  <c r="AD19" i="1"/>
  <c r="AD88" i="1"/>
  <c r="AD71" i="1"/>
  <c r="AD11" i="1"/>
  <c r="AD23" i="1"/>
  <c r="AD81" i="1"/>
  <c r="AD82" i="1"/>
  <c r="AD89" i="1"/>
  <c r="AD8" i="1"/>
  <c r="AD36" i="1"/>
  <c r="AD9" i="1"/>
  <c r="AD12" i="1"/>
  <c r="AD63" i="1"/>
  <c r="AD110" i="1"/>
  <c r="AD90" i="1"/>
  <c r="AD24" i="1"/>
  <c r="AD91" i="1"/>
  <c r="AD117" i="1"/>
  <c r="AD100" i="1"/>
  <c r="AD56" i="1"/>
  <c r="AD111" i="1"/>
  <c r="AD101" i="1"/>
  <c r="AD118" i="1"/>
  <c r="AD46" i="1"/>
  <c r="AD64" i="1"/>
  <c r="AD47" i="1"/>
  <c r="AF57" i="1"/>
  <c r="AF72" i="1"/>
  <c r="AF65" i="1"/>
  <c r="AF20" i="1"/>
  <c r="AF13" i="1"/>
  <c r="AF112" i="1"/>
  <c r="AF66" i="1"/>
  <c r="AF102" i="1"/>
  <c r="AF58" i="1"/>
  <c r="AF113" i="1"/>
  <c r="AF53" i="1"/>
  <c r="AF2" i="1"/>
  <c r="AF73" i="1"/>
  <c r="AF31" i="1"/>
  <c r="AF74" i="1"/>
  <c r="AF37" i="1"/>
  <c r="AF14" i="1"/>
  <c r="AF67" i="1"/>
  <c r="AF92" i="1"/>
  <c r="AF103" i="1"/>
  <c r="AF15" i="1"/>
  <c r="AF59" i="1"/>
  <c r="AF3" i="1"/>
  <c r="AF83" i="1"/>
  <c r="AF68" i="1"/>
  <c r="AF48" i="1"/>
  <c r="AF104" i="1"/>
  <c r="AF75" i="1"/>
  <c r="AF21" i="1"/>
  <c r="AF38" i="1"/>
  <c r="AF4" i="1"/>
  <c r="AF39" i="1"/>
  <c r="AF76" i="1"/>
  <c r="AF93" i="1"/>
  <c r="AF5" i="1"/>
  <c r="AF84" i="1"/>
  <c r="AF60" i="1"/>
  <c r="AF114" i="1"/>
  <c r="AF85" i="1"/>
  <c r="AF69" i="1"/>
  <c r="AF94" i="1"/>
  <c r="AF40" i="1"/>
  <c r="AF95" i="1"/>
  <c r="AF41" i="1"/>
  <c r="AF77" i="1"/>
  <c r="AF16" i="1"/>
  <c r="AF96" i="1"/>
  <c r="AF115" i="1"/>
  <c r="AF86" i="1"/>
  <c r="AF70" i="1"/>
  <c r="AF49" i="1"/>
  <c r="AF54" i="1"/>
  <c r="AF25" i="1"/>
  <c r="AF42" i="1"/>
  <c r="AF26" i="1"/>
  <c r="AF50" i="1"/>
  <c r="AF43" i="1"/>
  <c r="AF6" i="1"/>
  <c r="AF27" i="1"/>
  <c r="AF22" i="1"/>
  <c r="AF32" i="1"/>
  <c r="AF97" i="1"/>
  <c r="AF7" i="1"/>
  <c r="AF78" i="1"/>
  <c r="AF116" i="1"/>
  <c r="AF79" i="1"/>
  <c r="AF33" i="1"/>
  <c r="AF34" i="1"/>
  <c r="AF28" i="1"/>
  <c r="AF17" i="1"/>
  <c r="AF80" i="1"/>
  <c r="AF51" i="1"/>
  <c r="AF105" i="1"/>
  <c r="AF61" i="1"/>
  <c r="AF35" i="1"/>
  <c r="AF62" i="1"/>
  <c r="AF106" i="1"/>
  <c r="AF107" i="1"/>
  <c r="AF29" i="1"/>
  <c r="AF44" i="1"/>
  <c r="AF87" i="1"/>
  <c r="AF52" i="1"/>
  <c r="AF45" i="1"/>
  <c r="AF98" i="1"/>
  <c r="AF108" i="1"/>
  <c r="AF55" i="1"/>
  <c r="AF30" i="1"/>
  <c r="AF109" i="1"/>
  <c r="AF10" i="1"/>
  <c r="AF99" i="1"/>
  <c r="AF18" i="1"/>
  <c r="AF19" i="1"/>
  <c r="AF88" i="1"/>
  <c r="AF71" i="1"/>
  <c r="AF11" i="1"/>
  <c r="AF23" i="1"/>
  <c r="AF81" i="1"/>
  <c r="AF82" i="1"/>
  <c r="AF89" i="1"/>
  <c r="AF8" i="1"/>
  <c r="AF36" i="1"/>
  <c r="AF9" i="1"/>
  <c r="AF12" i="1"/>
  <c r="AF63" i="1"/>
  <c r="AF110" i="1"/>
  <c r="AF90" i="1"/>
  <c r="AF24" i="1"/>
  <c r="AF91" i="1"/>
  <c r="AF117" i="1"/>
  <c r="AF100" i="1"/>
  <c r="AF56" i="1"/>
  <c r="AF111" i="1"/>
  <c r="AF101" i="1"/>
  <c r="AF118" i="1"/>
  <c r="AF46" i="1"/>
  <c r="AF64" i="1"/>
  <c r="AF47" i="1"/>
  <c r="AH57" i="1"/>
  <c r="AH72" i="1"/>
  <c r="AH65" i="1"/>
  <c r="AH20" i="1"/>
  <c r="AH13" i="1"/>
  <c r="AH112" i="1"/>
  <c r="AH66" i="1"/>
  <c r="AH102" i="1"/>
  <c r="AH58" i="1"/>
  <c r="AH113" i="1"/>
  <c r="AH53" i="1"/>
  <c r="AH2" i="1"/>
  <c r="AH73" i="1"/>
  <c r="AH31" i="1"/>
  <c r="AH74" i="1"/>
  <c r="AH37" i="1"/>
  <c r="AH14" i="1"/>
  <c r="AH67" i="1"/>
  <c r="AH92" i="1"/>
  <c r="AH103" i="1"/>
  <c r="AH15" i="1"/>
  <c r="AH59" i="1"/>
  <c r="AH3" i="1"/>
  <c r="AH83" i="1"/>
  <c r="AH68" i="1"/>
  <c r="AH48" i="1"/>
  <c r="AH104" i="1"/>
  <c r="AH75" i="1"/>
  <c r="AH21" i="1"/>
  <c r="AH38" i="1"/>
  <c r="AH4" i="1"/>
  <c r="AH39" i="1"/>
  <c r="AH76" i="1"/>
  <c r="AH93" i="1"/>
  <c r="AH5" i="1"/>
  <c r="AH84" i="1"/>
  <c r="AH60" i="1"/>
  <c r="AH114" i="1"/>
  <c r="AH85" i="1"/>
  <c r="AH69" i="1"/>
  <c r="AH94" i="1"/>
  <c r="AH40" i="1"/>
  <c r="AH95" i="1"/>
  <c r="AH41" i="1"/>
  <c r="AH77" i="1"/>
  <c r="AH16" i="1"/>
  <c r="AH96" i="1"/>
  <c r="AH115" i="1"/>
  <c r="AH86" i="1"/>
  <c r="AH70" i="1"/>
  <c r="AH49" i="1"/>
  <c r="AH54" i="1"/>
  <c r="AH25" i="1"/>
  <c r="AH42" i="1"/>
  <c r="AH26" i="1"/>
  <c r="AH50" i="1"/>
  <c r="AH43" i="1"/>
  <c r="AH6" i="1"/>
  <c r="AH27" i="1"/>
  <c r="AH22" i="1"/>
  <c r="AH32" i="1"/>
  <c r="AH97" i="1"/>
  <c r="AH7" i="1"/>
  <c r="AH78" i="1"/>
  <c r="AH116" i="1"/>
  <c r="AH79" i="1"/>
  <c r="AH33" i="1"/>
  <c r="AH34" i="1"/>
  <c r="AH28" i="1"/>
  <c r="AH17" i="1"/>
  <c r="AH80" i="1"/>
  <c r="AH51" i="1"/>
  <c r="AH105" i="1"/>
  <c r="AH61" i="1"/>
  <c r="AH35" i="1"/>
  <c r="AH62" i="1"/>
  <c r="AH106" i="1"/>
  <c r="AH107" i="1"/>
  <c r="AH29" i="1"/>
  <c r="AH44" i="1"/>
  <c r="AH87" i="1"/>
  <c r="AH52" i="1"/>
  <c r="AH45" i="1"/>
  <c r="AH98" i="1"/>
  <c r="AH108" i="1"/>
  <c r="AH55" i="1"/>
  <c r="AH30" i="1"/>
  <c r="AH109" i="1"/>
  <c r="AH10" i="1"/>
  <c r="AH99" i="1"/>
  <c r="AH18" i="1"/>
  <c r="AH19" i="1"/>
  <c r="AH88" i="1"/>
  <c r="AH71" i="1"/>
  <c r="AH11" i="1"/>
  <c r="AH23" i="1"/>
  <c r="AH81" i="1"/>
  <c r="AH82" i="1"/>
  <c r="AH89" i="1"/>
  <c r="AH8" i="1"/>
  <c r="AH36" i="1"/>
  <c r="AH9" i="1"/>
  <c r="AH12" i="1"/>
  <c r="AH63" i="1"/>
  <c r="AH110" i="1"/>
  <c r="AH90" i="1"/>
  <c r="AH24" i="1"/>
  <c r="AH91" i="1"/>
  <c r="AH117" i="1"/>
  <c r="AH100" i="1"/>
  <c r="AH56" i="1"/>
  <c r="AH111" i="1"/>
  <c r="AH101" i="1"/>
  <c r="AH118" i="1"/>
  <c r="AH46" i="1"/>
  <c r="AH64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M23" i="1"/>
  <c r="M14" i="1"/>
  <c r="M3" i="1"/>
  <c r="M47" i="1"/>
  <c r="M58" i="1"/>
  <c r="M101" i="1"/>
  <c r="M103" i="1"/>
  <c r="M108" i="1"/>
  <c r="M86" i="1"/>
  <c r="M104" i="1"/>
  <c r="M88" i="1"/>
  <c r="M56" i="1"/>
  <c r="M39" i="1"/>
  <c r="M97" i="1"/>
  <c r="M94" i="1"/>
  <c r="M75" i="1"/>
  <c r="M60" i="1"/>
  <c r="M31" i="1"/>
  <c r="M35" i="1"/>
  <c r="K102" i="1"/>
  <c r="H102" i="1" s="1"/>
  <c r="K110" i="1"/>
  <c r="J110" i="1"/>
  <c r="I110" i="1"/>
  <c r="K107" i="1"/>
  <c r="J107" i="1"/>
  <c r="I107" i="1"/>
  <c r="K111" i="1"/>
  <c r="H111" i="1" s="1"/>
  <c r="K108" i="1"/>
  <c r="J108" i="1"/>
  <c r="I108" i="1"/>
  <c r="K100" i="1"/>
  <c r="J100" i="1"/>
  <c r="I100" i="1"/>
  <c r="K98" i="1"/>
  <c r="J98" i="1"/>
  <c r="I98" i="1"/>
  <c r="K95" i="1"/>
  <c r="J95" i="1"/>
  <c r="I95" i="1"/>
  <c r="K99" i="1"/>
  <c r="J99" i="1"/>
  <c r="I99" i="1"/>
  <c r="K96" i="1"/>
  <c r="I96" i="1"/>
  <c r="J96" i="1"/>
  <c r="K97" i="1"/>
  <c r="J97" i="1"/>
  <c r="I97" i="1"/>
  <c r="K94" i="1"/>
  <c r="J94" i="1"/>
  <c r="I94" i="1"/>
  <c r="K87" i="1"/>
  <c r="J87" i="1"/>
  <c r="I87" i="1"/>
  <c r="I85" i="1"/>
  <c r="J85" i="1"/>
  <c r="K85" i="1"/>
  <c r="I89" i="1"/>
  <c r="J89" i="1"/>
  <c r="K89" i="1"/>
  <c r="K84" i="1"/>
  <c r="J84" i="1"/>
  <c r="I84" i="1"/>
  <c r="K86" i="1"/>
  <c r="H86" i="1" s="1"/>
  <c r="K79" i="1"/>
  <c r="J79" i="1"/>
  <c r="I79" i="1"/>
  <c r="K80" i="1"/>
  <c r="J80" i="1"/>
  <c r="I80" i="1"/>
  <c r="K76" i="1"/>
  <c r="J76" i="1"/>
  <c r="I76" i="1"/>
  <c r="I73" i="1"/>
  <c r="K73" i="1"/>
  <c r="J73" i="1"/>
  <c r="K77" i="1"/>
  <c r="J77" i="1"/>
  <c r="I77" i="1"/>
  <c r="K78" i="1"/>
  <c r="J78" i="1"/>
  <c r="I78" i="1"/>
  <c r="I74" i="1"/>
  <c r="K74" i="1"/>
  <c r="J74" i="1"/>
  <c r="K81" i="1"/>
  <c r="J81" i="1"/>
  <c r="I81" i="1"/>
  <c r="K69" i="1"/>
  <c r="J69" i="1"/>
  <c r="I69" i="1"/>
  <c r="K66" i="1"/>
  <c r="J66" i="1"/>
  <c r="I66" i="1"/>
  <c r="K62" i="1"/>
  <c r="I62" i="1"/>
  <c r="J62" i="1"/>
  <c r="K71" i="1"/>
  <c r="H71" i="1" s="1"/>
  <c r="K57" i="1"/>
  <c r="J57" i="1"/>
  <c r="I57" i="1"/>
  <c r="K64" i="1"/>
  <c r="H64" i="1" s="1"/>
  <c r="K60" i="1"/>
  <c r="I60" i="1"/>
  <c r="L60" i="1" s="1"/>
  <c r="K53" i="1"/>
  <c r="J53" i="1"/>
  <c r="I53" i="1"/>
  <c r="K56" i="1"/>
  <c r="J56" i="1"/>
  <c r="I56" i="1"/>
  <c r="K47" i="1"/>
  <c r="H47" i="1" s="1"/>
  <c r="K50" i="1"/>
  <c r="J50" i="1"/>
  <c r="I50" i="1"/>
  <c r="K51" i="1"/>
  <c r="H51" i="1" s="1"/>
  <c r="K37" i="1"/>
  <c r="J37" i="1"/>
  <c r="I37" i="1"/>
  <c r="K40" i="1"/>
  <c r="J40" i="1"/>
  <c r="I40" i="1"/>
  <c r="K42" i="1"/>
  <c r="J42" i="1"/>
  <c r="I42" i="1"/>
  <c r="K43" i="1"/>
  <c r="J43" i="1"/>
  <c r="I43" i="1"/>
  <c r="L38" i="1"/>
  <c r="K38" i="1"/>
  <c r="H38" i="1" s="1"/>
  <c r="I44" i="1"/>
  <c r="K44" i="1"/>
  <c r="J44" i="1"/>
  <c r="K41" i="1"/>
  <c r="J41" i="1"/>
  <c r="I41" i="1"/>
  <c r="B98" i="1"/>
  <c r="K45" i="1"/>
  <c r="J45" i="1"/>
  <c r="I45" i="1"/>
  <c r="J39" i="1"/>
  <c r="L39" i="1" s="1"/>
  <c r="I36" i="1"/>
  <c r="J36" i="1"/>
  <c r="K36" i="1"/>
  <c r="J34" i="1"/>
  <c r="I34" i="1"/>
  <c r="K31" i="1"/>
  <c r="J31" i="1"/>
  <c r="I31" i="1"/>
  <c r="K35" i="1"/>
  <c r="J35" i="1"/>
  <c r="I35" i="1"/>
  <c r="H32" i="1"/>
  <c r="K28" i="1"/>
  <c r="J28" i="1"/>
  <c r="I28" i="1"/>
  <c r="K27" i="1"/>
  <c r="J27" i="1"/>
  <c r="I27" i="1"/>
  <c r="K18" i="1"/>
  <c r="J18" i="1"/>
  <c r="I18" i="1"/>
  <c r="K25" i="1"/>
  <c r="J25" i="1"/>
  <c r="I25" i="1"/>
  <c r="I22" i="1"/>
  <c r="J22" i="1"/>
  <c r="K22" i="1"/>
  <c r="K21" i="1"/>
  <c r="J21" i="1"/>
  <c r="J16" i="1"/>
  <c r="K16" i="1"/>
  <c r="I16" i="1"/>
  <c r="K13" i="1"/>
  <c r="J13" i="1"/>
  <c r="I13" i="1"/>
  <c r="J12" i="1"/>
  <c r="I12" i="1"/>
  <c r="K12" i="1"/>
  <c r="I10" i="1"/>
  <c r="J10" i="1"/>
  <c r="K10" i="1"/>
  <c r="K11" i="1"/>
  <c r="J11" i="1"/>
  <c r="I11" i="1"/>
  <c r="I4" i="1"/>
  <c r="J4" i="1"/>
  <c r="K4" i="1"/>
  <c r="K2" i="1"/>
  <c r="J2" i="1"/>
  <c r="I2" i="1"/>
  <c r="L7" i="1"/>
  <c r="L6" i="1"/>
  <c r="L14" i="1"/>
  <c r="L17" i="1"/>
  <c r="L15" i="1"/>
  <c r="L19" i="1"/>
  <c r="L23" i="1"/>
  <c r="L20" i="1"/>
  <c r="L24" i="1"/>
  <c r="L29" i="1"/>
  <c r="L26" i="1"/>
  <c r="L30" i="1"/>
  <c r="L32" i="1"/>
  <c r="L33" i="1"/>
  <c r="L46" i="1"/>
  <c r="L52" i="1"/>
  <c r="L51" i="1"/>
  <c r="L49" i="1"/>
  <c r="L47" i="1"/>
  <c r="L48" i="1"/>
  <c r="L55" i="1"/>
  <c r="L54" i="1"/>
  <c r="L65" i="1"/>
  <c r="L64" i="1"/>
  <c r="L59" i="1"/>
  <c r="L63" i="1"/>
  <c r="L71" i="1"/>
  <c r="L58" i="1"/>
  <c r="L61" i="1"/>
  <c r="L68" i="1"/>
  <c r="L67" i="1"/>
  <c r="L70" i="1"/>
  <c r="L75" i="1"/>
  <c r="L72" i="1"/>
  <c r="L82" i="1"/>
  <c r="L88" i="1"/>
  <c r="L86" i="1"/>
  <c r="L90" i="1"/>
  <c r="L83" i="1"/>
  <c r="L91" i="1"/>
  <c r="L93" i="1"/>
  <c r="L101" i="1"/>
  <c r="L92" i="1"/>
  <c r="L105" i="1"/>
  <c r="L103" i="1"/>
  <c r="L104" i="1"/>
  <c r="L111" i="1"/>
  <c r="L109" i="1"/>
  <c r="L106" i="1"/>
  <c r="L102" i="1"/>
  <c r="L118" i="1"/>
  <c r="L112" i="1"/>
  <c r="L114" i="1"/>
  <c r="L115" i="1"/>
  <c r="L117" i="1"/>
  <c r="L116" i="1"/>
  <c r="L113" i="1"/>
  <c r="H7" i="1"/>
  <c r="H6" i="1"/>
  <c r="H14" i="1"/>
  <c r="H17" i="1"/>
  <c r="H15" i="1"/>
  <c r="H19" i="1"/>
  <c r="H23" i="1"/>
  <c r="H20" i="1"/>
  <c r="H24" i="1"/>
  <c r="H29" i="1"/>
  <c r="H26" i="1"/>
  <c r="H30" i="1"/>
  <c r="H33" i="1"/>
  <c r="H46" i="1"/>
  <c r="H52" i="1"/>
  <c r="H49" i="1"/>
  <c r="H48" i="1"/>
  <c r="H55" i="1"/>
  <c r="H54" i="1"/>
  <c r="H65" i="1"/>
  <c r="H59" i="1"/>
  <c r="H63" i="1"/>
  <c r="H58" i="1"/>
  <c r="H61" i="1"/>
  <c r="H68" i="1"/>
  <c r="H67" i="1"/>
  <c r="H70" i="1"/>
  <c r="H75" i="1"/>
  <c r="H72" i="1"/>
  <c r="H82" i="1"/>
  <c r="H88" i="1"/>
  <c r="H90" i="1"/>
  <c r="H83" i="1"/>
  <c r="H91" i="1"/>
  <c r="H93" i="1"/>
  <c r="H101" i="1"/>
  <c r="H92" i="1"/>
  <c r="H105" i="1"/>
  <c r="H103" i="1"/>
  <c r="H104" i="1"/>
  <c r="H109" i="1"/>
  <c r="H106" i="1"/>
  <c r="H118" i="1"/>
  <c r="H112" i="1"/>
  <c r="H114" i="1"/>
  <c r="H115" i="1"/>
  <c r="H117" i="1"/>
  <c r="H116" i="1"/>
  <c r="H113" i="1"/>
  <c r="H8" i="1"/>
  <c r="L8" i="1"/>
  <c r="K9" i="1"/>
  <c r="J9" i="1"/>
  <c r="I9" i="1"/>
  <c r="O80" i="1"/>
  <c r="O2" i="1"/>
  <c r="N98" i="8" l="1"/>
  <c r="N90" i="8"/>
  <c r="N82" i="8"/>
  <c r="N74" i="8"/>
  <c r="N66" i="8"/>
  <c r="N58" i="8"/>
  <c r="N50" i="8"/>
  <c r="N42" i="8"/>
  <c r="N34" i="8"/>
  <c r="N26" i="8"/>
  <c r="N18" i="8"/>
  <c r="N10" i="8"/>
  <c r="N2" i="8"/>
  <c r="O10" i="8"/>
  <c r="V65" i="8"/>
  <c r="V61" i="8"/>
  <c r="V102" i="8"/>
  <c r="O64" i="8"/>
  <c r="BD64" i="8"/>
  <c r="AQ64" i="8"/>
  <c r="V90" i="8"/>
  <c r="V71" i="8"/>
  <c r="AQ10" i="8"/>
  <c r="BD10" i="8"/>
  <c r="AQ8" i="8"/>
  <c r="BD8" i="8"/>
  <c r="AQ5" i="8"/>
  <c r="BD5" i="8"/>
  <c r="BD105" i="8"/>
  <c r="AQ105" i="8"/>
  <c r="BD9" i="8"/>
  <c r="BD2" i="8"/>
  <c r="AQ11" i="8"/>
  <c r="AQ9" i="8"/>
  <c r="AQ2" i="8"/>
  <c r="BD11" i="8"/>
  <c r="AQ7" i="8"/>
  <c r="BD7" i="8"/>
  <c r="AQ4" i="8"/>
  <c r="BD4" i="8"/>
  <c r="AQ6" i="8"/>
  <c r="AQ3" i="8"/>
  <c r="BD3" i="8"/>
  <c r="BD6" i="8"/>
  <c r="S84" i="8"/>
  <c r="V103" i="8"/>
  <c r="V91" i="8"/>
  <c r="V82" i="8"/>
  <c r="V74" i="8"/>
  <c r="V62" i="8"/>
  <c r="V49" i="8"/>
  <c r="V36" i="8"/>
  <c r="V25" i="8"/>
  <c r="W103" i="8"/>
  <c r="V101" i="8"/>
  <c r="V89" i="8"/>
  <c r="V80" i="8"/>
  <c r="V70" i="8"/>
  <c r="V60" i="8"/>
  <c r="V45" i="8"/>
  <c r="V33" i="8"/>
  <c r="V22" i="8"/>
  <c r="O84" i="8"/>
  <c r="V97" i="8"/>
  <c r="V88" i="8"/>
  <c r="V79" i="8"/>
  <c r="V69" i="8"/>
  <c r="V59" i="8"/>
  <c r="V44" i="8"/>
  <c r="V32" i="8"/>
  <c r="V19" i="8"/>
  <c r="V95" i="8"/>
  <c r="V87" i="8"/>
  <c r="V78" i="8"/>
  <c r="V68" i="8"/>
  <c r="V58" i="8"/>
  <c r="V42" i="8"/>
  <c r="V30" i="8"/>
  <c r="V18" i="8"/>
  <c r="V94" i="8"/>
  <c r="V86" i="8"/>
  <c r="V77" i="8"/>
  <c r="V67" i="8"/>
  <c r="V57" i="8"/>
  <c r="V41" i="8"/>
  <c r="V28" i="8"/>
  <c r="V17" i="8"/>
  <c r="V93" i="8"/>
  <c r="V85" i="8"/>
  <c r="V76" i="8"/>
  <c r="V55" i="8"/>
  <c r="V40" i="8"/>
  <c r="V27" i="8"/>
  <c r="V16" i="8"/>
  <c r="V104" i="8"/>
  <c r="V92" i="8"/>
  <c r="V84" i="8"/>
  <c r="V75" i="8"/>
  <c r="V63" i="8"/>
  <c r="V50" i="8"/>
  <c r="V38" i="8"/>
  <c r="V26" i="8"/>
  <c r="V15" i="8"/>
  <c r="AQ84" i="8"/>
  <c r="BD84" i="8"/>
  <c r="O13" i="8"/>
  <c r="AQ100" i="8"/>
  <c r="AQ92" i="8"/>
  <c r="AQ83" i="8"/>
  <c r="AQ75" i="8"/>
  <c r="AQ67" i="8"/>
  <c r="AQ58" i="8"/>
  <c r="AQ50" i="8"/>
  <c r="AQ34" i="8"/>
  <c r="AQ26" i="8"/>
  <c r="AQ18" i="8"/>
  <c r="AQ103" i="8"/>
  <c r="AQ95" i="8"/>
  <c r="AQ87" i="8"/>
  <c r="AQ78" i="8"/>
  <c r="AQ70" i="8"/>
  <c r="AQ61" i="8"/>
  <c r="AQ53" i="8"/>
  <c r="AQ37" i="8"/>
  <c r="AQ29" i="8"/>
  <c r="AQ21" i="8"/>
  <c r="AQ13" i="8"/>
  <c r="AQ45" i="8"/>
  <c r="AQ101" i="8"/>
  <c r="AQ93" i="8"/>
  <c r="AQ85" i="8"/>
  <c r="AQ76" i="8"/>
  <c r="AQ68" i="8"/>
  <c r="AQ59" i="8"/>
  <c r="AQ51" i="8"/>
  <c r="AQ35" i="8"/>
  <c r="AQ27" i="8"/>
  <c r="AQ19" i="8"/>
  <c r="AQ98" i="8"/>
  <c r="AQ90" i="8"/>
  <c r="AQ81" i="8"/>
  <c r="AQ73" i="8"/>
  <c r="AQ65" i="8"/>
  <c r="AQ56" i="8"/>
  <c r="AQ48" i="8"/>
  <c r="AQ32" i="8"/>
  <c r="AQ24" i="8"/>
  <c r="AQ16" i="8"/>
  <c r="AQ97" i="8"/>
  <c r="AQ72" i="8"/>
  <c r="AQ63" i="8"/>
  <c r="AQ47" i="8"/>
  <c r="AQ39" i="8"/>
  <c r="AQ31" i="8"/>
  <c r="AQ23" i="8"/>
  <c r="AQ15" i="8"/>
  <c r="AQ89" i="8"/>
  <c r="AQ80" i="8"/>
  <c r="AQ55" i="8"/>
  <c r="AQ104" i="8"/>
  <c r="AQ96" i="8"/>
  <c r="AQ88" i="8"/>
  <c r="AQ79" i="8"/>
  <c r="AQ71" i="8"/>
  <c r="AQ62" i="8"/>
  <c r="AQ54" i="8"/>
  <c r="AQ46" i="8"/>
  <c r="AQ38" i="8"/>
  <c r="AQ30" i="8"/>
  <c r="AQ22" i="8"/>
  <c r="AQ14" i="8"/>
  <c r="AQ40" i="8"/>
  <c r="AQ43" i="8"/>
  <c r="AQ102" i="8"/>
  <c r="AQ94" i="8"/>
  <c r="AQ86" i="8"/>
  <c r="AQ77" i="8"/>
  <c r="AQ69" i="8"/>
  <c r="AQ60" i="8"/>
  <c r="AQ52" i="8"/>
  <c r="AQ44" i="8"/>
  <c r="AQ36" i="8"/>
  <c r="AQ28" i="8"/>
  <c r="AQ20" i="8"/>
  <c r="AQ12" i="8"/>
  <c r="AQ42" i="8"/>
  <c r="AQ99" i="8"/>
  <c r="AQ91" i="8"/>
  <c r="AQ82" i="8"/>
  <c r="AQ74" i="8"/>
  <c r="AQ66" i="8"/>
  <c r="AQ57" i="8"/>
  <c r="AQ49" i="8"/>
  <c r="AQ41" i="8"/>
  <c r="AQ33" i="8"/>
  <c r="AQ25" i="8"/>
  <c r="AQ17" i="8"/>
  <c r="BD79" i="8"/>
  <c r="BD52" i="8"/>
  <c r="BD59" i="8"/>
  <c r="BD50" i="8"/>
  <c r="BD75" i="8"/>
  <c r="BD76" i="8"/>
  <c r="BD77" i="8"/>
  <c r="BD78" i="8"/>
  <c r="BD86" i="8"/>
  <c r="BD45" i="8"/>
  <c r="BD46" i="8"/>
  <c r="BD91" i="8"/>
  <c r="BD15" i="8"/>
  <c r="BD16" i="8"/>
  <c r="BD17" i="8"/>
  <c r="BD85" i="8"/>
  <c r="BD61" i="8"/>
  <c r="BD23" i="8"/>
  <c r="BD27" i="8"/>
  <c r="BD39" i="8"/>
  <c r="BD41" i="8"/>
  <c r="BD104" i="8"/>
  <c r="BD98" i="8"/>
  <c r="BD89" i="8"/>
  <c r="BD80" i="8"/>
  <c r="BD81" i="8"/>
  <c r="BD49" i="8"/>
  <c r="BD36" i="8"/>
  <c r="BD32" i="8"/>
  <c r="BD72" i="8"/>
  <c r="BD73" i="8"/>
  <c r="BD74" i="8"/>
  <c r="BD87" i="8"/>
  <c r="BD19" i="8"/>
  <c r="BD24" i="8"/>
  <c r="BD34" i="8"/>
  <c r="BD40" i="8"/>
  <c r="BD82" i="8"/>
  <c r="BD18" i="8"/>
  <c r="BD26" i="8"/>
  <c r="BD31" i="8"/>
  <c r="BD33" i="8"/>
  <c r="BD53" i="8"/>
  <c r="BD62" i="8"/>
  <c r="BD68" i="8"/>
  <c r="BD83" i="8"/>
  <c r="BD54" i="8"/>
  <c r="BD20" i="8"/>
  <c r="BD35" i="8"/>
  <c r="BD55" i="8"/>
  <c r="BD56" i="8"/>
  <c r="BD90" i="8"/>
  <c r="BD13" i="8"/>
  <c r="BD12" i="8"/>
  <c r="BD14" i="8"/>
  <c r="BD21" i="8"/>
  <c r="BD44" i="8"/>
  <c r="BD57" i="8"/>
  <c r="BD58" i="8"/>
  <c r="BD63" i="8"/>
  <c r="BD42" i="8"/>
  <c r="BD43" i="8"/>
  <c r="BD47" i="8"/>
  <c r="BD60" i="8"/>
  <c r="BD65" i="8"/>
  <c r="BD88" i="8"/>
  <c r="BD22" i="8"/>
  <c r="BD25" i="8"/>
  <c r="BD29" i="8"/>
  <c r="BD37" i="8"/>
  <c r="BD38" i="8"/>
  <c r="BD51" i="8"/>
  <c r="BD66" i="8"/>
  <c r="BD67" i="8"/>
  <c r="BD28" i="8"/>
  <c r="BD30" i="8"/>
  <c r="BD48" i="8"/>
  <c r="BD69" i="8"/>
  <c r="BD70" i="8"/>
  <c r="BD71" i="8"/>
  <c r="BD92" i="8"/>
  <c r="BD94" i="8"/>
  <c r="BD95" i="8"/>
  <c r="BD99" i="8"/>
  <c r="BD93" i="8"/>
  <c r="BD96" i="8"/>
  <c r="BD100" i="8"/>
  <c r="BD101" i="8"/>
  <c r="BD97" i="8"/>
  <c r="BD102" i="8"/>
  <c r="BD103" i="8"/>
  <c r="S50" i="8"/>
  <c r="S99" i="8"/>
  <c r="S36" i="8"/>
  <c r="S49" i="8"/>
  <c r="S43" i="8"/>
  <c r="S18" i="8"/>
  <c r="S30" i="8"/>
  <c r="S35" i="8"/>
  <c r="S87" i="8"/>
  <c r="S21" i="8"/>
  <c r="S68" i="8"/>
  <c r="S85" i="8"/>
  <c r="S57" i="8"/>
  <c r="O29" i="8"/>
  <c r="O43" i="8"/>
  <c r="O44" i="8"/>
  <c r="O11" i="8"/>
  <c r="S20" i="8"/>
  <c r="O42" i="8"/>
  <c r="S62" i="8"/>
  <c r="S82" i="8"/>
  <c r="S90" i="8"/>
  <c r="S93" i="8"/>
  <c r="S19" i="8"/>
  <c r="O24" i="8"/>
  <c r="O35" i="8"/>
  <c r="S72" i="8"/>
  <c r="O85" i="8"/>
  <c r="O99" i="8"/>
  <c r="O50" i="8"/>
  <c r="S79" i="8"/>
  <c r="S29" i="8"/>
  <c r="O51" i="8"/>
  <c r="S51" i="8"/>
  <c r="O45" i="8"/>
  <c r="O83" i="8"/>
  <c r="S83" i="8"/>
  <c r="S48" i="8"/>
  <c r="O48" i="8"/>
  <c r="O72" i="8"/>
  <c r="O86" i="8"/>
  <c r="S44" i="8"/>
  <c r="O57" i="8"/>
  <c r="O81" i="8"/>
  <c r="O98" i="8"/>
  <c r="O52" i="8"/>
  <c r="S13" i="8"/>
  <c r="S39" i="8"/>
  <c r="S45" i="8"/>
  <c r="O66" i="8"/>
  <c r="S75" i="8"/>
  <c r="O26" i="8"/>
  <c r="S11" i="8"/>
  <c r="S24" i="8"/>
  <c r="S98" i="8"/>
  <c r="O20" i="8"/>
  <c r="O30" i="8"/>
  <c r="S42" i="8"/>
  <c r="O79" i="8"/>
  <c r="S81" i="8"/>
  <c r="S86" i="8"/>
  <c r="O93" i="8"/>
  <c r="O33" i="8"/>
  <c r="S52" i="8"/>
  <c r="O18" i="8"/>
  <c r="O68" i="8"/>
  <c r="O75" i="8"/>
  <c r="O82" i="8"/>
  <c r="O90" i="8"/>
  <c r="O19" i="8"/>
  <c r="O21" i="8"/>
  <c r="S26" i="8"/>
  <c r="S33" i="8"/>
  <c r="O36" i="8"/>
  <c r="O39" i="8"/>
  <c r="O47" i="8"/>
  <c r="O49" i="8"/>
  <c r="O62" i="8"/>
  <c r="O87" i="8"/>
  <c r="AV113" i="1"/>
  <c r="AV105" i="1"/>
  <c r="AV97" i="1"/>
  <c r="AV89" i="1"/>
  <c r="AV81" i="1"/>
  <c r="AV73" i="1"/>
  <c r="AV65" i="1"/>
  <c r="AV57" i="1"/>
  <c r="AV49" i="1"/>
  <c r="AV41" i="1"/>
  <c r="AV33" i="1"/>
  <c r="AV25" i="1"/>
  <c r="AV17" i="1"/>
  <c r="AV9" i="1"/>
  <c r="AV118" i="1"/>
  <c r="AV110" i="1"/>
  <c r="AV102" i="1"/>
  <c r="AV94" i="1"/>
  <c r="AV86" i="1"/>
  <c r="AV78" i="1"/>
  <c r="AV70" i="1"/>
  <c r="AV62" i="1"/>
  <c r="AV54" i="1"/>
  <c r="AV46" i="1"/>
  <c r="AV38" i="1"/>
  <c r="AV30" i="1"/>
  <c r="AV22" i="1"/>
  <c r="AV6" i="1"/>
  <c r="AV117" i="1"/>
  <c r="AV109" i="1"/>
  <c r="AV101" i="1"/>
  <c r="AV93" i="1"/>
  <c r="AV85" i="1"/>
  <c r="AV77" i="1"/>
  <c r="AV69" i="1"/>
  <c r="AV61" i="1"/>
  <c r="AV53" i="1"/>
  <c r="AV45" i="1"/>
  <c r="AV37" i="1"/>
  <c r="AV29" i="1"/>
  <c r="AV21" i="1"/>
  <c r="AV13" i="1"/>
  <c r="AV5" i="1"/>
  <c r="AV112" i="1"/>
  <c r="AV104" i="1"/>
  <c r="AV96" i="1"/>
  <c r="AV88" i="1"/>
  <c r="AV80" i="1"/>
  <c r="AV72" i="1"/>
  <c r="AV64" i="1"/>
  <c r="AV56" i="1"/>
  <c r="AV48" i="1"/>
  <c r="AV40" i="1"/>
  <c r="AV32" i="1"/>
  <c r="AV24" i="1"/>
  <c r="AV16" i="1"/>
  <c r="AV8" i="1"/>
  <c r="AV111" i="1"/>
  <c r="AV103" i="1"/>
  <c r="AV95" i="1"/>
  <c r="AV87" i="1"/>
  <c r="AV79" i="1"/>
  <c r="AV71" i="1"/>
  <c r="AV63" i="1"/>
  <c r="AV55" i="1"/>
  <c r="AV47" i="1"/>
  <c r="AV39" i="1"/>
  <c r="AV31" i="1"/>
  <c r="AV23" i="1"/>
  <c r="AV15" i="1"/>
  <c r="AV7" i="1"/>
  <c r="AI117" i="1"/>
  <c r="AI28" i="1"/>
  <c r="AI21" i="1"/>
  <c r="AI64" i="1"/>
  <c r="AI91" i="1"/>
  <c r="AI8" i="1"/>
  <c r="AI19" i="1"/>
  <c r="AI98" i="1"/>
  <c r="AI62" i="1"/>
  <c r="AI34" i="1"/>
  <c r="AI22" i="1"/>
  <c r="AI54" i="1"/>
  <c r="AI41" i="1"/>
  <c r="AI84" i="1"/>
  <c r="AI75" i="1"/>
  <c r="AI103" i="1"/>
  <c r="AI2" i="1"/>
  <c r="AI20" i="1"/>
  <c r="AI106" i="1"/>
  <c r="AI60" i="1"/>
  <c r="AI46" i="1"/>
  <c r="AI89" i="1"/>
  <c r="AI35" i="1"/>
  <c r="AI27" i="1"/>
  <c r="AI95" i="1"/>
  <c r="AI104" i="1"/>
  <c r="AI53" i="1"/>
  <c r="AV2" i="1"/>
  <c r="AV116" i="1"/>
  <c r="AV108" i="1"/>
  <c r="AV100" i="1"/>
  <c r="AV92" i="1"/>
  <c r="AV84" i="1"/>
  <c r="AV76" i="1"/>
  <c r="AV68" i="1"/>
  <c r="AV60" i="1"/>
  <c r="AV52" i="1"/>
  <c r="AV44" i="1"/>
  <c r="AV36" i="1"/>
  <c r="AV28" i="1"/>
  <c r="AV20" i="1"/>
  <c r="AV12" i="1"/>
  <c r="AV4" i="1"/>
  <c r="AI108" i="1"/>
  <c r="AI77" i="1"/>
  <c r="AI13" i="1"/>
  <c r="AI24" i="1"/>
  <c r="AI18" i="1"/>
  <c r="AI45" i="1"/>
  <c r="AI33" i="1"/>
  <c r="AI49" i="1"/>
  <c r="AI5" i="1"/>
  <c r="AI92" i="1"/>
  <c r="AI65" i="1"/>
  <c r="AI118" i="1"/>
  <c r="AI90" i="1"/>
  <c r="AI82" i="1"/>
  <c r="AI99" i="1"/>
  <c r="AI52" i="1"/>
  <c r="AI61" i="1"/>
  <c r="AI79" i="1"/>
  <c r="AI6" i="1"/>
  <c r="AI70" i="1"/>
  <c r="AI40" i="1"/>
  <c r="AI93" i="1"/>
  <c r="AI48" i="1"/>
  <c r="AI67" i="1"/>
  <c r="AI113" i="1"/>
  <c r="AI72" i="1"/>
  <c r="AV115" i="1"/>
  <c r="AV107" i="1"/>
  <c r="AV99" i="1"/>
  <c r="AV91" i="1"/>
  <c r="AV83" i="1"/>
  <c r="AV75" i="1"/>
  <c r="AV67" i="1"/>
  <c r="AV59" i="1"/>
  <c r="AV51" i="1"/>
  <c r="AV43" i="1"/>
  <c r="AV35" i="1"/>
  <c r="AV27" i="1"/>
  <c r="AV19" i="1"/>
  <c r="AV11" i="1"/>
  <c r="AV3" i="1"/>
  <c r="AI36" i="1"/>
  <c r="AI32" i="1"/>
  <c r="AI15" i="1"/>
  <c r="AV14" i="1"/>
  <c r="AI101" i="1"/>
  <c r="AI110" i="1"/>
  <c r="AI81" i="1"/>
  <c r="AI10" i="1"/>
  <c r="AI87" i="1"/>
  <c r="AI105" i="1"/>
  <c r="AI116" i="1"/>
  <c r="AI43" i="1"/>
  <c r="AI86" i="1"/>
  <c r="AI94" i="1"/>
  <c r="AI76" i="1"/>
  <c r="AI68" i="1"/>
  <c r="AI14" i="1"/>
  <c r="AI58" i="1"/>
  <c r="AI57" i="1"/>
  <c r="AV114" i="1"/>
  <c r="AV106" i="1"/>
  <c r="AV98" i="1"/>
  <c r="AV90" i="1"/>
  <c r="AV82" i="1"/>
  <c r="AV74" i="1"/>
  <c r="AV66" i="1"/>
  <c r="AV58" i="1"/>
  <c r="AV50" i="1"/>
  <c r="AV42" i="1"/>
  <c r="AV34" i="1"/>
  <c r="AV26" i="1"/>
  <c r="AV18" i="1"/>
  <c r="AV10" i="1"/>
  <c r="AI88" i="1"/>
  <c r="AI25" i="1"/>
  <c r="AI73" i="1"/>
  <c r="AI111" i="1"/>
  <c r="AI63" i="1"/>
  <c r="AI23" i="1"/>
  <c r="AI109" i="1"/>
  <c r="AI44" i="1"/>
  <c r="AI51" i="1"/>
  <c r="AI78" i="1"/>
  <c r="AI50" i="1"/>
  <c r="AI115" i="1"/>
  <c r="AI69" i="1"/>
  <c r="AI39" i="1"/>
  <c r="AI83" i="1"/>
  <c r="AI37" i="1"/>
  <c r="AI102" i="1"/>
  <c r="AI56" i="1"/>
  <c r="AI12" i="1"/>
  <c r="AI11" i="1"/>
  <c r="AI30" i="1"/>
  <c r="AI29" i="1"/>
  <c r="AI80" i="1"/>
  <c r="AI7" i="1"/>
  <c r="AI26" i="1"/>
  <c r="AI96" i="1"/>
  <c r="AI85" i="1"/>
  <c r="AI4" i="1"/>
  <c r="AI3" i="1"/>
  <c r="AI74" i="1"/>
  <c r="AI66" i="1"/>
  <c r="AI100" i="1"/>
  <c r="AI9" i="1"/>
  <c r="AI71" i="1"/>
  <c r="AI55" i="1"/>
  <c r="AI107" i="1"/>
  <c r="AI17" i="1"/>
  <c r="AI97" i="1"/>
  <c r="AI42" i="1"/>
  <c r="AI16" i="1"/>
  <c r="AI114" i="1"/>
  <c r="AI38" i="1"/>
  <c r="AI59" i="1"/>
  <c r="AI31" i="1"/>
  <c r="AI112" i="1"/>
  <c r="AI47" i="1"/>
  <c r="L56" i="1"/>
  <c r="H108" i="1"/>
  <c r="L73" i="1"/>
  <c r="L85" i="1"/>
  <c r="L28" i="1"/>
  <c r="H96" i="1"/>
  <c r="L44" i="1"/>
  <c r="L94" i="1"/>
  <c r="L79" i="1"/>
  <c r="L34" i="1"/>
  <c r="L78" i="1"/>
  <c r="L97" i="1"/>
  <c r="L87" i="1"/>
  <c r="L96" i="1"/>
  <c r="H78" i="1"/>
  <c r="H60" i="1"/>
  <c r="H34" i="1"/>
  <c r="L77" i="1"/>
  <c r="H84" i="1"/>
  <c r="H44" i="1"/>
  <c r="L42" i="1"/>
  <c r="L110" i="1"/>
  <c r="H110" i="1"/>
  <c r="H107" i="1"/>
  <c r="L107" i="1"/>
  <c r="L108" i="1"/>
  <c r="H100" i="1"/>
  <c r="L100" i="1"/>
  <c r="L98" i="1"/>
  <c r="H98" i="1"/>
  <c r="H95" i="1"/>
  <c r="L95" i="1"/>
  <c r="H99" i="1"/>
  <c r="L99" i="1"/>
  <c r="H97" i="1"/>
  <c r="H94" i="1"/>
  <c r="H87" i="1"/>
  <c r="H85" i="1"/>
  <c r="H89" i="1"/>
  <c r="L89" i="1"/>
  <c r="L84" i="1"/>
  <c r="L22" i="1"/>
  <c r="L66" i="1"/>
  <c r="L80" i="1"/>
  <c r="H42" i="1"/>
  <c r="H74" i="1"/>
  <c r="H73" i="1"/>
  <c r="H79" i="1"/>
  <c r="H80" i="1"/>
  <c r="L76" i="1"/>
  <c r="H76" i="1"/>
  <c r="H77" i="1"/>
  <c r="L74" i="1"/>
  <c r="H81" i="1"/>
  <c r="L81" i="1"/>
  <c r="L69" i="1"/>
  <c r="H66" i="1"/>
  <c r="H62" i="1"/>
  <c r="L62" i="1"/>
  <c r="H57" i="1"/>
  <c r="L57" i="1"/>
  <c r="H53" i="1"/>
  <c r="L53" i="1"/>
  <c r="H56" i="1"/>
  <c r="H50" i="1"/>
  <c r="L50" i="1"/>
  <c r="L37" i="1"/>
  <c r="H37" i="1"/>
  <c r="H40" i="1"/>
  <c r="L40" i="1"/>
  <c r="L41" i="1"/>
  <c r="H41" i="1"/>
  <c r="L45" i="1"/>
  <c r="H45" i="1"/>
  <c r="H39" i="1"/>
  <c r="L36" i="1"/>
  <c r="H36" i="1"/>
  <c r="H31" i="1"/>
  <c r="L31" i="1"/>
  <c r="H35" i="1"/>
  <c r="L35" i="1"/>
  <c r="H28" i="1"/>
  <c r="H27" i="1"/>
  <c r="L27" i="1"/>
  <c r="L18" i="1"/>
  <c r="H18" i="1"/>
  <c r="L9" i="1"/>
  <c r="L25" i="1"/>
  <c r="H25" i="1"/>
  <c r="H22" i="1"/>
  <c r="L16" i="1"/>
  <c r="L21" i="1"/>
  <c r="H21" i="1"/>
  <c r="H16" i="1"/>
  <c r="H13" i="1"/>
  <c r="L13" i="1"/>
  <c r="H12" i="1"/>
  <c r="L12" i="1"/>
  <c r="L10" i="1"/>
  <c r="H10" i="1"/>
  <c r="L4" i="1"/>
  <c r="H4" i="1"/>
  <c r="L2" i="1"/>
  <c r="H2" i="1"/>
  <c r="H9" i="1"/>
  <c r="H11" i="1"/>
  <c r="L11" i="1"/>
  <c r="H43" i="1"/>
  <c r="L43" i="1"/>
  <c r="H69" i="1"/>
</calcChain>
</file>

<file path=xl/sharedStrings.xml><?xml version="1.0" encoding="utf-8"?>
<sst xmlns="http://schemas.openxmlformats.org/spreadsheetml/2006/main" count="6893" uniqueCount="806">
  <si>
    <t>Team</t>
  </si>
  <si>
    <t>Race</t>
  </si>
  <si>
    <t>Assistant Coach Experience (Yrs)</t>
  </si>
  <si>
    <t>Head Coaching Experience (Yrs)</t>
  </si>
  <si>
    <t>Denis Hamlett</t>
  </si>
  <si>
    <t>CHI</t>
  </si>
  <si>
    <t>NW</t>
  </si>
  <si>
    <t>Tenure (Seasons)</t>
  </si>
  <si>
    <t>Gary Smith</t>
  </si>
  <si>
    <t>COL</t>
  </si>
  <si>
    <t>W</t>
  </si>
  <si>
    <t>FCD</t>
  </si>
  <si>
    <t>Schellas Hyndman</t>
  </si>
  <si>
    <t>Ruud Gullit</t>
  </si>
  <si>
    <t>LAG</t>
  </si>
  <si>
    <t>Bruce Arena</t>
  </si>
  <si>
    <t>Juan Carlos Osorio</t>
  </si>
  <si>
    <t>NYRB</t>
  </si>
  <si>
    <t>Frank Yallop</t>
  </si>
  <si>
    <t>SJE</t>
  </si>
  <si>
    <t>John Carver</t>
  </si>
  <si>
    <t>TOR</t>
  </si>
  <si>
    <t>Robert Warzycha</t>
  </si>
  <si>
    <t>CLB</t>
  </si>
  <si>
    <t>SKC</t>
  </si>
  <si>
    <t>Sigi Schmid</t>
  </si>
  <si>
    <t>SEA</t>
  </si>
  <si>
    <t>Carlos de los Cobos</t>
  </si>
  <si>
    <t>Martin Vasquez</t>
  </si>
  <si>
    <t>Chivas</t>
  </si>
  <si>
    <t>Curt Onalfo</t>
  </si>
  <si>
    <t>Ben Olsen</t>
  </si>
  <si>
    <t>Hans Backe</t>
  </si>
  <si>
    <t>Piotr Nowak</t>
  </si>
  <si>
    <t>Preki</t>
  </si>
  <si>
    <t>Frank Klopas</t>
  </si>
  <si>
    <t>PHI</t>
  </si>
  <si>
    <t>Robin Fraser</t>
  </si>
  <si>
    <t>John Spencer</t>
  </si>
  <si>
    <t>POR</t>
  </si>
  <si>
    <t>Aron Winter</t>
  </si>
  <si>
    <t>Teitur Thordarson</t>
  </si>
  <si>
    <t>VAN</t>
  </si>
  <si>
    <t>Oscar Pareja</t>
  </si>
  <si>
    <t>Jesse Marsch</t>
  </si>
  <si>
    <t>MTL</t>
  </si>
  <si>
    <t>Jay Heaps</t>
  </si>
  <si>
    <t>John Hackworth</t>
  </si>
  <si>
    <t>Paul Mariner</t>
  </si>
  <si>
    <t>Martin Rennie</t>
  </si>
  <si>
    <t>Jose Luis Sanchez Sola</t>
  </si>
  <si>
    <t>Marco Schallibaum</t>
  </si>
  <si>
    <t>Mike Petke</t>
  </si>
  <si>
    <t>Caleb Porter</t>
  </si>
  <si>
    <t>Mark Watson</t>
  </si>
  <si>
    <t>Ryan Nelsen</t>
  </si>
  <si>
    <t>Wilmer Cabrera</t>
  </si>
  <si>
    <t>Pablo Mastroeni</t>
  </si>
  <si>
    <t>Gregg Berhalter</t>
  </si>
  <si>
    <t>Jeff Cassar</t>
  </si>
  <si>
    <t>RSL</t>
  </si>
  <si>
    <t>Greg Vanney</t>
  </si>
  <si>
    <t>Carl Robinson</t>
  </si>
  <si>
    <t>Owen Coyle</t>
  </si>
  <si>
    <t>HOU</t>
  </si>
  <si>
    <t>Mauro Biello</t>
  </si>
  <si>
    <t>Jason Kreis</t>
  </si>
  <si>
    <t>Adrian Heath</t>
  </si>
  <si>
    <t>ORL</t>
  </si>
  <si>
    <t>Dominic Kinnear</t>
  </si>
  <si>
    <t>Patrick Vieira</t>
  </si>
  <si>
    <t>Gerardo Martino</t>
  </si>
  <si>
    <t>ATL</t>
  </si>
  <si>
    <t>Anthony Hudson</t>
  </si>
  <si>
    <t>MIN</t>
  </si>
  <si>
    <t>Remi Garde</t>
  </si>
  <si>
    <t>Brad Friedel</t>
  </si>
  <si>
    <t>Mikael Stahre</t>
  </si>
  <si>
    <t>Bob Bradley</t>
  </si>
  <si>
    <t>LAFC</t>
  </si>
  <si>
    <t>Domenec Torrent</t>
  </si>
  <si>
    <t>Chris Armas</t>
  </si>
  <si>
    <t>James O'Connor</t>
  </si>
  <si>
    <t>Giovanni Savarese</t>
  </si>
  <si>
    <t>Frank de Boer</t>
  </si>
  <si>
    <t>Alan Koch</t>
  </si>
  <si>
    <t>Luchi Gonzalez</t>
  </si>
  <si>
    <t>Freddy Juarez</t>
  </si>
  <si>
    <t>Matias Almeyda</t>
  </si>
  <si>
    <t>Marc Dos Santos</t>
  </si>
  <si>
    <t>Raphael Wicky</t>
  </si>
  <si>
    <t>Jaap Stam</t>
  </si>
  <si>
    <t>Tab Ramos</t>
  </si>
  <si>
    <t>Diego Alonso</t>
  </si>
  <si>
    <t>MIA</t>
  </si>
  <si>
    <t>Thierry Henry</t>
  </si>
  <si>
    <t>NSH</t>
  </si>
  <si>
    <t>Ronny Deila</t>
  </si>
  <si>
    <t>Gerhard Struber</t>
  </si>
  <si>
    <t>Gabriel Heinze</t>
  </si>
  <si>
    <t>Hernan Losada</t>
  </si>
  <si>
    <t>Phil Neville</t>
  </si>
  <si>
    <t>Wilfried Nancy</t>
  </si>
  <si>
    <t>Miguel Angel Ramirez</t>
  </si>
  <si>
    <t>Ezra Hendrickson</t>
  </si>
  <si>
    <t>Wayne Rooney</t>
  </si>
  <si>
    <t>Paulo Nagamura</t>
  </si>
  <si>
    <t>STL</t>
  </si>
  <si>
    <t>Jim Curtin*</t>
  </si>
  <si>
    <t>Peter Vermes*</t>
  </si>
  <si>
    <t>Brian Schmetzer*</t>
  </si>
  <si>
    <t>Veljko Paunovic</t>
  </si>
  <si>
    <t>Luchi Gonzalez*</t>
  </si>
  <si>
    <t>Gary Smith*</t>
  </si>
  <si>
    <t>Oscar Pareja*</t>
  </si>
  <si>
    <t>Gonzalo Pineda*</t>
  </si>
  <si>
    <t>Hernan Losada*</t>
  </si>
  <si>
    <t>Ben Olsen*</t>
  </si>
  <si>
    <t>Wilfried Nancy*</t>
  </si>
  <si>
    <t>Bradley Carnell*</t>
  </si>
  <si>
    <t>Troy Lesesne*</t>
  </si>
  <si>
    <t>Nick Cushing*</t>
  </si>
  <si>
    <t>Steve Cherundolo*</t>
  </si>
  <si>
    <t>Nico Estevez*</t>
  </si>
  <si>
    <t>Vanni Sartini*</t>
  </si>
  <si>
    <t>Pablo Mastroeni*</t>
  </si>
  <si>
    <t>Greg Vanney*</t>
  </si>
  <si>
    <t>Pat Noonan*</t>
  </si>
  <si>
    <t>Gerardo Martino*</t>
  </si>
  <si>
    <t>Manager (* means still there)</t>
  </si>
  <si>
    <t>Race (B/W/O)</t>
  </si>
  <si>
    <t>B</t>
  </si>
  <si>
    <t>O</t>
  </si>
  <si>
    <t>Costa Rica</t>
  </si>
  <si>
    <t>Macau</t>
  </si>
  <si>
    <t>Netherlands</t>
  </si>
  <si>
    <t>USA</t>
  </si>
  <si>
    <t>Colombia</t>
  </si>
  <si>
    <t>Poland</t>
  </si>
  <si>
    <t>Germany</t>
  </si>
  <si>
    <t>Mexico</t>
  </si>
  <si>
    <t>Brazil</t>
  </si>
  <si>
    <t>Sweden</t>
  </si>
  <si>
    <t>Serbia</t>
  </si>
  <si>
    <t>Greece</t>
  </si>
  <si>
    <t>Jamaica</t>
  </si>
  <si>
    <t>Scotland</t>
  </si>
  <si>
    <t>England</t>
  </si>
  <si>
    <t>Country of Origin (Birthplace)</t>
  </si>
  <si>
    <t>Canada</t>
  </si>
  <si>
    <t>Suriname</t>
  </si>
  <si>
    <t>Iceland</t>
  </si>
  <si>
    <t>Year Hired</t>
  </si>
  <si>
    <t>Switzerland</t>
  </si>
  <si>
    <t>New Zealand</t>
  </si>
  <si>
    <t>Argentina</t>
  </si>
  <si>
    <t>Wales</t>
  </si>
  <si>
    <t>Ireland</t>
  </si>
  <si>
    <t>France</t>
  </si>
  <si>
    <t>Spain</t>
  </si>
  <si>
    <t>Venezuela</t>
  </si>
  <si>
    <t>South Africa</t>
  </si>
  <si>
    <t>Ron Jans</t>
  </si>
  <si>
    <t>Uruguay</t>
  </si>
  <si>
    <t>Norway</t>
  </si>
  <si>
    <t>Austria</t>
  </si>
  <si>
    <t>Italy</t>
  </si>
  <si>
    <t>Saint Vincent &amp; the Grenadines</t>
  </si>
  <si>
    <t>Points accrued</t>
  </si>
  <si>
    <t>Former Player?</t>
  </si>
  <si>
    <t>Leagues Played</t>
  </si>
  <si>
    <t>NCAA D1</t>
  </si>
  <si>
    <t>Number of Matches (MLS)</t>
  </si>
  <si>
    <t>Wins (MLS)</t>
  </si>
  <si>
    <t>Draws (MLS)</t>
  </si>
  <si>
    <t>Losses (MLS)</t>
  </si>
  <si>
    <t>ASL</t>
  </si>
  <si>
    <t>None</t>
  </si>
  <si>
    <t>MLS</t>
  </si>
  <si>
    <t>N/A</t>
  </si>
  <si>
    <t>Liga MX</t>
  </si>
  <si>
    <t>Leagues Head Coached</t>
  </si>
  <si>
    <t>MISL</t>
  </si>
  <si>
    <t>Age</t>
  </si>
  <si>
    <t>EPL</t>
  </si>
  <si>
    <t>EFL</t>
  </si>
  <si>
    <t>Christian Lattanzio</t>
  </si>
  <si>
    <t>USL</t>
  </si>
  <si>
    <t>NISA/NASL</t>
  </si>
  <si>
    <t>Eredivisie</t>
  </si>
  <si>
    <t>Ligue 1</t>
  </si>
  <si>
    <t>Josh Wolff*</t>
  </si>
  <si>
    <t>EPL (W)</t>
  </si>
  <si>
    <t>CLT</t>
  </si>
  <si>
    <t>ATX</t>
  </si>
  <si>
    <t>NYC</t>
  </si>
  <si>
    <t>CIN</t>
  </si>
  <si>
    <t>NER</t>
  </si>
  <si>
    <t>DCU</t>
  </si>
  <si>
    <t>Average Total Squad Compensation</t>
  </si>
  <si>
    <t>FTI (W)</t>
  </si>
  <si>
    <t>MLX</t>
  </si>
  <si>
    <t>SDO</t>
  </si>
  <si>
    <t>BDA</t>
  </si>
  <si>
    <t>U19</t>
  </si>
  <si>
    <t>U20</t>
  </si>
  <si>
    <t>ABL</t>
  </si>
  <si>
    <t>EFL1</t>
  </si>
  <si>
    <t>FL1</t>
  </si>
  <si>
    <t>NED</t>
  </si>
  <si>
    <t>PSL</t>
  </si>
  <si>
    <t>SST</t>
  </si>
  <si>
    <t>LFF</t>
  </si>
  <si>
    <t>MLSR</t>
  </si>
  <si>
    <t>SSB</t>
  </si>
  <si>
    <t>ACA</t>
  </si>
  <si>
    <t>YOU</t>
  </si>
  <si>
    <t>LSL</t>
  </si>
  <si>
    <t>CHV</t>
  </si>
  <si>
    <t>StdDevGuar</t>
  </si>
  <si>
    <t>MedGuar</t>
  </si>
  <si>
    <t>AvgGuar</t>
  </si>
  <si>
    <t>TotalGuar</t>
  </si>
  <si>
    <t>N</t>
  </si>
  <si>
    <t>Season</t>
  </si>
  <si>
    <t>Manager</t>
  </si>
  <si>
    <t>Tom Soehn</t>
  </si>
  <si>
    <t>Steve Nicol</t>
  </si>
  <si>
    <t>Jim Curtain*</t>
  </si>
  <si>
    <t>Guillermo Barros Schelotto</t>
  </si>
  <si>
    <t>Premier League</t>
  </si>
  <si>
    <t>La Liga</t>
  </si>
  <si>
    <t>Bundesliga</t>
  </si>
  <si>
    <t>Serie A</t>
  </si>
  <si>
    <t>Primeira Liga</t>
  </si>
  <si>
    <t>Primera División</t>
  </si>
  <si>
    <t>Süper Lig</t>
  </si>
  <si>
    <t>Super League</t>
  </si>
  <si>
    <t>Czech Liga</t>
  </si>
  <si>
    <t>Primera A</t>
  </si>
  <si>
    <t>Segunda División</t>
  </si>
  <si>
    <t>2. Bundesliga</t>
  </si>
  <si>
    <t>Superliga</t>
  </si>
  <si>
    <t>Division Profesional</t>
  </si>
  <si>
    <t>First Division A</t>
  </si>
  <si>
    <t>1. HNL</t>
  </si>
  <si>
    <t>Serie B</t>
  </si>
  <si>
    <t>Championship</t>
  </si>
  <si>
    <t>Allsvenskan</t>
  </si>
  <si>
    <t>Ligat ha'Al</t>
  </si>
  <si>
    <t>1. Division</t>
  </si>
  <si>
    <t>Ekstraklasa</t>
  </si>
  <si>
    <t>Liga I</t>
  </si>
  <si>
    <t>Ascenso MX</t>
  </si>
  <si>
    <t>Eliteserien</t>
  </si>
  <si>
    <t>Ligue 2</t>
  </si>
  <si>
    <t>K League Classic</t>
  </si>
  <si>
    <t>Segunda Liga</t>
  </si>
  <si>
    <t>Prim B Nacional</t>
  </si>
  <si>
    <t>Super Liga</t>
  </si>
  <si>
    <t>Persian Gulf Pro League</t>
  </si>
  <si>
    <t>Serie C</t>
  </si>
  <si>
    <t>NB I</t>
  </si>
  <si>
    <t>1. Lig</t>
  </si>
  <si>
    <t>Premijer Liga</t>
  </si>
  <si>
    <t>3. Liga</t>
  </si>
  <si>
    <t>First League</t>
  </si>
  <si>
    <t>Erovnuli Liga</t>
  </si>
  <si>
    <t>Primera B</t>
  </si>
  <si>
    <t>A-League</t>
  </si>
  <si>
    <t>Segunda B</t>
  </si>
  <si>
    <t>J1 League</t>
  </si>
  <si>
    <t>Premiership</t>
  </si>
  <si>
    <t>CSL</t>
  </si>
  <si>
    <t>Torneo Federal A</t>
  </si>
  <si>
    <t>Serie D</t>
  </si>
  <si>
    <t>Arabian Gulf League</t>
  </si>
  <si>
    <t>Premyer Liqa</t>
  </si>
  <si>
    <t>Pro League</t>
  </si>
  <si>
    <t>League One</t>
  </si>
  <si>
    <t>Division Intermedia</t>
  </si>
  <si>
    <t>National Premier Leagues</t>
  </si>
  <si>
    <t>Challenge League</t>
  </si>
  <si>
    <t>Super League 2</t>
  </si>
  <si>
    <t>Liga Nacional</t>
  </si>
  <si>
    <t>National 1</t>
  </si>
  <si>
    <t>LFPB</t>
  </si>
  <si>
    <t>1. SNL</t>
  </si>
  <si>
    <t>Úrvalsdeild</t>
  </si>
  <si>
    <t>FNL</t>
  </si>
  <si>
    <t>Botola Pro</t>
  </si>
  <si>
    <t>I Liga</t>
  </si>
  <si>
    <t>Liga Premier</t>
  </si>
  <si>
    <t>Campeonato de Portugal Prio</t>
  </si>
  <si>
    <t>Veikkausliiga</t>
  </si>
  <si>
    <t>1st Division</t>
  </si>
  <si>
    <t>Liga Leumit</t>
  </si>
  <si>
    <t>2. Lig</t>
  </si>
  <si>
    <t>Stars League</t>
  </si>
  <si>
    <t>LPF</t>
  </si>
  <si>
    <t>Premier Division</t>
  </si>
  <si>
    <t>Prim B Metro</t>
  </si>
  <si>
    <t>Regionalliga</t>
  </si>
  <si>
    <t>Segunda División RFEF</t>
  </si>
  <si>
    <t>Liga II</t>
  </si>
  <si>
    <t>K League Challenge</t>
  </si>
  <si>
    <t>Azadegan League</t>
  </si>
  <si>
    <t>Eerste Divisie</t>
  </si>
  <si>
    <t>Superettan</t>
  </si>
  <si>
    <t>Football League</t>
  </si>
  <si>
    <t>2. HNL</t>
  </si>
  <si>
    <t>Divizia Națională</t>
  </si>
  <si>
    <t>NPFL</t>
  </si>
  <si>
    <t>Torneo Federal B</t>
  </si>
  <si>
    <t>Iraqi League</t>
  </si>
  <si>
    <t>First Division B</t>
  </si>
  <si>
    <t>PFL</t>
  </si>
  <si>
    <t>Prva Liga</t>
  </si>
  <si>
    <t>NB II</t>
  </si>
  <si>
    <t>League Two</t>
  </si>
  <si>
    <t>Primera C</t>
  </si>
  <si>
    <t>Liga de Ascenso</t>
  </si>
  <si>
    <t>A Lyga</t>
  </si>
  <si>
    <t>National 2</t>
  </si>
  <si>
    <t>Primera Division</t>
  </si>
  <si>
    <t>2. liga</t>
  </si>
  <si>
    <t>Thai League</t>
  </si>
  <si>
    <t>J2 League</t>
  </si>
  <si>
    <t>II Liga</t>
  </si>
  <si>
    <t>1. Liga</t>
  </si>
  <si>
    <t>1st League</t>
  </si>
  <si>
    <t>Erovnuli Liga 2</t>
  </si>
  <si>
    <t>2. Division</t>
  </si>
  <si>
    <t>Liga Alef</t>
  </si>
  <si>
    <t>Botola 2</t>
  </si>
  <si>
    <t>Virsliga</t>
  </si>
  <si>
    <t>Liga Nacional de Ascenso</t>
  </si>
  <si>
    <t>League</t>
  </si>
  <si>
    <t>Professional League</t>
  </si>
  <si>
    <t>Segunda Amateur</t>
  </si>
  <si>
    <t>3. Lig</t>
  </si>
  <si>
    <t>Gamma Ethniki</t>
  </si>
  <si>
    <t>2nd Division</t>
  </si>
  <si>
    <t>Elite ONE</t>
  </si>
  <si>
    <t>Srpska Liga</t>
  </si>
  <si>
    <t>National League</t>
  </si>
  <si>
    <t>Super Ligue</t>
  </si>
  <si>
    <t>China League One</t>
  </si>
  <si>
    <t>Second League</t>
  </si>
  <si>
    <t>Girabola</t>
  </si>
  <si>
    <t>Meistaradeildin</t>
  </si>
  <si>
    <t>Tercera A</t>
  </si>
  <si>
    <t>1. Liga Promotion</t>
  </si>
  <si>
    <t>National 3</t>
  </si>
  <si>
    <t>Tercera Division</t>
  </si>
  <si>
    <t>Q League</t>
  </si>
  <si>
    <t>3. liga</t>
  </si>
  <si>
    <t>Division 1</t>
  </si>
  <si>
    <t>Championnat D1</t>
  </si>
  <si>
    <t>Championnat National</t>
  </si>
  <si>
    <t>GFA League</t>
  </si>
  <si>
    <t>3. HNL</t>
  </si>
  <si>
    <t>Première Division</t>
  </si>
  <si>
    <t>Ykkönen</t>
  </si>
  <si>
    <t>2. SNL</t>
  </si>
  <si>
    <t>1ère Division</t>
  </si>
  <si>
    <t>Liga III</t>
  </si>
  <si>
    <t>Birinci Dasta</t>
  </si>
  <si>
    <t>First Amateur Division</t>
  </si>
  <si>
    <t>Persha Liga</t>
  </si>
  <si>
    <t>Ligi kuu Bara</t>
  </si>
  <si>
    <t>First Division</t>
  </si>
  <si>
    <t>Tweede Divisie</t>
  </si>
  <si>
    <t>1. Deild</t>
  </si>
  <si>
    <t>National Soccer League</t>
  </si>
  <si>
    <t>Premier Soccer League</t>
  </si>
  <si>
    <t>III Liga</t>
  </si>
  <si>
    <t>National Division</t>
  </si>
  <si>
    <t>Sudani Premier League</t>
  </si>
  <si>
    <t>J3 League</t>
  </si>
  <si>
    <t>Nacional B</t>
  </si>
  <si>
    <t>Moçambola</t>
  </si>
  <si>
    <t>USL League One</t>
  </si>
  <si>
    <t>Liga Bet</t>
  </si>
  <si>
    <t>NB III</t>
  </si>
  <si>
    <t>West Bank League</t>
  </si>
  <si>
    <t>Japan Football League</t>
  </si>
  <si>
    <t>3. Division</t>
  </si>
  <si>
    <t>Indian Super League</t>
  </si>
  <si>
    <t>Thai League 2</t>
  </si>
  <si>
    <t>Liga 3</t>
  </si>
  <si>
    <t>Meistriliiga</t>
  </si>
  <si>
    <t>1. Liga Classic</t>
  </si>
  <si>
    <t>Third League</t>
  </si>
  <si>
    <t>Second Division</t>
  </si>
  <si>
    <t>T &amp; T Pro League</t>
  </si>
  <si>
    <t>V.League 1</t>
  </si>
  <si>
    <t>England  </t>
  </si>
  <si>
    <t>Spain  </t>
  </si>
  <si>
    <t>Germany  </t>
  </si>
  <si>
    <t>Italy  </t>
  </si>
  <si>
    <t>Brazil  </t>
  </si>
  <si>
    <t>France  </t>
  </si>
  <si>
    <t>Portugal  </t>
  </si>
  <si>
    <t>Argentina  </t>
  </si>
  <si>
    <t>Turkey  </t>
  </si>
  <si>
    <t>Greece  </t>
  </si>
  <si>
    <t>Mexico  </t>
  </si>
  <si>
    <t>Russia  </t>
  </si>
  <si>
    <t>Czech Republic  </t>
  </si>
  <si>
    <t>Netherlands  </t>
  </si>
  <si>
    <t>Colombia  </t>
  </si>
  <si>
    <t>Switzerland  </t>
  </si>
  <si>
    <t>Denmark  </t>
  </si>
  <si>
    <t>Paraguay  </t>
  </si>
  <si>
    <t>Belgium  </t>
  </si>
  <si>
    <t>Croatia  </t>
  </si>
  <si>
    <t>Ecuador  </t>
  </si>
  <si>
    <t>Austria  </t>
  </si>
  <si>
    <t>Sweden  </t>
  </si>
  <si>
    <t>Israel  </t>
  </si>
  <si>
    <t>Cyprus  </t>
  </si>
  <si>
    <t>Poland  </t>
  </si>
  <si>
    <t>Romania  </t>
  </si>
  <si>
    <t>Uruguay  </t>
  </si>
  <si>
    <t>Norway  </t>
  </si>
  <si>
    <t>Korea Republic  </t>
  </si>
  <si>
    <t>Chile  </t>
  </si>
  <si>
    <t>Slovakia  </t>
  </si>
  <si>
    <t>Iran  </t>
  </si>
  <si>
    <t>Serbia  </t>
  </si>
  <si>
    <t>Costa Rica  </t>
  </si>
  <si>
    <t>Hungary  </t>
  </si>
  <si>
    <t>Bosnia and Herzegovina  </t>
  </si>
  <si>
    <t>Bulgaria  </t>
  </si>
  <si>
    <t>Georgia  </t>
  </si>
  <si>
    <t>Ukraine  </t>
  </si>
  <si>
    <t>Peru  </t>
  </si>
  <si>
    <t>USA  </t>
  </si>
  <si>
    <t>Australia  </t>
  </si>
  <si>
    <t>Belarus  </t>
  </si>
  <si>
    <t>Japan  </t>
  </si>
  <si>
    <t>Scotland  </t>
  </si>
  <si>
    <t>China PR  </t>
  </si>
  <si>
    <t>United Arab Emirates  </t>
  </si>
  <si>
    <t>Azerbaijan  </t>
  </si>
  <si>
    <t>Saudi Arabia  </t>
  </si>
  <si>
    <t>Venezuela  </t>
  </si>
  <si>
    <t>Guatemala  </t>
  </si>
  <si>
    <t>Bolivia  </t>
  </si>
  <si>
    <t>Kazakhstan  </t>
  </si>
  <si>
    <t>Slovenia  </t>
  </si>
  <si>
    <t>Albania  </t>
  </si>
  <si>
    <t>Iceland  </t>
  </si>
  <si>
    <t>Morocco  </t>
  </si>
  <si>
    <t>FYR Macedonia  </t>
  </si>
  <si>
    <t>Finland  </t>
  </si>
  <si>
    <t>Honduras  </t>
  </si>
  <si>
    <t>Algeria  </t>
  </si>
  <si>
    <t>Tunisia  </t>
  </si>
  <si>
    <t>Qatar  </t>
  </si>
  <si>
    <t>Panama  </t>
  </si>
  <si>
    <t>Republic of Ireland  </t>
  </si>
  <si>
    <t>Montenegro  </t>
  </si>
  <si>
    <t>Moldova  </t>
  </si>
  <si>
    <t>Northern Ireland  </t>
  </si>
  <si>
    <t>Egypt  </t>
  </si>
  <si>
    <t>Nigeria  </t>
  </si>
  <si>
    <t>Iraq  </t>
  </si>
  <si>
    <t>Uzbekistan  </t>
  </si>
  <si>
    <t>South Africa  </t>
  </si>
  <si>
    <t>Lithuania  </t>
  </si>
  <si>
    <t>Kuwait  </t>
  </si>
  <si>
    <t>El Salvador  </t>
  </si>
  <si>
    <t>Bahrain  </t>
  </si>
  <si>
    <t>Thailand  </t>
  </si>
  <si>
    <t>Côte d'Ivoire  </t>
  </si>
  <si>
    <t>Ghana  </t>
  </si>
  <si>
    <t>Latvia  </t>
  </si>
  <si>
    <t>Kosovo  </t>
  </si>
  <si>
    <t>Senegal  </t>
  </si>
  <si>
    <t>Jordan  </t>
  </si>
  <si>
    <t>Oman  </t>
  </si>
  <si>
    <t>Armenia  </t>
  </si>
  <si>
    <t>Jamaica  </t>
  </si>
  <si>
    <t>Syria  </t>
  </si>
  <si>
    <t>Wales  </t>
  </si>
  <si>
    <t>Cameroon  </t>
  </si>
  <si>
    <t>Congo DR  </t>
  </si>
  <si>
    <t>Zambia  </t>
  </si>
  <si>
    <t>Angola  </t>
  </si>
  <si>
    <t>Faroe Islands  </t>
  </si>
  <si>
    <t>Congo  </t>
  </si>
  <si>
    <t>Gabon  </t>
  </si>
  <si>
    <t>Togo  </t>
  </si>
  <si>
    <t>Kenya  </t>
  </si>
  <si>
    <t>Gambia  </t>
  </si>
  <si>
    <t>Mali  </t>
  </si>
  <si>
    <t>Libya  </t>
  </si>
  <si>
    <t>Burkina Faso  </t>
  </si>
  <si>
    <t>Ethiopia  </t>
  </si>
  <si>
    <t>Malta  </t>
  </si>
  <si>
    <t>Nicaragua  </t>
  </si>
  <si>
    <t>Lebanon  </t>
  </si>
  <si>
    <t>Tanzania  </t>
  </si>
  <si>
    <t>Rwanda  </t>
  </si>
  <si>
    <t>Zimbabwe  </t>
  </si>
  <si>
    <t>Luxembourg  </t>
  </si>
  <si>
    <t>Uganda  </t>
  </si>
  <si>
    <t>Sudan  </t>
  </si>
  <si>
    <t>Guinea  </t>
  </si>
  <si>
    <t>Mozambique  </t>
  </si>
  <si>
    <t>United States  </t>
  </si>
  <si>
    <t>Palestine  </t>
  </si>
  <si>
    <t>Swaziland  </t>
  </si>
  <si>
    <t>Gibraltar  </t>
  </si>
  <si>
    <t>India  </t>
  </si>
  <si>
    <t>New Zealand  </t>
  </si>
  <si>
    <t>Sierra Leone  </t>
  </si>
  <si>
    <t>Haiti  </t>
  </si>
  <si>
    <t>Estonia  </t>
  </si>
  <si>
    <t>Trinidad and Tobago  </t>
  </si>
  <si>
    <t>Vietnam  </t>
  </si>
  <si>
    <t>Rank</t>
  </si>
  <si>
    <t>Country</t>
  </si>
  <si>
    <t>Rating</t>
  </si>
  <si>
    <t>Division</t>
  </si>
  <si>
    <t>Abbr</t>
  </si>
  <si>
    <t>SLL</t>
  </si>
  <si>
    <t>ISA</t>
  </si>
  <si>
    <t>BSA</t>
  </si>
  <si>
    <t>PPL</t>
  </si>
  <si>
    <t>APD</t>
  </si>
  <si>
    <t>TSL</t>
  </si>
  <si>
    <t>GSL</t>
  </si>
  <si>
    <t>RPL</t>
  </si>
  <si>
    <t>CPA</t>
  </si>
  <si>
    <t>SSL</t>
  </si>
  <si>
    <t>SSD</t>
  </si>
  <si>
    <t>SSS</t>
  </si>
  <si>
    <t>BFF</t>
  </si>
  <si>
    <t>ILL</t>
  </si>
  <si>
    <t>GBL</t>
  </si>
  <si>
    <t>ILA</t>
  </si>
  <si>
    <t>PDP</t>
  </si>
  <si>
    <t>EPA</t>
  </si>
  <si>
    <t>BSB</t>
  </si>
  <si>
    <t>ISB</t>
  </si>
  <si>
    <t>RLI</t>
  </si>
  <si>
    <t>UPD</t>
  </si>
  <si>
    <t>SDS</t>
  </si>
  <si>
    <t>SBS</t>
  </si>
  <si>
    <t>LAL</t>
  </si>
  <si>
    <t>PPD</t>
  </si>
  <si>
    <t>SA1</t>
  </si>
  <si>
    <t>CPD</t>
  </si>
  <si>
    <t>APN</t>
  </si>
  <si>
    <t>IPL</t>
  </si>
  <si>
    <t>BSC</t>
  </si>
  <si>
    <t>BFL</t>
  </si>
  <si>
    <t>GEL</t>
  </si>
  <si>
    <t>UPL</t>
  </si>
  <si>
    <t>CPB</t>
  </si>
  <si>
    <t>AAL</t>
  </si>
  <si>
    <t>BPL</t>
  </si>
  <si>
    <t>JJL</t>
  </si>
  <si>
    <t>ATA</t>
  </si>
  <si>
    <t>BSD</t>
  </si>
  <si>
    <t>APL</t>
  </si>
  <si>
    <t>VPD</t>
  </si>
  <si>
    <t>EPB</t>
  </si>
  <si>
    <t>ISC</t>
  </si>
  <si>
    <t>PDI</t>
  </si>
  <si>
    <t>ANL</t>
  </si>
  <si>
    <t>SCL</t>
  </si>
  <si>
    <t>GLN</t>
  </si>
  <si>
    <t>KPL</t>
  </si>
  <si>
    <t>ASS</t>
  </si>
  <si>
    <t>MBP</t>
  </si>
  <si>
    <t>PIL</t>
  </si>
  <si>
    <t>MLP</t>
  </si>
  <si>
    <t>PCP</t>
  </si>
  <si>
    <t>FVV</t>
  </si>
  <si>
    <t>HLN</t>
  </si>
  <si>
    <t>USD</t>
  </si>
  <si>
    <t>TLL</t>
  </si>
  <si>
    <t>QSL</t>
  </si>
  <si>
    <t>APM</t>
  </si>
  <si>
    <t>GRR</t>
  </si>
  <si>
    <t>RLII</t>
  </si>
  <si>
    <t>MFL</t>
  </si>
  <si>
    <t>IAL</t>
  </si>
  <si>
    <t>PSD</t>
  </si>
  <si>
    <t>GFL</t>
  </si>
  <si>
    <t>MDN</t>
  </si>
  <si>
    <t>ATB</t>
  </si>
  <si>
    <t>IIL</t>
  </si>
  <si>
    <t>BFB</t>
  </si>
  <si>
    <t>SPL</t>
  </si>
  <si>
    <t>APC</t>
  </si>
  <si>
    <t>ISD</t>
  </si>
  <si>
    <t>VSD</t>
  </si>
  <si>
    <t>CSD</t>
  </si>
  <si>
    <t>S2</t>
  </si>
  <si>
    <t>TTL</t>
  </si>
  <si>
    <t>GPL</t>
  </si>
  <si>
    <t>GPD</t>
  </si>
  <si>
    <t>MBB</t>
  </si>
  <si>
    <t>LVV</t>
  </si>
  <si>
    <t>PLA</t>
  </si>
  <si>
    <t>KSS</t>
  </si>
  <si>
    <t>JLL</t>
  </si>
  <si>
    <t>OPL</t>
  </si>
  <si>
    <t>JPL</t>
  </si>
  <si>
    <t>GGE</t>
  </si>
  <si>
    <t>WPL</t>
  </si>
  <si>
    <t>ZSL</t>
  </si>
  <si>
    <t>BSL</t>
  </si>
  <si>
    <t>AGG</t>
  </si>
  <si>
    <t>SCC</t>
  </si>
  <si>
    <t>CTA</t>
  </si>
  <si>
    <t>STD</t>
  </si>
  <si>
    <t>CLL</t>
  </si>
  <si>
    <t>MSL</t>
  </si>
  <si>
    <t>QQL</t>
  </si>
  <si>
    <t>GCD</t>
  </si>
  <si>
    <t>ENL</t>
  </si>
  <si>
    <t>TCN</t>
  </si>
  <si>
    <t>MPD</t>
  </si>
  <si>
    <t>LPL</t>
  </si>
  <si>
    <t>FYY</t>
  </si>
  <si>
    <t>S3</t>
  </si>
  <si>
    <t>RLIII</t>
  </si>
  <si>
    <t>ABD</t>
  </si>
  <si>
    <t>MPL</t>
  </si>
  <si>
    <t>NPD</t>
  </si>
  <si>
    <t>BFD</t>
  </si>
  <si>
    <t>TLB</t>
  </si>
  <si>
    <t>NTD</t>
  </si>
  <si>
    <t>RNL</t>
  </si>
  <si>
    <t>ZPL</t>
  </si>
  <si>
    <t>LND</t>
  </si>
  <si>
    <t>GLL</t>
  </si>
  <si>
    <t>BNB</t>
  </si>
  <si>
    <t>MMM</t>
  </si>
  <si>
    <t>ILB</t>
  </si>
  <si>
    <t>PWL</t>
  </si>
  <si>
    <t>SLO</t>
  </si>
  <si>
    <t>HCN</t>
  </si>
  <si>
    <t>EMM</t>
  </si>
  <si>
    <t>BTL</t>
  </si>
  <si>
    <t>VVL</t>
  </si>
  <si>
    <t>CZL</t>
  </si>
  <si>
    <t>G2B</t>
  </si>
  <si>
    <t>CYP</t>
  </si>
  <si>
    <t>CTP</t>
  </si>
  <si>
    <t>MAX</t>
  </si>
  <si>
    <t>KLC</t>
  </si>
  <si>
    <t>CRP</t>
  </si>
  <si>
    <t>HNB</t>
  </si>
  <si>
    <t>T1L</t>
  </si>
  <si>
    <t>BHP</t>
  </si>
  <si>
    <t>G3L</t>
  </si>
  <si>
    <t>Chinese Super League</t>
  </si>
  <si>
    <t>UAE</t>
  </si>
  <si>
    <t>SAP</t>
  </si>
  <si>
    <t>SNL</t>
  </si>
  <si>
    <t>RUF</t>
  </si>
  <si>
    <t>CZF</t>
  </si>
  <si>
    <t>T2L</t>
  </si>
  <si>
    <t>IPFL</t>
  </si>
  <si>
    <t>SDR</t>
  </si>
  <si>
    <t>C2H</t>
  </si>
  <si>
    <t>NIP</t>
  </si>
  <si>
    <t>NB2</t>
  </si>
  <si>
    <t>CRA</t>
  </si>
  <si>
    <t>N1D</t>
  </si>
  <si>
    <t>ESP</t>
  </si>
  <si>
    <t>CIL</t>
  </si>
  <si>
    <t>PL2</t>
  </si>
  <si>
    <t>A1L</t>
  </si>
  <si>
    <t>BH1</t>
  </si>
  <si>
    <t>CY2</t>
  </si>
  <si>
    <t>T3L</t>
  </si>
  <si>
    <t>D2D</t>
  </si>
  <si>
    <t>A1D</t>
  </si>
  <si>
    <t>CAM</t>
  </si>
  <si>
    <t>KNL</t>
  </si>
  <si>
    <t>DRC</t>
  </si>
  <si>
    <t>FIM</t>
  </si>
  <si>
    <t>SW1</t>
  </si>
  <si>
    <t>CZ3</t>
  </si>
  <si>
    <t>SAD</t>
  </si>
  <si>
    <t>GFA</t>
  </si>
  <si>
    <t>R2D</t>
  </si>
  <si>
    <t>UAD</t>
  </si>
  <si>
    <t>CR3</t>
  </si>
  <si>
    <t>KHD</t>
  </si>
  <si>
    <t>BRD</t>
  </si>
  <si>
    <t>SL2</t>
  </si>
  <si>
    <t>UZ1</t>
  </si>
  <si>
    <t>IRU</t>
  </si>
  <si>
    <t>ICE</t>
  </si>
  <si>
    <t>PL3</t>
  </si>
  <si>
    <t>USL1</t>
  </si>
  <si>
    <t>HNB3</t>
  </si>
  <si>
    <t>N2D</t>
  </si>
  <si>
    <t>CY3</t>
  </si>
  <si>
    <t>NZP</t>
  </si>
  <si>
    <t>AL2</t>
  </si>
  <si>
    <t>SLP</t>
  </si>
  <si>
    <t>SLC</t>
  </si>
  <si>
    <t>TTP</t>
  </si>
  <si>
    <t>AL1</t>
  </si>
  <si>
    <t>AB2</t>
  </si>
  <si>
    <t>ARP</t>
  </si>
  <si>
    <t>BRP</t>
  </si>
  <si>
    <t>BRS</t>
  </si>
  <si>
    <t>CHP</t>
  </si>
  <si>
    <t>EZP</t>
  </si>
  <si>
    <t>ETP</t>
  </si>
  <si>
    <t>D1D</t>
  </si>
  <si>
    <t>FN1</t>
  </si>
  <si>
    <t>FN2</t>
  </si>
  <si>
    <t>FN3</t>
  </si>
  <si>
    <t>GRE</t>
  </si>
  <si>
    <t>GR3</t>
  </si>
  <si>
    <t>GBP</t>
  </si>
  <si>
    <t>GL2</t>
  </si>
  <si>
    <t>ISL</t>
  </si>
  <si>
    <t>ILH</t>
  </si>
  <si>
    <t>JL2</t>
  </si>
  <si>
    <t>JL3</t>
  </si>
  <si>
    <t>JL4</t>
  </si>
  <si>
    <t>KCH</t>
  </si>
  <si>
    <t>KYP</t>
  </si>
  <si>
    <t>KHP</t>
  </si>
  <si>
    <t>LYP</t>
  </si>
  <si>
    <t>MYF</t>
  </si>
  <si>
    <t>MYS</t>
  </si>
  <si>
    <t>PPS</t>
  </si>
  <si>
    <t>SL1</t>
  </si>
  <si>
    <t>SYP</t>
  </si>
  <si>
    <t>SZP</t>
  </si>
  <si>
    <t>SBL</t>
  </si>
  <si>
    <t>TL2</t>
  </si>
  <si>
    <t>TT2</t>
  </si>
  <si>
    <t>UKP</t>
  </si>
  <si>
    <t>UGP</t>
  </si>
  <si>
    <t>LGL</t>
  </si>
  <si>
    <t>APSL</t>
  </si>
  <si>
    <t>SPFL</t>
  </si>
  <si>
    <t>AISL</t>
  </si>
  <si>
    <t>PEK</t>
  </si>
  <si>
    <t>NES</t>
  </si>
  <si>
    <t>IUS</t>
  </si>
  <si>
    <t>FTI</t>
  </si>
  <si>
    <t>NASL</t>
  </si>
  <si>
    <t>USLPD</t>
  </si>
  <si>
    <t>NLI</t>
  </si>
  <si>
    <t>EFL2</t>
  </si>
  <si>
    <t>U23</t>
  </si>
  <si>
    <t/>
  </si>
  <si>
    <t>USISL</t>
  </si>
  <si>
    <t>NPSL</t>
  </si>
  <si>
    <t>HKFA</t>
  </si>
  <si>
    <t>CPL</t>
  </si>
  <si>
    <t>WSA</t>
  </si>
  <si>
    <t>U21</t>
  </si>
  <si>
    <t>SWA</t>
  </si>
  <si>
    <t>USLW</t>
  </si>
  <si>
    <t>APB</t>
  </si>
  <si>
    <t>U17</t>
  </si>
  <si>
    <t>Turkey</t>
  </si>
  <si>
    <t>CISL</t>
  </si>
  <si>
    <t>FL2</t>
  </si>
  <si>
    <t>AISA</t>
  </si>
  <si>
    <t>YO</t>
  </si>
  <si>
    <t>CPRL</t>
  </si>
  <si>
    <t>DSL</t>
  </si>
  <si>
    <t>A1l</t>
  </si>
  <si>
    <t xml:space="preserve"> </t>
  </si>
  <si>
    <t>Avg Rating</t>
  </si>
  <si>
    <t>Avg Coach Rating</t>
  </si>
  <si>
    <t>First Team</t>
  </si>
  <si>
    <t>International</t>
  </si>
  <si>
    <t>U-23</t>
  </si>
  <si>
    <t>U-21</t>
  </si>
  <si>
    <t>U-20</t>
  </si>
  <si>
    <t>U-19</t>
  </si>
  <si>
    <t>U-17</t>
  </si>
  <si>
    <t>Rehire?</t>
  </si>
  <si>
    <t>Rehired</t>
  </si>
  <si>
    <t>Experience-Post Tenure</t>
  </si>
  <si>
    <t>Black</t>
  </si>
  <si>
    <t>AC Exp at rehire</t>
  </si>
  <si>
    <t>HC Exp at rehire</t>
  </si>
  <si>
    <t>New Team</t>
  </si>
  <si>
    <t>Old Team</t>
  </si>
  <si>
    <t>-</t>
  </si>
  <si>
    <t>KCW</t>
  </si>
  <si>
    <t>Running Matches</t>
  </si>
  <si>
    <t>Running Wins</t>
  </si>
  <si>
    <t>Running Losses</t>
  </si>
  <si>
    <t>Running Points</t>
  </si>
  <si>
    <t>Running Draws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</si>
</sst>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164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85B57-2478-4C88-859C-C2E0461BE782}">
  <dimension ref="A1:AV239"/>
  <sheetViews>
    <sheetView topLeftCell="K83" zoomScaleNormal="85" workbookViewId="0">
      <selection activeCell="O103" sqref="O103"/>
    </sheetView>
  </sheetViews>
  <sheetFormatPr defaultRowHeight="14.5" x14ac:dyDescent="0.35"/>
  <cols>
    <col min="1" max="1" width="26.1796875" bestFit="1" customWidth="1"/>
    <col min="2" max="2" width="5.81640625" customWidth="1"/>
    <col min="3" max="3" width="9.6328125" bestFit="1" customWidth="1"/>
    <col min="6" max="6" width="12.6328125" bestFit="1" customWidth="1"/>
    <col min="7" max="7" width="27.81640625" bestFit="1" customWidth="1"/>
    <col min="8" max="12" width="27.81640625" customWidth="1"/>
    <col min="13" max="13" width="30.81640625" style="2" bestFit="1" customWidth="1"/>
    <col min="14" max="14" width="15.6328125" bestFit="1" customWidth="1"/>
    <col min="15" max="15" width="27.90625" bestFit="1" customWidth="1"/>
    <col min="16" max="16" width="28.7265625" bestFit="1" customWidth="1"/>
    <col min="17" max="17" width="28.7265625" customWidth="1"/>
    <col min="18" max="18" width="13.90625" bestFit="1" customWidth="1"/>
    <col min="19" max="19" width="51" bestFit="1" customWidth="1"/>
    <col min="20" max="20" width="51" customWidth="1"/>
    <col min="21" max="21" width="41.08984375" bestFit="1" customWidth="1"/>
    <col min="22" max="22" width="41.08984375" customWidth="1"/>
    <col min="23" max="24" width="20.81640625" customWidth="1"/>
    <col min="25" max="25" width="17.453125" bestFit="1" customWidth="1"/>
    <col min="27" max="27" width="17.453125" bestFit="1" customWidth="1"/>
    <col min="29" max="29" width="17.453125" bestFit="1" customWidth="1"/>
    <col min="31" max="31" width="17.453125" bestFit="1" customWidth="1"/>
    <col min="33" max="33" width="17.453125" bestFit="1" customWidth="1"/>
    <col min="35" max="35" width="10.08984375" bestFit="1" customWidth="1"/>
    <col min="36" max="36" width="21.81640625" bestFit="1" customWidth="1"/>
    <col min="37" max="37" width="21.81640625" customWidth="1"/>
    <col min="48" max="48" width="15.81640625" bestFit="1" customWidth="1"/>
  </cols>
  <sheetData>
    <row r="1" spans="1:48" x14ac:dyDescent="0.35">
      <c r="A1" t="s">
        <v>129</v>
      </c>
      <c r="B1" t="s">
        <v>183</v>
      </c>
      <c r="C1" t="s">
        <v>152</v>
      </c>
      <c r="D1" t="s">
        <v>0</v>
      </c>
      <c r="E1" t="s">
        <v>1</v>
      </c>
      <c r="F1" t="s">
        <v>130</v>
      </c>
      <c r="G1" t="s">
        <v>148</v>
      </c>
      <c r="H1" t="s">
        <v>172</v>
      </c>
      <c r="I1" t="s">
        <v>173</v>
      </c>
      <c r="J1" t="s">
        <v>174</v>
      </c>
      <c r="K1" t="s">
        <v>175</v>
      </c>
      <c r="L1" t="s">
        <v>168</v>
      </c>
      <c r="M1" s="2" t="s">
        <v>199</v>
      </c>
      <c r="N1" t="s">
        <v>7</v>
      </c>
      <c r="O1" t="s">
        <v>3</v>
      </c>
      <c r="P1" t="s">
        <v>2</v>
      </c>
      <c r="Q1" t="s">
        <v>791</v>
      </c>
      <c r="R1" t="s">
        <v>169</v>
      </c>
      <c r="S1" t="s">
        <v>170</v>
      </c>
      <c r="T1" t="s">
        <v>525</v>
      </c>
      <c r="U1" t="s">
        <v>170</v>
      </c>
      <c r="V1" t="s">
        <v>525</v>
      </c>
      <c r="W1" t="s">
        <v>170</v>
      </c>
      <c r="X1" t="s">
        <v>525</v>
      </c>
      <c r="Y1" t="s">
        <v>170</v>
      </c>
      <c r="Z1" t="s">
        <v>525</v>
      </c>
      <c r="AA1" t="s">
        <v>170</v>
      </c>
      <c r="AB1" t="s">
        <v>525</v>
      </c>
      <c r="AC1" t="s">
        <v>170</v>
      </c>
      <c r="AD1" t="s">
        <v>525</v>
      </c>
      <c r="AE1" t="s">
        <v>170</v>
      </c>
      <c r="AF1" t="s">
        <v>525</v>
      </c>
      <c r="AG1" t="s">
        <v>170</v>
      </c>
      <c r="AH1" t="s">
        <v>525</v>
      </c>
      <c r="AI1" t="s">
        <v>782</v>
      </c>
      <c r="AJ1" t="s">
        <v>181</v>
      </c>
      <c r="AK1" t="s">
        <v>525</v>
      </c>
      <c r="AL1" t="s">
        <v>181</v>
      </c>
      <c r="AM1" t="s">
        <v>525</v>
      </c>
      <c r="AN1" t="s">
        <v>181</v>
      </c>
      <c r="AO1" t="s">
        <v>525</v>
      </c>
      <c r="AP1" t="s">
        <v>181</v>
      </c>
      <c r="AQ1" t="s">
        <v>525</v>
      </c>
      <c r="AR1" t="s">
        <v>181</v>
      </c>
      <c r="AS1" t="s">
        <v>525</v>
      </c>
      <c r="AT1" t="s">
        <v>181</v>
      </c>
      <c r="AU1" t="s">
        <v>525</v>
      </c>
      <c r="AV1" t="s">
        <v>783</v>
      </c>
    </row>
    <row r="2" spans="1:48" x14ac:dyDescent="0.35">
      <c r="A2" t="s">
        <v>15</v>
      </c>
      <c r="B2">
        <v>57</v>
      </c>
      <c r="C2">
        <v>2008</v>
      </c>
      <c r="D2" t="s">
        <v>14</v>
      </c>
      <c r="E2" t="s">
        <v>10</v>
      </c>
      <c r="F2" t="s">
        <v>10</v>
      </c>
      <c r="G2" t="s">
        <v>136</v>
      </c>
      <c r="H2">
        <f>I2+J2+K2</f>
        <v>265</v>
      </c>
      <c r="I2">
        <f>2+12+18+19+16+15+17+14+12</f>
        <v>125</v>
      </c>
      <c r="J2">
        <f>3+12+5+10+6+8+10+16</f>
        <v>70</v>
      </c>
      <c r="K2">
        <f>5+6+7+5+12+11+7+11+6</f>
        <v>70</v>
      </c>
      <c r="L2">
        <f>I2*3 + J2</f>
        <v>445</v>
      </c>
      <c r="M2" s="2">
        <v>13414938.801111111</v>
      </c>
      <c r="N2">
        <v>8</v>
      </c>
      <c r="O2">
        <f>7+18+2+8+2</f>
        <v>37</v>
      </c>
      <c r="P2">
        <v>8</v>
      </c>
      <c r="Q2">
        <v>1</v>
      </c>
      <c r="R2" t="b">
        <v>1</v>
      </c>
      <c r="S2" t="s">
        <v>176</v>
      </c>
      <c r="T2">
        <f>IFERROR(INDEX('List of Leagues'!E:E, MATCH(S2, 'List of Leagues'!F:F, 0)), 0)</f>
        <v>0</v>
      </c>
      <c r="U2" t="s">
        <v>762</v>
      </c>
      <c r="V2">
        <f>IFERROR(INDEX('List of Leagues'!E:E, MATCH(U2, 'List of Leagues'!F:F, 0)), 0)</f>
        <v>0</v>
      </c>
      <c r="W2" t="s">
        <v>762</v>
      </c>
      <c r="X2">
        <f>IFERROR(INDEX('List of Leagues'!E:E, MATCH(W2, 'List of Leagues'!F:F, 0)), 0)</f>
        <v>0</v>
      </c>
      <c r="Y2" t="s">
        <v>762</v>
      </c>
      <c r="Z2">
        <f>IFERROR(INDEX('List of Leagues'!E:E, MATCH(Y2, 'List of Leagues'!F:F, 0)), 0)</f>
        <v>0</v>
      </c>
      <c r="AA2" t="s">
        <v>762</v>
      </c>
      <c r="AB2">
        <f>IFERROR(INDEX('List of Leagues'!E:E, MATCH(AA2, 'List of Leagues'!F:F, 0)), 0)</f>
        <v>0</v>
      </c>
      <c r="AC2" t="s">
        <v>762</v>
      </c>
      <c r="AD2">
        <f>IFERROR(INDEX('List of Leagues'!E:E, MATCH(AC2, 'List of Leagues'!F:F, 0)), 0)</f>
        <v>0</v>
      </c>
      <c r="AE2" t="s">
        <v>762</v>
      </c>
      <c r="AF2">
        <f>IFERROR(INDEX('List of Leagues'!E:E, MATCH(AE2, 'List of Leagues'!F:F, 0)), 0)</f>
        <v>0</v>
      </c>
      <c r="AG2" t="s">
        <v>762</v>
      </c>
      <c r="AH2">
        <f>IFERROR(INDEX('List of Leagues'!E:E, MATCH(AG2, 'List of Leagues'!F:F, 0)), 0)</f>
        <v>0</v>
      </c>
      <c r="AI2">
        <f t="shared" ref="AI2:AI33" si="0">AVERAGE(T2, V2, X2, Z2, AB2, AD2, AF2, AH2)</f>
        <v>0</v>
      </c>
      <c r="AJ2" t="s">
        <v>185</v>
      </c>
      <c r="AK2">
        <f>IFERROR(INDEX('List of Leagues'!$E:$E, MATCH(AJ2, 'List of Leagues'!$F:$F, 0)), 0)</f>
        <v>75.400000000000006</v>
      </c>
      <c r="AL2" t="s">
        <v>187</v>
      </c>
      <c r="AM2">
        <f>IFERROR(INDEX('List of Leagues'!$E:$E, MATCH(AL2, 'List of Leagues'!$F:$F, 0)), 0)</f>
        <v>58.4</v>
      </c>
      <c r="AN2" t="s">
        <v>762</v>
      </c>
      <c r="AO2">
        <f>IFERROR(INDEX('List of Leagues'!$E:$E, MATCH(AN2, 'List of Leagues'!$F:$F, 0)), 0)</f>
        <v>0</v>
      </c>
      <c r="AP2" t="s">
        <v>762</v>
      </c>
      <c r="AQ2">
        <f>IFERROR(INDEX('List of Leagues'!$E:$E, MATCH(AP2, 'List of Leagues'!$F:$F, 0)), 0)</f>
        <v>0</v>
      </c>
      <c r="AR2" t="s">
        <v>762</v>
      </c>
      <c r="AS2">
        <f>IFERROR(INDEX('List of Leagues'!$E:$E, MATCH(AR2, 'List of Leagues'!$F:$F, 0)), 0)</f>
        <v>0</v>
      </c>
      <c r="AT2" t="s">
        <v>762</v>
      </c>
      <c r="AU2">
        <f>IFERROR(INDEX('List of Leagues'!$E:$E, MATCH(AT2, 'List of Leagues'!$F:$F, 0)), 0)</f>
        <v>0</v>
      </c>
      <c r="AV2">
        <f>AVERAGE(AK2, AM2, AO2, AQ2, AS2, AU2)</f>
        <v>22.3</v>
      </c>
    </row>
    <row r="3" spans="1:48" x14ac:dyDescent="0.35">
      <c r="A3" t="s">
        <v>4</v>
      </c>
      <c r="B3">
        <v>39</v>
      </c>
      <c r="C3">
        <v>2008</v>
      </c>
      <c r="D3" t="s">
        <v>5</v>
      </c>
      <c r="E3" t="s">
        <v>6</v>
      </c>
      <c r="F3" t="s">
        <v>131</v>
      </c>
      <c r="G3" t="s">
        <v>133</v>
      </c>
      <c r="H3">
        <v>60</v>
      </c>
      <c r="I3">
        <v>24</v>
      </c>
      <c r="J3">
        <v>19</v>
      </c>
      <c r="K3">
        <v>17</v>
      </c>
      <c r="L3">
        <v>91</v>
      </c>
      <c r="M3" s="2">
        <f>AVERAGE(4808167, 5134229)</f>
        <v>4971198</v>
      </c>
      <c r="N3">
        <v>2</v>
      </c>
      <c r="O3">
        <v>0</v>
      </c>
      <c r="P3">
        <v>10</v>
      </c>
      <c r="Q3">
        <f>IF(COUNTIF($A$2:A3, A3) &gt; 1, 1, 0)</f>
        <v>0</v>
      </c>
      <c r="R3" t="b">
        <v>1</v>
      </c>
      <c r="S3" t="s">
        <v>750</v>
      </c>
      <c r="T3">
        <f>IFERROR(INDEX('List of Leagues'!E:E, MATCH(S3, 'List of Leagues'!F:F, 0)), 0)</f>
        <v>0</v>
      </c>
      <c r="U3" t="s">
        <v>764</v>
      </c>
      <c r="V3">
        <f>IFERROR(INDEX('List of Leagues'!E:E, MATCH(U3, 'List of Leagues'!F:F, 0)), 0)</f>
        <v>0</v>
      </c>
      <c r="W3" t="s">
        <v>537</v>
      </c>
      <c r="X3">
        <f>IFERROR(INDEX('List of Leagues'!E:E, MATCH(W3, 'List of Leagues'!F:F, 0)), 0)</f>
        <v>71</v>
      </c>
      <c r="Y3" t="s">
        <v>178</v>
      </c>
      <c r="Z3">
        <f>IFERROR(INDEX('List of Leagues'!E:E, MATCH(Y3, 'List of Leagues'!F:F, 0)), 0)</f>
        <v>69.3</v>
      </c>
      <c r="AA3" t="s">
        <v>762</v>
      </c>
      <c r="AB3">
        <f>IFERROR(INDEX('List of Leagues'!E:E, MATCH(AA3, 'List of Leagues'!F:F, 0)), 0)</f>
        <v>0</v>
      </c>
      <c r="AC3" t="s">
        <v>762</v>
      </c>
      <c r="AD3">
        <f>IFERROR(INDEX('List of Leagues'!E:E, MATCH(AC3, 'List of Leagues'!F:F, 0)), 0)</f>
        <v>0</v>
      </c>
      <c r="AE3" t="s">
        <v>762</v>
      </c>
      <c r="AF3">
        <f>IFERROR(INDEX('List of Leagues'!E:E, MATCH(AE3, 'List of Leagues'!F:F, 0)), 0)</f>
        <v>0</v>
      </c>
      <c r="AG3" t="s">
        <v>762</v>
      </c>
      <c r="AH3">
        <f>IFERROR(INDEX('List of Leagues'!E:E, MATCH(AG3, 'List of Leagues'!F:F, 0)), 0)</f>
        <v>0</v>
      </c>
      <c r="AI3">
        <f t="shared" si="0"/>
        <v>17.537500000000001</v>
      </c>
      <c r="AJ3" t="s">
        <v>185</v>
      </c>
      <c r="AK3">
        <f>IFERROR(INDEX('List of Leagues'!$E:$E, MATCH(AJ3, 'List of Leagues'!$F:$F, 0)), 0)</f>
        <v>75.400000000000006</v>
      </c>
      <c r="AL3" t="s">
        <v>187</v>
      </c>
      <c r="AM3">
        <f>IFERROR(INDEX('List of Leagues'!$E:$E, MATCH(AL3, 'List of Leagues'!$F:$F, 0)), 0)</f>
        <v>58.4</v>
      </c>
      <c r="AN3" t="s">
        <v>178</v>
      </c>
      <c r="AO3">
        <f>IFERROR(INDEX('List of Leagues'!$E:$E, MATCH(AN3, 'List of Leagues'!$F:$F, 0)), 0)</f>
        <v>69.3</v>
      </c>
      <c r="AP3" t="s">
        <v>762</v>
      </c>
      <c r="AQ3">
        <f>IFERROR(INDEX('List of Leagues'!$E:$E, MATCH(AP3, 'List of Leagues'!$F:$F, 0)), 0)</f>
        <v>0</v>
      </c>
      <c r="AR3" t="s">
        <v>762</v>
      </c>
      <c r="AS3">
        <f>IFERROR(INDEX('List of Leagues'!$E:$E, MATCH(AR3, 'List of Leagues'!$F:$F, 0)), 0)</f>
        <v>0</v>
      </c>
      <c r="AT3" t="s">
        <v>762</v>
      </c>
      <c r="AU3">
        <f>IFERROR(INDEX('List of Leagues'!$E:$E, MATCH(AT3, 'List of Leagues'!$F:$F, 0)), 0)</f>
        <v>0</v>
      </c>
      <c r="AV3">
        <f t="shared" ref="AV3:AV66" si="1">AVERAGE(AK3, AM3, AO3, AQ3, AS3, AU3)</f>
        <v>33.85</v>
      </c>
    </row>
    <row r="4" spans="1:48" x14ac:dyDescent="0.35">
      <c r="A4" t="s">
        <v>18</v>
      </c>
      <c r="B4">
        <v>44</v>
      </c>
      <c r="C4">
        <v>2008</v>
      </c>
      <c r="D4" t="s">
        <v>19</v>
      </c>
      <c r="E4" t="s">
        <v>10</v>
      </c>
      <c r="F4" t="s">
        <v>10</v>
      </c>
      <c r="G4" t="s">
        <v>147</v>
      </c>
      <c r="H4">
        <f>I4+J4+K4</f>
        <v>173</v>
      </c>
      <c r="I4">
        <f>8+7+13+8+19+3</f>
        <v>58</v>
      </c>
      <c r="J4">
        <f>9+9+7+14+9+6</f>
        <v>54</v>
      </c>
      <c r="K4">
        <f>13+14+10+12+6+6</f>
        <v>61</v>
      </c>
      <c r="L4">
        <f>I4*3 + J4</f>
        <v>228</v>
      </c>
      <c r="M4" s="2">
        <v>2846640.2416666667</v>
      </c>
      <c r="N4">
        <v>6</v>
      </c>
      <c r="O4">
        <v>7</v>
      </c>
      <c r="P4">
        <v>3</v>
      </c>
      <c r="Q4">
        <v>1</v>
      </c>
      <c r="R4" t="b">
        <v>1</v>
      </c>
      <c r="S4" t="s">
        <v>185</v>
      </c>
      <c r="T4">
        <f>IFERROR(INDEX('List of Leagues'!E:E, MATCH(S4, 'List of Leagues'!F:F, 0)), 0)</f>
        <v>75.400000000000006</v>
      </c>
      <c r="U4" t="s">
        <v>184</v>
      </c>
      <c r="V4">
        <f>IFERROR(INDEX('List of Leagues'!E:E, MATCH(U4, 'List of Leagues'!F:F, 0)), 0)</f>
        <v>93.8</v>
      </c>
      <c r="W4" t="s">
        <v>178</v>
      </c>
      <c r="X4">
        <f>IFERROR(INDEX('List of Leagues'!E:E, MATCH(W4, 'List of Leagues'!F:F, 0)), 0)</f>
        <v>69.3</v>
      </c>
      <c r="Y4" t="s">
        <v>756</v>
      </c>
      <c r="Z4">
        <f>IFERROR(INDEX('List of Leagues'!E:E, MATCH(Y4, 'List of Leagues'!F:F, 0)), 0)</f>
        <v>76.8</v>
      </c>
      <c r="AA4" t="s">
        <v>762</v>
      </c>
      <c r="AB4">
        <f>IFERROR(INDEX('List of Leagues'!E:E, MATCH(AA4, 'List of Leagues'!F:F, 0)), 0)</f>
        <v>0</v>
      </c>
      <c r="AC4" t="s">
        <v>762</v>
      </c>
      <c r="AD4">
        <f>IFERROR(INDEX('List of Leagues'!E:E, MATCH(AC4, 'List of Leagues'!F:F, 0)), 0)</f>
        <v>0</v>
      </c>
      <c r="AE4" t="s">
        <v>762</v>
      </c>
      <c r="AF4">
        <f>IFERROR(INDEX('List of Leagues'!E:E, MATCH(AE4, 'List of Leagues'!F:F, 0)), 0)</f>
        <v>0</v>
      </c>
      <c r="AG4" t="s">
        <v>762</v>
      </c>
      <c r="AH4">
        <f>IFERROR(INDEX('List of Leagues'!E:E, MATCH(AG4, 'List of Leagues'!F:F, 0)), 0)</f>
        <v>0</v>
      </c>
      <c r="AI4">
        <f t="shared" si="0"/>
        <v>39.412500000000001</v>
      </c>
      <c r="AJ4" t="s">
        <v>171</v>
      </c>
      <c r="AK4">
        <f>IFERROR(INDEX('List of Leagues'!$E:$E, MATCH(AJ4, 'List of Leagues'!$F:$F, 0)), 0)</f>
        <v>0</v>
      </c>
      <c r="AL4" t="s">
        <v>770</v>
      </c>
      <c r="AM4">
        <f>IFERROR(INDEX('List of Leagues'!$E:$E, MATCH(AL4, 'List of Leagues'!$F:$F, 0)), 0)</f>
        <v>0</v>
      </c>
      <c r="AN4" t="s">
        <v>213</v>
      </c>
      <c r="AO4">
        <f>IFERROR(INDEX('List of Leagues'!$E:$E, MATCH(AN4, 'List of Leagues'!$F:$F, 0)), 0)</f>
        <v>0</v>
      </c>
      <c r="AP4" t="s">
        <v>187</v>
      </c>
      <c r="AQ4">
        <f>IFERROR(INDEX('List of Leagues'!$E:$E, MATCH(AP4, 'List of Leagues'!$F:$F, 0)), 0)</f>
        <v>58.4</v>
      </c>
      <c r="AR4" t="s">
        <v>762</v>
      </c>
      <c r="AS4">
        <f>IFERROR(INDEX('List of Leagues'!$E:$E, MATCH(AR4, 'List of Leagues'!$F:$F, 0)), 0)</f>
        <v>0</v>
      </c>
      <c r="AT4" t="s">
        <v>762</v>
      </c>
      <c r="AU4">
        <f>IFERROR(INDEX('List of Leagues'!$E:$E, MATCH(AT4, 'List of Leagues'!$F:$F, 0)), 0)</f>
        <v>0</v>
      </c>
      <c r="AV4">
        <f t="shared" si="1"/>
        <v>9.7333333333333325</v>
      </c>
    </row>
    <row r="5" spans="1:48" x14ac:dyDescent="0.35">
      <c r="A5" t="s">
        <v>8</v>
      </c>
      <c r="B5">
        <v>40</v>
      </c>
      <c r="C5">
        <v>2008</v>
      </c>
      <c r="D5" t="s">
        <v>9</v>
      </c>
      <c r="E5" t="s">
        <v>10</v>
      </c>
      <c r="F5" t="s">
        <v>10</v>
      </c>
      <c r="G5" t="s">
        <v>147</v>
      </c>
      <c r="H5">
        <v>122</v>
      </c>
      <c r="I5">
        <v>45</v>
      </c>
      <c r="J5">
        <v>37</v>
      </c>
      <c r="K5">
        <v>40</v>
      </c>
      <c r="L5">
        <v>172</v>
      </c>
      <c r="M5" s="2">
        <v>2707315.4625000004</v>
      </c>
      <c r="N5">
        <v>3</v>
      </c>
      <c r="O5">
        <v>0</v>
      </c>
      <c r="P5">
        <v>4</v>
      </c>
      <c r="Q5">
        <f>IF(COUNTIF($A$2:A5, A5) &gt; 1, 1, 0)</f>
        <v>0</v>
      </c>
      <c r="R5" t="b">
        <v>1</v>
      </c>
      <c r="S5" t="s">
        <v>207</v>
      </c>
      <c r="T5">
        <f>IFERROR(INDEX('List of Leagues'!E:E, MATCH(S5, 'List of Leagues'!F:F, 0)), 0)</f>
        <v>66.5</v>
      </c>
      <c r="U5" t="s">
        <v>762</v>
      </c>
      <c r="V5">
        <f>IFERROR(INDEX('List of Leagues'!E:E, MATCH(U5, 'List of Leagues'!F:F, 0)), 0)</f>
        <v>0</v>
      </c>
      <c r="W5" t="s">
        <v>762</v>
      </c>
      <c r="X5">
        <f>IFERROR(INDEX('List of Leagues'!E:E, MATCH(W5, 'List of Leagues'!F:F, 0)), 0)</f>
        <v>0</v>
      </c>
      <c r="Y5" t="s">
        <v>762</v>
      </c>
      <c r="Z5">
        <f>IFERROR(INDEX('List of Leagues'!E:E, MATCH(Y5, 'List of Leagues'!F:F, 0)), 0)</f>
        <v>0</v>
      </c>
      <c r="AA5" t="s">
        <v>762</v>
      </c>
      <c r="AB5">
        <f>IFERROR(INDEX('List of Leagues'!E:E, MATCH(AA5, 'List of Leagues'!F:F, 0)), 0)</f>
        <v>0</v>
      </c>
      <c r="AC5" t="s">
        <v>762</v>
      </c>
      <c r="AD5">
        <f>IFERROR(INDEX('List of Leagues'!E:E, MATCH(AC5, 'List of Leagues'!F:F, 0)), 0)</f>
        <v>0</v>
      </c>
      <c r="AE5" t="s">
        <v>762</v>
      </c>
      <c r="AF5">
        <f>IFERROR(INDEX('List of Leagues'!E:E, MATCH(AE5, 'List of Leagues'!F:F, 0)), 0)</f>
        <v>0</v>
      </c>
      <c r="AG5" t="s">
        <v>762</v>
      </c>
      <c r="AH5">
        <f>IFERROR(INDEX('List of Leagues'!E:E, MATCH(AG5, 'List of Leagues'!F:F, 0)), 0)</f>
        <v>0</v>
      </c>
      <c r="AI5">
        <f t="shared" si="0"/>
        <v>8.3125</v>
      </c>
      <c r="AJ5" t="s">
        <v>756</v>
      </c>
      <c r="AK5">
        <f>IFERROR(INDEX('List of Leagues'!$E:$E, MATCH(AJ5, 'List of Leagues'!$F:$F, 0)), 0)</f>
        <v>76.8</v>
      </c>
      <c r="AL5" t="s">
        <v>761</v>
      </c>
      <c r="AM5">
        <f>IFERROR(INDEX('List of Leagues'!$E:$E, MATCH(AL5, 'List of Leagues'!$F:$F, 0)), 0)</f>
        <v>66.3</v>
      </c>
      <c r="AN5" t="s">
        <v>185</v>
      </c>
      <c r="AO5">
        <f>IFERROR(INDEX('List of Leagues'!$E:$E, MATCH(AN5, 'List of Leagues'!$F:$F, 0)), 0)</f>
        <v>75.400000000000006</v>
      </c>
      <c r="AP5" t="s">
        <v>187</v>
      </c>
      <c r="AQ5">
        <f>IFERROR(INDEX('List of Leagues'!$E:$E, MATCH(AP5, 'List of Leagues'!$F:$F, 0)), 0)</f>
        <v>58.4</v>
      </c>
      <c r="AR5" t="s">
        <v>762</v>
      </c>
      <c r="AS5">
        <f>IFERROR(INDEX('List of Leagues'!$E:$E, MATCH(AR5, 'List of Leagues'!$F:$F, 0)), 0)</f>
        <v>0</v>
      </c>
      <c r="AT5" t="s">
        <v>762</v>
      </c>
      <c r="AU5">
        <f>IFERROR(INDEX('List of Leagues'!$E:$E, MATCH(AT5, 'List of Leagues'!$F:$F, 0)), 0)</f>
        <v>0</v>
      </c>
      <c r="AV5">
        <f t="shared" si="1"/>
        <v>46.15</v>
      </c>
    </row>
    <row r="6" spans="1:48" x14ac:dyDescent="0.35">
      <c r="A6" t="s">
        <v>20</v>
      </c>
      <c r="B6">
        <v>43</v>
      </c>
      <c r="C6">
        <v>2008</v>
      </c>
      <c r="D6" t="s">
        <v>21</v>
      </c>
      <c r="E6" t="s">
        <v>10</v>
      </c>
      <c r="F6" t="s">
        <v>10</v>
      </c>
      <c r="G6" t="s">
        <v>147</v>
      </c>
      <c r="H6">
        <f t="shared" ref="H6:H37" si="2">I6+J6+K6</f>
        <v>36</v>
      </c>
      <c r="I6">
        <v>11</v>
      </c>
      <c r="J6">
        <v>10</v>
      </c>
      <c r="K6">
        <v>15</v>
      </c>
      <c r="L6">
        <f t="shared" ref="L6:L37" si="3">I6*3 + J6</f>
        <v>43</v>
      </c>
      <c r="M6" s="2">
        <v>3439322.9249999998</v>
      </c>
      <c r="N6">
        <v>2</v>
      </c>
      <c r="O6">
        <v>2</v>
      </c>
      <c r="P6">
        <v>20</v>
      </c>
      <c r="Q6">
        <f>IF(COUNTIF($A$2:A6, A6) &gt; 1, 1, 0)</f>
        <v>0</v>
      </c>
      <c r="R6" t="b">
        <v>1</v>
      </c>
      <c r="S6" t="s">
        <v>207</v>
      </c>
      <c r="T6">
        <f>IFERROR(INDEX('List of Leagues'!E:E, MATCH(S6, 'List of Leagues'!F:F, 0)), 0)</f>
        <v>66.5</v>
      </c>
      <c r="U6" t="s">
        <v>762</v>
      </c>
      <c r="V6">
        <f>IFERROR(INDEX('List of Leagues'!E:E, MATCH(U6, 'List of Leagues'!F:F, 0)), 0)</f>
        <v>0</v>
      </c>
      <c r="W6" t="s">
        <v>762</v>
      </c>
      <c r="X6">
        <f>IFERROR(INDEX('List of Leagues'!E:E, MATCH(W6, 'List of Leagues'!F:F, 0)), 0)</f>
        <v>0</v>
      </c>
      <c r="Y6" t="s">
        <v>762</v>
      </c>
      <c r="Z6">
        <f>IFERROR(INDEX('List of Leagues'!E:E, MATCH(Y6, 'List of Leagues'!F:F, 0)), 0)</f>
        <v>0</v>
      </c>
      <c r="AA6" t="s">
        <v>762</v>
      </c>
      <c r="AB6">
        <f>IFERROR(INDEX('List of Leagues'!E:E, MATCH(AA6, 'List of Leagues'!F:F, 0)), 0)</f>
        <v>0</v>
      </c>
      <c r="AC6" t="s">
        <v>762</v>
      </c>
      <c r="AD6">
        <f>IFERROR(INDEX('List of Leagues'!E:E, MATCH(AC6, 'List of Leagues'!F:F, 0)), 0)</f>
        <v>0</v>
      </c>
      <c r="AE6" t="s">
        <v>762</v>
      </c>
      <c r="AF6">
        <f>IFERROR(INDEX('List of Leagues'!E:E, MATCH(AE6, 'List of Leagues'!F:F, 0)), 0)</f>
        <v>0</v>
      </c>
      <c r="AG6" t="s">
        <v>762</v>
      </c>
      <c r="AH6">
        <f>IFERROR(INDEX('List of Leagues'!E:E, MATCH(AG6, 'List of Leagues'!F:F, 0)), 0)</f>
        <v>0</v>
      </c>
      <c r="AI6">
        <f t="shared" si="0"/>
        <v>8.3125</v>
      </c>
      <c r="AJ6" t="s">
        <v>209</v>
      </c>
      <c r="AK6">
        <f>IFERROR(INDEX('List of Leagues'!$E:$E, MATCH(AJ6, 'List of Leagues'!$F:$F, 0)), 0)</f>
        <v>60.6</v>
      </c>
      <c r="AL6" t="s">
        <v>762</v>
      </c>
      <c r="AM6">
        <f>IFERROR(INDEX('List of Leagues'!$E:$E, MATCH(AL6, 'List of Leagues'!$F:$F, 0)), 0)</f>
        <v>0</v>
      </c>
      <c r="AN6" t="s">
        <v>762</v>
      </c>
      <c r="AO6">
        <f>IFERROR(INDEX('List of Leagues'!$E:$E, MATCH(AN6, 'List of Leagues'!$F:$F, 0)), 0)</f>
        <v>0</v>
      </c>
      <c r="AP6" t="s">
        <v>762</v>
      </c>
      <c r="AQ6">
        <f>IFERROR(INDEX('List of Leagues'!$E:$E, MATCH(AP6, 'List of Leagues'!$F:$F, 0)), 0)</f>
        <v>0</v>
      </c>
      <c r="AR6" t="s">
        <v>762</v>
      </c>
      <c r="AS6">
        <f>IFERROR(INDEX('List of Leagues'!$E:$E, MATCH(AR6, 'List of Leagues'!$F:$F, 0)), 0)</f>
        <v>0</v>
      </c>
      <c r="AT6" t="s">
        <v>762</v>
      </c>
      <c r="AU6">
        <f>IFERROR(INDEX('List of Leagues'!$E:$E, MATCH(AT6, 'List of Leagues'!$F:$F, 0)), 0)</f>
        <v>0</v>
      </c>
      <c r="AV6">
        <f t="shared" si="1"/>
        <v>10.1</v>
      </c>
    </row>
    <row r="7" spans="1:48" x14ac:dyDescent="0.35">
      <c r="A7" t="s">
        <v>16</v>
      </c>
      <c r="B7">
        <v>47</v>
      </c>
      <c r="C7">
        <v>2008</v>
      </c>
      <c r="D7" t="s">
        <v>17</v>
      </c>
      <c r="E7" t="s">
        <v>6</v>
      </c>
      <c r="F7" t="s">
        <v>132</v>
      </c>
      <c r="G7" t="s">
        <v>137</v>
      </c>
      <c r="H7">
        <f t="shared" si="2"/>
        <v>15</v>
      </c>
      <c r="I7">
        <v>6</v>
      </c>
      <c r="J7">
        <v>3</v>
      </c>
      <c r="K7">
        <v>6</v>
      </c>
      <c r="L7">
        <f t="shared" si="3"/>
        <v>21</v>
      </c>
      <c r="M7" s="2">
        <v>3458463.7850000001</v>
      </c>
      <c r="N7">
        <v>2</v>
      </c>
      <c r="O7">
        <v>1</v>
      </c>
      <c r="P7">
        <v>8</v>
      </c>
      <c r="Q7">
        <v>1</v>
      </c>
      <c r="R7" t="b">
        <v>1</v>
      </c>
      <c r="S7" t="s">
        <v>536</v>
      </c>
      <c r="T7">
        <f>IFERROR(INDEX('List of Leagues'!E:E, MATCH(S7, 'List of Leagues'!F:F, 0)), 0)</f>
        <v>78.099999999999994</v>
      </c>
      <c r="U7" t="s">
        <v>530</v>
      </c>
      <c r="V7">
        <f>IFERROR(INDEX('List of Leagues'!E:E, MATCH(U7, 'List of Leagues'!F:F, 0)), 0)</f>
        <v>86.2</v>
      </c>
      <c r="W7" t="s">
        <v>202</v>
      </c>
      <c r="X7">
        <f>IFERROR(INDEX('List of Leagues'!E:E, MATCH(W7, 'List of Leagues'!F:F, 0)), 0)</f>
        <v>51</v>
      </c>
      <c r="Y7" t="s">
        <v>762</v>
      </c>
      <c r="Z7">
        <f>IFERROR(INDEX('List of Leagues'!E:E, MATCH(Y7, 'List of Leagues'!F:F, 0)), 0)</f>
        <v>0</v>
      </c>
      <c r="AA7" t="s">
        <v>762</v>
      </c>
      <c r="AB7">
        <f>IFERROR(INDEX('List of Leagues'!E:E, MATCH(AA7, 'List of Leagues'!F:F, 0)), 0)</f>
        <v>0</v>
      </c>
      <c r="AC7" t="s">
        <v>762</v>
      </c>
      <c r="AD7">
        <f>IFERROR(INDEX('List of Leagues'!E:E, MATCH(AC7, 'List of Leagues'!F:F, 0)), 0)</f>
        <v>0</v>
      </c>
      <c r="AE7" t="s">
        <v>762</v>
      </c>
      <c r="AF7">
        <f>IFERROR(INDEX('List of Leagues'!E:E, MATCH(AE7, 'List of Leagues'!F:F, 0)), 0)</f>
        <v>0</v>
      </c>
      <c r="AG7" t="s">
        <v>762</v>
      </c>
      <c r="AH7">
        <f>IFERROR(INDEX('List of Leagues'!E:E, MATCH(AG7, 'List of Leagues'!F:F, 0)), 0)</f>
        <v>0</v>
      </c>
      <c r="AI7">
        <f t="shared" si="0"/>
        <v>26.912500000000001</v>
      </c>
      <c r="AJ7" t="s">
        <v>177</v>
      </c>
      <c r="AK7">
        <f>IFERROR(INDEX('List of Leagues'!$E:$E, MATCH(AJ7, 'List of Leagues'!$F:$F, 0)), 0)</f>
        <v>0</v>
      </c>
      <c r="AL7" t="s">
        <v>762</v>
      </c>
      <c r="AM7">
        <f>IFERROR(INDEX('List of Leagues'!$E:$E, MATCH(AL7, 'List of Leagues'!$F:$F, 0)), 0)</f>
        <v>0</v>
      </c>
      <c r="AN7" t="s">
        <v>762</v>
      </c>
      <c r="AO7">
        <f>IFERROR(INDEX('List of Leagues'!$E:$E, MATCH(AN7, 'List of Leagues'!$F:$F, 0)), 0)</f>
        <v>0</v>
      </c>
      <c r="AP7" t="s">
        <v>762</v>
      </c>
      <c r="AQ7">
        <f>IFERROR(INDEX('List of Leagues'!$E:$E, MATCH(AP7, 'List of Leagues'!$F:$F, 0)), 0)</f>
        <v>0</v>
      </c>
      <c r="AR7" t="s">
        <v>762</v>
      </c>
      <c r="AS7">
        <f>IFERROR(INDEX('List of Leagues'!$E:$E, MATCH(AR7, 'List of Leagues'!$F:$F, 0)), 0)</f>
        <v>0</v>
      </c>
      <c r="AT7" t="s">
        <v>762</v>
      </c>
      <c r="AU7">
        <f>IFERROR(INDEX('List of Leagues'!$E:$E, MATCH(AT7, 'List of Leagues'!$F:$F, 0)), 0)</f>
        <v>0</v>
      </c>
      <c r="AV7">
        <f t="shared" si="1"/>
        <v>0</v>
      </c>
    </row>
    <row r="8" spans="1:48" x14ac:dyDescent="0.35">
      <c r="A8" t="s">
        <v>13</v>
      </c>
      <c r="B8">
        <v>46</v>
      </c>
      <c r="C8">
        <v>2008</v>
      </c>
      <c r="D8" t="s">
        <v>14</v>
      </c>
      <c r="E8" t="s">
        <v>6</v>
      </c>
      <c r="F8" t="s">
        <v>131</v>
      </c>
      <c r="G8" t="s">
        <v>135</v>
      </c>
      <c r="H8">
        <f t="shared" si="2"/>
        <v>19</v>
      </c>
      <c r="I8">
        <v>6</v>
      </c>
      <c r="J8">
        <v>5</v>
      </c>
      <c r="K8">
        <v>8</v>
      </c>
      <c r="L8">
        <f t="shared" si="3"/>
        <v>23</v>
      </c>
      <c r="M8" s="2">
        <v>9177665.5999999996</v>
      </c>
      <c r="N8">
        <v>1</v>
      </c>
      <c r="O8">
        <v>3</v>
      </c>
      <c r="P8">
        <v>0</v>
      </c>
      <c r="Q8">
        <f>IF(COUNTIF($A$2:A8, A8) &gt; 1, 1, 0)</f>
        <v>0</v>
      </c>
      <c r="R8" t="b">
        <v>1</v>
      </c>
      <c r="S8" t="s">
        <v>209</v>
      </c>
      <c r="T8">
        <f>IFERROR(INDEX('List of Leagues'!E:E, MATCH(S8, 'List of Leagues'!F:F, 0)), 0)</f>
        <v>60.6</v>
      </c>
      <c r="U8" t="s">
        <v>197</v>
      </c>
      <c r="V8">
        <f>IFERROR(INDEX('List of Leagues'!E:E, MATCH(U8, 'List of Leagues'!F:F, 0)), 0)</f>
        <v>78.400000000000006</v>
      </c>
      <c r="W8" t="s">
        <v>185</v>
      </c>
      <c r="X8">
        <f>IFERROR(INDEX('List of Leagues'!E:E, MATCH(W8, 'List of Leagues'!F:F, 0)), 0)</f>
        <v>75.400000000000006</v>
      </c>
      <c r="Y8" t="s">
        <v>184</v>
      </c>
      <c r="Z8">
        <f>IFERROR(INDEX('List of Leagues'!E:E, MATCH(Y8, 'List of Leagues'!F:F, 0)), 0)</f>
        <v>93.8</v>
      </c>
      <c r="AA8" t="s">
        <v>756</v>
      </c>
      <c r="AB8">
        <f>IFERROR(INDEX('List of Leagues'!E:E, MATCH(AA8, 'List of Leagues'!F:F, 0)), 0)</f>
        <v>76.8</v>
      </c>
      <c r="AC8" t="s">
        <v>762</v>
      </c>
      <c r="AD8">
        <f>IFERROR(INDEX('List of Leagues'!E:E, MATCH(AC8, 'List of Leagues'!F:F, 0)), 0)</f>
        <v>0</v>
      </c>
      <c r="AE8" t="s">
        <v>762</v>
      </c>
      <c r="AF8">
        <f>IFERROR(INDEX('List of Leagues'!E:E, MATCH(AE8, 'List of Leagues'!F:F, 0)), 0)</f>
        <v>0</v>
      </c>
      <c r="AG8" t="s">
        <v>762</v>
      </c>
      <c r="AH8">
        <f>IFERROR(INDEX('List of Leagues'!E:E, MATCH(AG8, 'List of Leagues'!F:F, 0)), 0)</f>
        <v>0</v>
      </c>
      <c r="AI8">
        <f t="shared" si="0"/>
        <v>48.125</v>
      </c>
      <c r="AJ8" t="s">
        <v>178</v>
      </c>
      <c r="AK8">
        <f>IFERROR(INDEX('List of Leagues'!$E:$E, MATCH(AJ8, 'List of Leagues'!$F:$F, 0)), 0)</f>
        <v>69.3</v>
      </c>
      <c r="AL8" t="s">
        <v>762</v>
      </c>
      <c r="AM8">
        <f>IFERROR(INDEX('List of Leagues'!$E:$E, MATCH(AL8, 'List of Leagues'!$F:$F, 0)), 0)</f>
        <v>0</v>
      </c>
      <c r="AN8" t="s">
        <v>762</v>
      </c>
      <c r="AO8">
        <f>IFERROR(INDEX('List of Leagues'!$E:$E, MATCH(AN8, 'List of Leagues'!$F:$F, 0)), 0)</f>
        <v>0</v>
      </c>
      <c r="AP8" t="s">
        <v>762</v>
      </c>
      <c r="AQ8">
        <f>IFERROR(INDEX('List of Leagues'!$E:$E, MATCH(AP8, 'List of Leagues'!$F:$F, 0)), 0)</f>
        <v>0</v>
      </c>
      <c r="AR8" t="s">
        <v>762</v>
      </c>
      <c r="AS8">
        <f>IFERROR(INDEX('List of Leagues'!$E:$E, MATCH(AR8, 'List of Leagues'!$F:$F, 0)), 0)</f>
        <v>0</v>
      </c>
      <c r="AT8" t="s">
        <v>762</v>
      </c>
      <c r="AU8">
        <f>IFERROR(INDEX('List of Leagues'!$E:$E, MATCH(AT8, 'List of Leagues'!$F:$F, 0)), 0)</f>
        <v>0</v>
      </c>
      <c r="AV8">
        <f t="shared" si="1"/>
        <v>11.549999999999999</v>
      </c>
    </row>
    <row r="9" spans="1:48" x14ac:dyDescent="0.35">
      <c r="A9" t="s">
        <v>12</v>
      </c>
      <c r="B9">
        <v>57</v>
      </c>
      <c r="C9">
        <v>2008</v>
      </c>
      <c r="D9" t="s">
        <v>11</v>
      </c>
      <c r="E9" t="s">
        <v>10</v>
      </c>
      <c r="F9" t="s">
        <v>10</v>
      </c>
      <c r="G9" t="s">
        <v>134</v>
      </c>
      <c r="H9">
        <f t="shared" si="2"/>
        <v>179</v>
      </c>
      <c r="I9">
        <f>4+11+12+15+9+11</f>
        <v>62</v>
      </c>
      <c r="J9">
        <f>8+6+14+7+12+11</f>
        <v>58</v>
      </c>
      <c r="K9">
        <f>5+13+4+12+13+12</f>
        <v>59</v>
      </c>
      <c r="L9">
        <f t="shared" si="3"/>
        <v>244</v>
      </c>
      <c r="M9" s="2">
        <v>3597224</v>
      </c>
      <c r="N9">
        <v>5</v>
      </c>
      <c r="O9">
        <v>31</v>
      </c>
      <c r="P9">
        <v>1</v>
      </c>
      <c r="Q9">
        <f>IF(COUNTIF($A$2:A9, A9) &gt; 1, 1, 0)</f>
        <v>0</v>
      </c>
      <c r="R9" t="b">
        <v>1</v>
      </c>
      <c r="S9" t="s">
        <v>176</v>
      </c>
      <c r="T9">
        <f>IFERROR(INDEX('List of Leagues'!E:E, MATCH(S9, 'List of Leagues'!F:F, 0)), 0)</f>
        <v>0</v>
      </c>
      <c r="U9" t="s">
        <v>762</v>
      </c>
      <c r="V9">
        <f>IFERROR(INDEX('List of Leagues'!E:E, MATCH(U9, 'List of Leagues'!F:F, 0)), 0)</f>
        <v>0</v>
      </c>
      <c r="W9" t="s">
        <v>762</v>
      </c>
      <c r="X9">
        <f>IFERROR(INDEX('List of Leagues'!E:E, MATCH(W9, 'List of Leagues'!F:F, 0)), 0)</f>
        <v>0</v>
      </c>
      <c r="Y9" t="s">
        <v>762</v>
      </c>
      <c r="Z9">
        <f>IFERROR(INDEX('List of Leagues'!E:E, MATCH(Y9, 'List of Leagues'!F:F, 0)), 0)</f>
        <v>0</v>
      </c>
      <c r="AA9" t="s">
        <v>762</v>
      </c>
      <c r="AB9">
        <f>IFERROR(INDEX('List of Leagues'!E:E, MATCH(AA9, 'List of Leagues'!F:F, 0)), 0)</f>
        <v>0</v>
      </c>
      <c r="AC9" t="s">
        <v>762</v>
      </c>
      <c r="AD9">
        <f>IFERROR(INDEX('List of Leagues'!E:E, MATCH(AC9, 'List of Leagues'!F:F, 0)), 0)</f>
        <v>0</v>
      </c>
      <c r="AE9" t="s">
        <v>762</v>
      </c>
      <c r="AF9">
        <f>IFERROR(INDEX('List of Leagues'!E:E, MATCH(AE9, 'List of Leagues'!F:F, 0)), 0)</f>
        <v>0</v>
      </c>
      <c r="AG9" t="s">
        <v>762</v>
      </c>
      <c r="AH9">
        <f>IFERROR(INDEX('List of Leagues'!E:E, MATCH(AG9, 'List of Leagues'!F:F, 0)), 0)</f>
        <v>0</v>
      </c>
      <c r="AI9">
        <f t="shared" si="0"/>
        <v>0</v>
      </c>
      <c r="AJ9" t="s">
        <v>171</v>
      </c>
      <c r="AK9">
        <f>IFERROR(INDEX('List of Leagues'!$E:$E, MATCH(AJ9, 'List of Leagues'!$F:$F, 0)), 0)</f>
        <v>0</v>
      </c>
      <c r="AL9" t="s">
        <v>178</v>
      </c>
      <c r="AM9">
        <f>IFERROR(INDEX('List of Leagues'!$E:$E, MATCH(AL9, 'List of Leagues'!$F:$F, 0)), 0)</f>
        <v>69.3</v>
      </c>
      <c r="AN9" t="s">
        <v>756</v>
      </c>
      <c r="AO9">
        <f>IFERROR(INDEX('List of Leagues'!$E:$E, MATCH(AN9, 'List of Leagues'!$F:$F, 0)), 0)</f>
        <v>76.8</v>
      </c>
      <c r="AP9" t="s">
        <v>761</v>
      </c>
      <c r="AQ9">
        <f>IFERROR(INDEX('List of Leagues'!$E:$E, MATCH(AP9, 'List of Leagues'!$F:$F, 0)), 0)</f>
        <v>66.3</v>
      </c>
      <c r="AR9" t="s">
        <v>208</v>
      </c>
      <c r="AS9">
        <f>IFERROR(INDEX('List of Leagues'!$E:$E, MATCH(AR9, 'List of Leagues'!$F:$F, 0)), 0)</f>
        <v>85.1</v>
      </c>
      <c r="AT9" t="s">
        <v>185</v>
      </c>
      <c r="AU9">
        <f>IFERROR(INDEX('List of Leagues'!$E:$E, MATCH(AT9, 'List of Leagues'!$F:$F, 0)), 0)</f>
        <v>75.400000000000006</v>
      </c>
      <c r="AV9">
        <f t="shared" si="1"/>
        <v>62.15</v>
      </c>
    </row>
    <row r="10" spans="1:48" x14ac:dyDescent="0.35">
      <c r="A10" t="s">
        <v>109</v>
      </c>
      <c r="B10">
        <v>43</v>
      </c>
      <c r="C10">
        <v>2009</v>
      </c>
      <c r="D10" t="s">
        <v>24</v>
      </c>
      <c r="E10" t="s">
        <v>10</v>
      </c>
      <c r="F10" t="s">
        <v>10</v>
      </c>
      <c r="G10" t="s">
        <v>136</v>
      </c>
      <c r="H10">
        <f t="shared" si="2"/>
        <v>463</v>
      </c>
      <c r="I10">
        <f>3+11+13+18+17+14+14+13+12+18+10+12+17+11+12</f>
        <v>195</v>
      </c>
      <c r="J10">
        <f>7+6+12+9+7+7+9+8+13+8+8+3+7+7+8</f>
        <v>119</v>
      </c>
      <c r="K10">
        <f>2+13+9+7+10+13+11+13+9+8+13+8+8+3+7+7+8</f>
        <v>149</v>
      </c>
      <c r="L10">
        <f t="shared" si="3"/>
        <v>704</v>
      </c>
      <c r="M10" s="2">
        <v>8273948.8653333336</v>
      </c>
      <c r="N10">
        <v>14</v>
      </c>
      <c r="O10">
        <v>0</v>
      </c>
      <c r="P10">
        <v>0</v>
      </c>
      <c r="Q10">
        <f>IF(COUNTIF($A$2:A10, A10) &gt; 1, 1, 0)</f>
        <v>0</v>
      </c>
      <c r="R10" t="b">
        <v>1</v>
      </c>
      <c r="S10" t="s">
        <v>750</v>
      </c>
      <c r="T10">
        <f>IFERROR(INDEX('List of Leagues'!E:E, MATCH(S10, 'List of Leagues'!F:F, 0)), 0)</f>
        <v>0</v>
      </c>
      <c r="U10" t="s">
        <v>209</v>
      </c>
      <c r="V10">
        <f>IFERROR(INDEX('List of Leagues'!E:E, MATCH(U10, 'List of Leagues'!F:F, 0)), 0)</f>
        <v>60.6</v>
      </c>
      <c r="W10" t="s">
        <v>762</v>
      </c>
      <c r="X10">
        <f>IFERROR(INDEX('List of Leagues'!E:E, MATCH(W10, 'List of Leagues'!F:F, 0)), 0)</f>
        <v>0</v>
      </c>
      <c r="Y10" t="s">
        <v>659</v>
      </c>
      <c r="Z10">
        <f>IFERROR(INDEX('List of Leagues'!E:E, MATCH(Y10, 'List of Leagues'!F:F, 0)), 0)</f>
        <v>70.8</v>
      </c>
      <c r="AA10" t="s">
        <v>178</v>
      </c>
      <c r="AB10">
        <f>IFERROR(INDEX('List of Leagues'!E:E, MATCH(AA10, 'List of Leagues'!F:F, 0)), 0)</f>
        <v>69.3</v>
      </c>
      <c r="AC10" t="s">
        <v>756</v>
      </c>
      <c r="AD10">
        <f>IFERROR(INDEX('List of Leagues'!E:E, MATCH(AC10, 'List of Leagues'!F:F, 0)), 0)</f>
        <v>76.8</v>
      </c>
      <c r="AE10" t="s">
        <v>762</v>
      </c>
      <c r="AF10">
        <f>IFERROR(INDEX('List of Leagues'!E:E, MATCH(AE10, 'List of Leagues'!F:F, 0)), 0)</f>
        <v>0</v>
      </c>
      <c r="AG10" t="s">
        <v>762</v>
      </c>
      <c r="AH10">
        <f>IFERROR(INDEX('List of Leagues'!E:E, MATCH(AG10, 'List of Leagues'!F:F, 0)), 0)</f>
        <v>0</v>
      </c>
      <c r="AI10">
        <f t="shared" si="0"/>
        <v>34.6875</v>
      </c>
      <c r="AJ10" t="s">
        <v>171</v>
      </c>
      <c r="AK10">
        <f>IFERROR(INDEX('List of Leagues'!$E:$E, MATCH(AJ10, 'List of Leagues'!$F:$F, 0)), 0)</f>
        <v>0</v>
      </c>
      <c r="AL10" t="s">
        <v>178</v>
      </c>
      <c r="AM10">
        <f>IFERROR(INDEX('List of Leagues'!$E:$E, MATCH(AL10, 'List of Leagues'!$F:$F, 0)), 0)</f>
        <v>69.3</v>
      </c>
      <c r="AN10" t="s">
        <v>756</v>
      </c>
      <c r="AO10">
        <f>IFERROR(INDEX('List of Leagues'!$E:$E, MATCH(AN10, 'List of Leagues'!$F:$F, 0)), 0)</f>
        <v>76.8</v>
      </c>
      <c r="AP10" t="s">
        <v>761</v>
      </c>
      <c r="AQ10">
        <f>IFERROR(INDEX('List of Leagues'!$E:$E, MATCH(AP10, 'List of Leagues'!$F:$F, 0)), 0)</f>
        <v>66.3</v>
      </c>
      <c r="AR10" t="s">
        <v>208</v>
      </c>
      <c r="AS10">
        <f>IFERROR(INDEX('List of Leagues'!$E:$E, MATCH(AR10, 'List of Leagues'!$F:$F, 0)), 0)</f>
        <v>85.1</v>
      </c>
      <c r="AT10" t="s">
        <v>185</v>
      </c>
      <c r="AU10">
        <f>IFERROR(INDEX('List of Leagues'!$E:$E, MATCH(AT10, 'List of Leagues'!$F:$F, 0)), 0)</f>
        <v>75.400000000000006</v>
      </c>
      <c r="AV10">
        <f t="shared" si="1"/>
        <v>62.15</v>
      </c>
    </row>
    <row r="11" spans="1:48" x14ac:dyDescent="0.35">
      <c r="A11" t="s">
        <v>22</v>
      </c>
      <c r="B11">
        <v>46</v>
      </c>
      <c r="C11">
        <v>2009</v>
      </c>
      <c r="D11" t="s">
        <v>23</v>
      </c>
      <c r="E11" t="s">
        <v>10</v>
      </c>
      <c r="F11" t="s">
        <v>10</v>
      </c>
      <c r="G11" t="s">
        <v>138</v>
      </c>
      <c r="H11">
        <f t="shared" si="2"/>
        <v>154</v>
      </c>
      <c r="I11">
        <f>13+14+13+15+8</f>
        <v>63</v>
      </c>
      <c r="J11">
        <f>10+8+8+7+5</f>
        <v>38</v>
      </c>
      <c r="K11">
        <f>7+8+13+12+13</f>
        <v>53</v>
      </c>
      <c r="L11">
        <f t="shared" si="3"/>
        <v>227</v>
      </c>
      <c r="M11" s="2">
        <v>3324535.8600000003</v>
      </c>
      <c r="N11">
        <v>5</v>
      </c>
      <c r="O11">
        <v>0</v>
      </c>
      <c r="P11">
        <v>5</v>
      </c>
      <c r="Q11">
        <f>IF(COUNTIF($A$2:A11, A11) &gt; 1, 1, 0)</f>
        <v>0</v>
      </c>
      <c r="R11" t="b">
        <v>1</v>
      </c>
      <c r="S11" t="s">
        <v>753</v>
      </c>
      <c r="T11">
        <f>IFERROR(INDEX('List of Leagues'!E:E, MATCH(S11, 'List of Leagues'!F:F, 0)), 0)</f>
        <v>73.5</v>
      </c>
      <c r="U11" t="s">
        <v>184</v>
      </c>
      <c r="V11">
        <f>IFERROR(INDEX('List of Leagues'!E:E, MATCH(U11, 'List of Leagues'!F:F, 0)), 0)</f>
        <v>93.8</v>
      </c>
      <c r="W11" t="s">
        <v>178</v>
      </c>
      <c r="X11">
        <f>IFERROR(INDEX('List of Leagues'!E:E, MATCH(W11, 'List of Leagues'!F:F, 0)), 0)</f>
        <v>69.3</v>
      </c>
      <c r="Y11" t="s">
        <v>659</v>
      </c>
      <c r="Z11">
        <f>IFERROR(INDEX('List of Leagues'!E:E, MATCH(Y11, 'List of Leagues'!F:F, 0)), 0)</f>
        <v>70.8</v>
      </c>
      <c r="AA11" t="s">
        <v>756</v>
      </c>
      <c r="AB11">
        <f>IFERROR(INDEX('List of Leagues'!E:E, MATCH(AA11, 'List of Leagues'!F:F, 0)), 0)</f>
        <v>76.8</v>
      </c>
      <c r="AC11" t="s">
        <v>762</v>
      </c>
      <c r="AD11">
        <f>IFERROR(INDEX('List of Leagues'!E:E, MATCH(AC11, 'List of Leagues'!F:F, 0)), 0)</f>
        <v>0</v>
      </c>
      <c r="AE11" t="s">
        <v>762</v>
      </c>
      <c r="AF11">
        <f>IFERROR(INDEX('List of Leagues'!E:E, MATCH(AE11, 'List of Leagues'!F:F, 0)), 0)</f>
        <v>0</v>
      </c>
      <c r="AG11" t="s">
        <v>762</v>
      </c>
      <c r="AH11">
        <f>IFERROR(INDEX('List of Leagues'!E:E, MATCH(AG11, 'List of Leagues'!F:F, 0)), 0)</f>
        <v>0</v>
      </c>
      <c r="AI11">
        <f t="shared" si="0"/>
        <v>48.025000000000006</v>
      </c>
      <c r="AJ11" t="s">
        <v>204</v>
      </c>
      <c r="AK11">
        <f>IFERROR(INDEX('List of Leagues'!$E:$E, MATCH(AJ11, 'List of Leagues'!$F:$F, 0)), 0)</f>
        <v>48.5</v>
      </c>
      <c r="AL11" t="s">
        <v>762</v>
      </c>
      <c r="AM11">
        <f>IFERROR(INDEX('List of Leagues'!$E:$E, MATCH(AL11, 'List of Leagues'!$F:$F, 0)), 0)</f>
        <v>0</v>
      </c>
      <c r="AN11" t="s">
        <v>762</v>
      </c>
      <c r="AO11">
        <f>IFERROR(INDEX('List of Leagues'!$E:$E, MATCH(AN11, 'List of Leagues'!$F:$F, 0)), 0)</f>
        <v>0</v>
      </c>
      <c r="AP11" t="s">
        <v>762</v>
      </c>
      <c r="AQ11">
        <f>IFERROR(INDEX('List of Leagues'!$E:$E, MATCH(AP11, 'List of Leagues'!$F:$F, 0)), 0)</f>
        <v>0</v>
      </c>
      <c r="AR11" t="s">
        <v>762</v>
      </c>
      <c r="AS11">
        <f>IFERROR(INDEX('List of Leagues'!$E:$E, MATCH(AR11, 'List of Leagues'!$F:$F, 0)), 0)</f>
        <v>0</v>
      </c>
      <c r="AT11" t="s">
        <v>762</v>
      </c>
      <c r="AU11">
        <f>IFERROR(INDEX('List of Leagues'!$E:$E, MATCH(AT11, 'List of Leagues'!$F:$F, 0)), 0)</f>
        <v>0</v>
      </c>
      <c r="AV11">
        <f t="shared" si="1"/>
        <v>8.0833333333333339</v>
      </c>
    </row>
    <row r="12" spans="1:48" x14ac:dyDescent="0.35">
      <c r="A12" t="s">
        <v>25</v>
      </c>
      <c r="B12">
        <v>56</v>
      </c>
      <c r="C12">
        <v>2009</v>
      </c>
      <c r="D12" t="s">
        <v>26</v>
      </c>
      <c r="E12" t="s">
        <v>10</v>
      </c>
      <c r="F12" t="s">
        <v>10</v>
      </c>
      <c r="G12" t="s">
        <v>139</v>
      </c>
      <c r="H12">
        <f t="shared" si="2"/>
        <v>250</v>
      </c>
      <c r="I12">
        <f>12+14+18+15+15+20+15+6</f>
        <v>115</v>
      </c>
      <c r="J12">
        <f>6+4+7+11+9+6+11+2</f>
        <v>56</v>
      </c>
      <c r="K12">
        <f>7+10+7+8+12+10+13+12</f>
        <v>79</v>
      </c>
      <c r="L12">
        <f t="shared" si="3"/>
        <v>401</v>
      </c>
      <c r="M12" s="2">
        <v>7822111.9275000002</v>
      </c>
      <c r="N12">
        <v>7</v>
      </c>
      <c r="O12">
        <v>34</v>
      </c>
      <c r="P12">
        <v>11</v>
      </c>
      <c r="Q12">
        <v>1</v>
      </c>
      <c r="R12" t="b">
        <v>0</v>
      </c>
      <c r="S12" t="s">
        <v>179</v>
      </c>
      <c r="T12">
        <f>IFERROR(INDEX('List of Leagues'!E:E, MATCH(S12, 'List of Leagues'!F:F, 0)), 0)</f>
        <v>0</v>
      </c>
      <c r="U12" t="s">
        <v>762</v>
      </c>
      <c r="V12">
        <f>IFERROR(INDEX('List of Leagues'!E:E, MATCH(U12, 'List of Leagues'!F:F, 0)), 0)</f>
        <v>0</v>
      </c>
      <c r="W12" t="s">
        <v>762</v>
      </c>
      <c r="X12">
        <f>IFERROR(INDEX('List of Leagues'!E:E, MATCH(W12, 'List of Leagues'!F:F, 0)), 0)</f>
        <v>0</v>
      </c>
      <c r="Y12" t="s">
        <v>762</v>
      </c>
      <c r="Z12">
        <f>IFERROR(INDEX('List of Leagues'!E:E, MATCH(Y12, 'List of Leagues'!F:F, 0)), 0)</f>
        <v>0</v>
      </c>
      <c r="AA12" t="s">
        <v>762</v>
      </c>
      <c r="AB12">
        <f>IFERROR(INDEX('List of Leagues'!E:E, MATCH(AA12, 'List of Leagues'!F:F, 0)), 0)</f>
        <v>0</v>
      </c>
      <c r="AC12" t="s">
        <v>762</v>
      </c>
      <c r="AD12">
        <f>IFERROR(INDEX('List of Leagues'!E:E, MATCH(AC12, 'List of Leagues'!F:F, 0)), 0)</f>
        <v>0</v>
      </c>
      <c r="AE12" t="s">
        <v>762</v>
      </c>
      <c r="AF12">
        <f>IFERROR(INDEX('List of Leagues'!E:E, MATCH(AE12, 'List of Leagues'!F:F, 0)), 0)</f>
        <v>0</v>
      </c>
      <c r="AG12" t="s">
        <v>762</v>
      </c>
      <c r="AH12">
        <f>IFERROR(INDEX('List of Leagues'!E:E, MATCH(AG12, 'List of Leagues'!F:F, 0)), 0)</f>
        <v>0</v>
      </c>
      <c r="AI12">
        <f t="shared" si="0"/>
        <v>0</v>
      </c>
      <c r="AJ12" t="s">
        <v>177</v>
      </c>
      <c r="AK12">
        <f>IFERROR(INDEX('List of Leagues'!$E:$E, MATCH(AJ12, 'List of Leagues'!$F:$F, 0)), 0)</f>
        <v>0</v>
      </c>
      <c r="AL12" t="s">
        <v>762</v>
      </c>
      <c r="AM12">
        <f>IFERROR(INDEX('List of Leagues'!$E:$E, MATCH(AL12, 'List of Leagues'!$F:$F, 0)), 0)</f>
        <v>0</v>
      </c>
      <c r="AN12" t="s">
        <v>762</v>
      </c>
      <c r="AO12">
        <f>IFERROR(INDEX('List of Leagues'!$E:$E, MATCH(AN12, 'List of Leagues'!$F:$F, 0)), 0)</f>
        <v>0</v>
      </c>
      <c r="AP12" t="s">
        <v>762</v>
      </c>
      <c r="AQ12">
        <f>IFERROR(INDEX('List of Leagues'!$E:$E, MATCH(AP12, 'List of Leagues'!$F:$F, 0)), 0)</f>
        <v>0</v>
      </c>
      <c r="AR12" t="s">
        <v>762</v>
      </c>
      <c r="AS12">
        <f>IFERROR(INDEX('List of Leagues'!$E:$E, MATCH(AR12, 'List of Leagues'!$F:$F, 0)), 0)</f>
        <v>0</v>
      </c>
      <c r="AT12" t="s">
        <v>762</v>
      </c>
      <c r="AU12">
        <f>IFERROR(INDEX('List of Leagues'!$E:$E, MATCH(AT12, 'List of Leagues'!$F:$F, 0)), 0)</f>
        <v>0</v>
      </c>
      <c r="AV12">
        <f t="shared" si="1"/>
        <v>0</v>
      </c>
    </row>
    <row r="13" spans="1:48" x14ac:dyDescent="0.35">
      <c r="A13" t="s">
        <v>31</v>
      </c>
      <c r="B13">
        <v>33</v>
      </c>
      <c r="C13">
        <v>2010</v>
      </c>
      <c r="D13" t="s">
        <v>198</v>
      </c>
      <c r="E13" t="s">
        <v>10</v>
      </c>
      <c r="F13" t="s">
        <v>10</v>
      </c>
      <c r="G13" t="s">
        <v>136</v>
      </c>
      <c r="H13">
        <f t="shared" si="2"/>
        <v>334</v>
      </c>
      <c r="I13">
        <f>3+13+14+9+11+15+17+3+17+9+2</f>
        <v>113</v>
      </c>
      <c r="J13">
        <f>1+11+9+5+13+6+8+7+7+12+5</f>
        <v>84</v>
      </c>
      <c r="K13">
        <f>8+10+11+20+10+13+9+24+10+13+9</f>
        <v>137</v>
      </c>
      <c r="L13">
        <f t="shared" si="3"/>
        <v>423</v>
      </c>
      <c r="M13" s="2">
        <v>6083439.5090909088</v>
      </c>
      <c r="N13">
        <v>10</v>
      </c>
      <c r="O13">
        <v>0</v>
      </c>
      <c r="P13">
        <v>1</v>
      </c>
      <c r="Q13">
        <f>IF(COUNTIF($A$2:A13, A13) &gt; 1, 1, 0)</f>
        <v>0</v>
      </c>
      <c r="R13" t="b">
        <v>1</v>
      </c>
      <c r="S13" t="s">
        <v>178</v>
      </c>
      <c r="T13">
        <f>IFERROR(INDEX('List of Leagues'!E:E, MATCH(S13, 'List of Leagues'!F:F, 0)), 0)</f>
        <v>69.3</v>
      </c>
      <c r="U13" t="s">
        <v>185</v>
      </c>
      <c r="V13">
        <f>IFERROR(INDEX('List of Leagues'!E:E, MATCH(U13, 'List of Leagues'!F:F, 0)), 0)</f>
        <v>75.400000000000006</v>
      </c>
      <c r="W13" t="s">
        <v>756</v>
      </c>
      <c r="X13">
        <f>IFERROR(INDEX('List of Leagues'!E:E, MATCH(W13, 'List of Leagues'!F:F, 0)), 0)</f>
        <v>76.8</v>
      </c>
      <c r="Y13" t="s">
        <v>762</v>
      </c>
      <c r="Z13">
        <f>IFERROR(INDEX('List of Leagues'!E:E, MATCH(Y13, 'List of Leagues'!F:F, 0)), 0)</f>
        <v>0</v>
      </c>
      <c r="AA13" t="s">
        <v>762</v>
      </c>
      <c r="AB13">
        <f>IFERROR(INDEX('List of Leagues'!E:E, MATCH(AA13, 'List of Leagues'!F:F, 0)), 0)</f>
        <v>0</v>
      </c>
      <c r="AC13" t="s">
        <v>762</v>
      </c>
      <c r="AD13">
        <f>IFERROR(INDEX('List of Leagues'!E:E, MATCH(AC13, 'List of Leagues'!F:F, 0)), 0)</f>
        <v>0</v>
      </c>
      <c r="AE13" t="s">
        <v>762</v>
      </c>
      <c r="AF13">
        <f>IFERROR(INDEX('List of Leagues'!E:E, MATCH(AE13, 'List of Leagues'!F:F, 0)), 0)</f>
        <v>0</v>
      </c>
      <c r="AG13" t="s">
        <v>762</v>
      </c>
      <c r="AH13">
        <f>IFERROR(INDEX('List of Leagues'!E:E, MATCH(AG13, 'List of Leagues'!F:F, 0)), 0)</f>
        <v>0</v>
      </c>
      <c r="AI13">
        <f t="shared" si="0"/>
        <v>27.6875</v>
      </c>
      <c r="AJ13" t="s">
        <v>187</v>
      </c>
      <c r="AK13">
        <f>IFERROR(INDEX('List of Leagues'!$E:$E, MATCH(AJ13, 'List of Leagues'!$F:$F, 0)), 0)</f>
        <v>58.4</v>
      </c>
      <c r="AL13" t="s">
        <v>762</v>
      </c>
      <c r="AM13">
        <f>IFERROR(INDEX('List of Leagues'!$E:$E, MATCH(AL13, 'List of Leagues'!$F:$F, 0)), 0)</f>
        <v>0</v>
      </c>
      <c r="AN13" t="s">
        <v>762</v>
      </c>
      <c r="AO13">
        <f>IFERROR(INDEX('List of Leagues'!$E:$E, MATCH(AN13, 'List of Leagues'!$F:$F, 0)), 0)</f>
        <v>0</v>
      </c>
      <c r="AP13" t="s">
        <v>762</v>
      </c>
      <c r="AQ13">
        <f>IFERROR(INDEX('List of Leagues'!$E:$E, MATCH(AP13, 'List of Leagues'!$F:$F, 0)), 0)</f>
        <v>0</v>
      </c>
      <c r="AR13" t="s">
        <v>762</v>
      </c>
      <c r="AS13">
        <f>IFERROR(INDEX('List of Leagues'!$E:$E, MATCH(AR13, 'List of Leagues'!$F:$F, 0)), 0)</f>
        <v>0</v>
      </c>
      <c r="AT13" t="s">
        <v>762</v>
      </c>
      <c r="AU13">
        <f>IFERROR(INDEX('List of Leagues'!$E:$E, MATCH(AT13, 'List of Leagues'!$F:$F, 0)), 0)</f>
        <v>0</v>
      </c>
      <c r="AV13">
        <f t="shared" si="1"/>
        <v>9.7333333333333325</v>
      </c>
    </row>
    <row r="14" spans="1:48" x14ac:dyDescent="0.35">
      <c r="A14" t="s">
        <v>27</v>
      </c>
      <c r="B14">
        <v>52</v>
      </c>
      <c r="C14">
        <v>2010</v>
      </c>
      <c r="D14" t="s">
        <v>5</v>
      </c>
      <c r="E14" t="s">
        <v>6</v>
      </c>
      <c r="F14" t="s">
        <v>132</v>
      </c>
      <c r="G14" t="s">
        <v>140</v>
      </c>
      <c r="H14">
        <f t="shared" si="2"/>
        <v>41</v>
      </c>
      <c r="I14">
        <v>10</v>
      </c>
      <c r="J14">
        <v>15</v>
      </c>
      <c r="K14">
        <v>16</v>
      </c>
      <c r="L14">
        <f t="shared" si="3"/>
        <v>45</v>
      </c>
      <c r="M14" s="2">
        <f>AVERAGE(5559104, 3012683)</f>
        <v>4285893.5</v>
      </c>
      <c r="N14">
        <v>1</v>
      </c>
      <c r="O14">
        <v>17</v>
      </c>
      <c r="P14">
        <v>2</v>
      </c>
      <c r="Q14">
        <f>IF(COUNTIF($A$2:A14, A14) &gt; 1, 1, 0)</f>
        <v>0</v>
      </c>
      <c r="R14" t="b">
        <v>1</v>
      </c>
      <c r="S14" t="s">
        <v>201</v>
      </c>
      <c r="T14">
        <f>IFERROR(INDEX('List of Leagues'!E:E, MATCH(S14, 'List of Leagues'!F:F, 0)), 0)</f>
        <v>80</v>
      </c>
      <c r="U14" t="s">
        <v>756</v>
      </c>
      <c r="V14">
        <f>IFERROR(INDEX('List of Leagues'!E:E, MATCH(U14, 'List of Leagues'!F:F, 0)), 0)</f>
        <v>76.8</v>
      </c>
      <c r="W14" t="s">
        <v>756</v>
      </c>
      <c r="X14">
        <f>IFERROR(INDEX('List of Leagues'!E:E, MATCH(W14, 'List of Leagues'!F:F, 0)), 0)</f>
        <v>76.8</v>
      </c>
      <c r="Y14" t="s">
        <v>762</v>
      </c>
      <c r="Z14">
        <f>IFERROR(INDEX('List of Leagues'!E:E, MATCH(Y14, 'List of Leagues'!F:F, 0)), 0)</f>
        <v>0</v>
      </c>
      <c r="AA14" t="s">
        <v>762</v>
      </c>
      <c r="AB14">
        <f>IFERROR(INDEX('List of Leagues'!E:E, MATCH(AA14, 'List of Leagues'!F:F, 0)), 0)</f>
        <v>0</v>
      </c>
      <c r="AC14" t="s">
        <v>762</v>
      </c>
      <c r="AD14">
        <f>IFERROR(INDEX('List of Leagues'!E:E, MATCH(AC14, 'List of Leagues'!F:F, 0)), 0)</f>
        <v>0</v>
      </c>
      <c r="AE14" t="s">
        <v>762</v>
      </c>
      <c r="AF14">
        <f>IFERROR(INDEX('List of Leagues'!E:E, MATCH(AE14, 'List of Leagues'!F:F, 0)), 0)</f>
        <v>0</v>
      </c>
      <c r="AG14" t="s">
        <v>762</v>
      </c>
      <c r="AH14">
        <f>IFERROR(INDEX('List of Leagues'!E:E, MATCH(AG14, 'List of Leagues'!F:F, 0)), 0)</f>
        <v>0</v>
      </c>
      <c r="AI14">
        <f t="shared" si="0"/>
        <v>29.200000000000003</v>
      </c>
      <c r="AJ14" t="s">
        <v>171</v>
      </c>
      <c r="AK14">
        <f>IFERROR(INDEX('List of Leagues'!$E:$E, MATCH(AJ14, 'List of Leagues'!$F:$F, 0)), 0)</f>
        <v>0</v>
      </c>
      <c r="AL14" t="s">
        <v>761</v>
      </c>
      <c r="AM14">
        <f>IFERROR(INDEX('List of Leagues'!$E:$E, MATCH(AL14, 'List of Leagues'!$F:$F, 0)), 0)</f>
        <v>66.3</v>
      </c>
      <c r="AN14" t="s">
        <v>178</v>
      </c>
      <c r="AO14">
        <f>IFERROR(INDEX('List of Leagues'!$E:$E, MATCH(AN14, 'List of Leagues'!$F:$F, 0)), 0)</f>
        <v>69.3</v>
      </c>
      <c r="AP14" t="s">
        <v>756</v>
      </c>
      <c r="AQ14">
        <f>IFERROR(INDEX('List of Leagues'!$E:$E, MATCH(AP14, 'List of Leagues'!$F:$F, 0)), 0)</f>
        <v>76.8</v>
      </c>
      <c r="AR14" t="s">
        <v>762</v>
      </c>
      <c r="AS14">
        <f>IFERROR(INDEX('List of Leagues'!$E:$E, MATCH(AR14, 'List of Leagues'!$F:$F, 0)), 0)</f>
        <v>0</v>
      </c>
      <c r="AT14" t="s">
        <v>762</v>
      </c>
      <c r="AU14">
        <f>IFERROR(INDEX('List of Leagues'!$E:$E, MATCH(AT14, 'List of Leagues'!$F:$F, 0)), 0)</f>
        <v>0</v>
      </c>
      <c r="AV14">
        <f t="shared" si="1"/>
        <v>35.4</v>
      </c>
    </row>
    <row r="15" spans="1:48" x14ac:dyDescent="0.35">
      <c r="A15" t="s">
        <v>30</v>
      </c>
      <c r="B15">
        <v>41</v>
      </c>
      <c r="C15">
        <v>2010</v>
      </c>
      <c r="D15" t="s">
        <v>198</v>
      </c>
      <c r="E15" t="s">
        <v>10</v>
      </c>
      <c r="F15" t="s">
        <v>10</v>
      </c>
      <c r="G15" t="s">
        <v>141</v>
      </c>
      <c r="H15">
        <f t="shared" si="2"/>
        <v>18</v>
      </c>
      <c r="I15">
        <v>3</v>
      </c>
      <c r="J15">
        <v>12</v>
      </c>
      <c r="K15">
        <v>3</v>
      </c>
      <c r="L15">
        <f t="shared" si="3"/>
        <v>21</v>
      </c>
      <c r="M15" s="2">
        <v>2881530.4400000004</v>
      </c>
      <c r="N15">
        <v>1</v>
      </c>
      <c r="O15">
        <v>3</v>
      </c>
      <c r="P15">
        <v>5</v>
      </c>
      <c r="Q15">
        <v>1</v>
      </c>
      <c r="R15" t="b">
        <v>1</v>
      </c>
      <c r="S15" t="s">
        <v>724</v>
      </c>
      <c r="T15">
        <f>IFERROR(INDEX('List of Leagues'!E:E, MATCH(S15, 'List of Leagues'!F:F, 0)), 0)</f>
        <v>51.7</v>
      </c>
      <c r="U15" t="s">
        <v>763</v>
      </c>
      <c r="V15">
        <f>IFERROR(INDEX('List of Leagues'!E:E, MATCH(U15, 'List of Leagues'!F:F, 0)), 0)</f>
        <v>0</v>
      </c>
      <c r="W15" t="s">
        <v>178</v>
      </c>
      <c r="X15">
        <f>IFERROR(INDEX('List of Leagues'!E:E, MATCH(W15, 'List of Leagues'!F:F, 0)), 0)</f>
        <v>69.3</v>
      </c>
      <c r="Y15" t="s">
        <v>656</v>
      </c>
      <c r="Z15">
        <f>IFERROR(INDEX('List of Leagues'!E:E, MATCH(Y15, 'List of Leagues'!F:F, 0)), 0)</f>
        <v>72.2</v>
      </c>
      <c r="AA15" t="s">
        <v>187</v>
      </c>
      <c r="AB15">
        <f>IFERROR(INDEX('List of Leagues'!E:E, MATCH(AA15, 'List of Leagues'!F:F, 0)), 0)</f>
        <v>58.4</v>
      </c>
      <c r="AC15" t="s">
        <v>756</v>
      </c>
      <c r="AD15">
        <f>IFERROR(INDEX('List of Leagues'!E:E, MATCH(AC15, 'List of Leagues'!F:F, 0)), 0)</f>
        <v>76.8</v>
      </c>
      <c r="AE15" t="s">
        <v>762</v>
      </c>
      <c r="AF15">
        <f>IFERROR(INDEX('List of Leagues'!E:E, MATCH(AE15, 'List of Leagues'!F:F, 0)), 0)</f>
        <v>0</v>
      </c>
      <c r="AG15" t="s">
        <v>762</v>
      </c>
      <c r="AH15">
        <f>IFERROR(INDEX('List of Leagues'!E:E, MATCH(AG15, 'List of Leagues'!F:F, 0)), 0)</f>
        <v>0</v>
      </c>
      <c r="AI15">
        <f t="shared" si="0"/>
        <v>41.05</v>
      </c>
      <c r="AJ15" t="s">
        <v>171</v>
      </c>
      <c r="AK15">
        <f>IFERROR(INDEX('List of Leagues'!$E:$E, MATCH(AJ15, 'List of Leagues'!$F:$F, 0)), 0)</f>
        <v>0</v>
      </c>
      <c r="AL15" t="s">
        <v>761</v>
      </c>
      <c r="AM15">
        <f>IFERROR(INDEX('List of Leagues'!$E:$E, MATCH(AL15, 'List of Leagues'!$F:$F, 0)), 0)</f>
        <v>66.3</v>
      </c>
      <c r="AN15" t="s">
        <v>178</v>
      </c>
      <c r="AO15">
        <f>IFERROR(INDEX('List of Leagues'!$E:$E, MATCH(AN15, 'List of Leagues'!$F:$F, 0)), 0)</f>
        <v>69.3</v>
      </c>
      <c r="AP15" t="s">
        <v>756</v>
      </c>
      <c r="AQ15">
        <f>IFERROR(INDEX('List of Leagues'!$E:$E, MATCH(AP15, 'List of Leagues'!$F:$F, 0)), 0)</f>
        <v>76.8</v>
      </c>
      <c r="AR15" t="s">
        <v>762</v>
      </c>
      <c r="AS15">
        <f>IFERROR(INDEX('List of Leagues'!$E:$E, MATCH(AR15, 'List of Leagues'!$F:$F, 0)), 0)</f>
        <v>0</v>
      </c>
      <c r="AT15" t="s">
        <v>762</v>
      </c>
      <c r="AU15">
        <f>IFERROR(INDEX('List of Leagues'!$E:$E, MATCH(AT15, 'List of Leagues'!$F:$F, 0)), 0)</f>
        <v>0</v>
      </c>
      <c r="AV15">
        <f t="shared" si="1"/>
        <v>35.4</v>
      </c>
    </row>
    <row r="16" spans="1:48" x14ac:dyDescent="0.35">
      <c r="A16" t="s">
        <v>32</v>
      </c>
      <c r="B16">
        <v>58</v>
      </c>
      <c r="C16">
        <v>2010</v>
      </c>
      <c r="D16" t="s">
        <v>17</v>
      </c>
      <c r="E16" t="s">
        <v>10</v>
      </c>
      <c r="F16" t="s">
        <v>10</v>
      </c>
      <c r="G16" t="s">
        <v>142</v>
      </c>
      <c r="H16">
        <f t="shared" si="2"/>
        <v>98</v>
      </c>
      <c r="I16">
        <f>15+10+16</f>
        <v>41</v>
      </c>
      <c r="J16">
        <f>9+16+6</f>
        <v>31</v>
      </c>
      <c r="K16">
        <f>9+9+8</f>
        <v>26</v>
      </c>
      <c r="L16">
        <f t="shared" si="3"/>
        <v>154</v>
      </c>
      <c r="M16" s="2">
        <v>15254164.859999999</v>
      </c>
      <c r="N16">
        <v>3</v>
      </c>
      <c r="O16">
        <v>25</v>
      </c>
      <c r="P16">
        <v>2</v>
      </c>
      <c r="Q16">
        <f>IF(COUNTIF($A$2:A16, A16) &gt; 1, 1, 0)</f>
        <v>0</v>
      </c>
      <c r="R16" t="b">
        <v>1</v>
      </c>
      <c r="S16" t="s">
        <v>202</v>
      </c>
      <c r="T16">
        <f>IFERROR(INDEX('List of Leagues'!E:E, MATCH(S16, 'List of Leagues'!F:F, 0)), 0)</f>
        <v>51</v>
      </c>
      <c r="U16" t="s">
        <v>762</v>
      </c>
      <c r="V16">
        <f>IFERROR(INDEX('List of Leagues'!E:E, MATCH(U16, 'List of Leagues'!F:F, 0)), 0)</f>
        <v>0</v>
      </c>
      <c r="W16" t="s">
        <v>197</v>
      </c>
      <c r="X16">
        <f>IFERROR(INDEX('List of Leagues'!E:E, MATCH(W16, 'List of Leagues'!F:F, 0)), 0)</f>
        <v>78.400000000000006</v>
      </c>
      <c r="Y16" t="s">
        <v>762</v>
      </c>
      <c r="Z16">
        <f>IFERROR(INDEX('List of Leagues'!E:E, MATCH(Y16, 'List of Leagues'!F:F, 0)), 0)</f>
        <v>0</v>
      </c>
      <c r="AA16" t="s">
        <v>762</v>
      </c>
      <c r="AB16">
        <f>IFERROR(INDEX('List of Leagues'!E:E, MATCH(AA16, 'List of Leagues'!F:F, 0)), 0)</f>
        <v>0</v>
      </c>
      <c r="AC16" t="s">
        <v>762</v>
      </c>
      <c r="AD16">
        <f>IFERROR(INDEX('List of Leagues'!E:E, MATCH(AC16, 'List of Leagues'!F:F, 0)), 0)</f>
        <v>0</v>
      </c>
      <c r="AE16" t="s">
        <v>762</v>
      </c>
      <c r="AF16">
        <f>IFERROR(INDEX('List of Leagues'!E:E, MATCH(AE16, 'List of Leagues'!F:F, 0)), 0)</f>
        <v>0</v>
      </c>
      <c r="AG16" t="s">
        <v>762</v>
      </c>
      <c r="AH16">
        <f>IFERROR(INDEX('List of Leagues'!E:E, MATCH(AG16, 'List of Leagues'!F:F, 0)), 0)</f>
        <v>0</v>
      </c>
      <c r="AI16">
        <f t="shared" si="0"/>
        <v>16.175000000000001</v>
      </c>
      <c r="AJ16" t="s">
        <v>171</v>
      </c>
      <c r="AK16">
        <f>IFERROR(INDEX('List of Leagues'!$E:$E, MATCH(AJ16, 'List of Leagues'!$F:$F, 0)), 0)</f>
        <v>0</v>
      </c>
      <c r="AL16" t="s">
        <v>761</v>
      </c>
      <c r="AM16">
        <f>IFERROR(INDEX('List of Leagues'!$E:$E, MATCH(AL16, 'List of Leagues'!$F:$F, 0)), 0)</f>
        <v>66.3</v>
      </c>
      <c r="AN16" t="s">
        <v>762</v>
      </c>
      <c r="AO16">
        <f>IFERROR(INDEX('List of Leagues'!$E:$E, MATCH(AN16, 'List of Leagues'!$F:$F, 0)), 0)</f>
        <v>0</v>
      </c>
      <c r="AP16" t="s">
        <v>762</v>
      </c>
      <c r="AQ16">
        <f>IFERROR(INDEX('List of Leagues'!$E:$E, MATCH(AP16, 'List of Leagues'!$F:$F, 0)), 0)</f>
        <v>0</v>
      </c>
      <c r="AR16" t="s">
        <v>762</v>
      </c>
      <c r="AS16">
        <f>IFERROR(INDEX('List of Leagues'!$E:$E, MATCH(AR16, 'List of Leagues'!$F:$F, 0)), 0)</f>
        <v>0</v>
      </c>
      <c r="AT16" t="s">
        <v>762</v>
      </c>
      <c r="AU16">
        <f>IFERROR(INDEX('List of Leagues'!$E:$E, MATCH(AT16, 'List of Leagues'!$F:$F, 0)), 0)</f>
        <v>0</v>
      </c>
      <c r="AV16">
        <f t="shared" si="1"/>
        <v>11.049999999999999</v>
      </c>
    </row>
    <row r="17" spans="1:48" x14ac:dyDescent="0.35">
      <c r="A17" t="s">
        <v>28</v>
      </c>
      <c r="B17">
        <v>47</v>
      </c>
      <c r="C17">
        <v>2010</v>
      </c>
      <c r="D17" t="s">
        <v>29</v>
      </c>
      <c r="E17" t="s">
        <v>6</v>
      </c>
      <c r="F17" t="s">
        <v>132</v>
      </c>
      <c r="G17" t="s">
        <v>140</v>
      </c>
      <c r="H17">
        <f t="shared" si="2"/>
        <v>30</v>
      </c>
      <c r="I17">
        <v>8</v>
      </c>
      <c r="J17">
        <v>4</v>
      </c>
      <c r="K17">
        <v>18</v>
      </c>
      <c r="L17">
        <f t="shared" si="3"/>
        <v>28</v>
      </c>
      <c r="M17" s="1">
        <v>2477548.21</v>
      </c>
      <c r="N17">
        <v>1</v>
      </c>
      <c r="O17">
        <v>0</v>
      </c>
      <c r="P17">
        <v>10</v>
      </c>
      <c r="Q17">
        <f>IF(COUNTIF($A$2:A17, A17) &gt; 1, 1, 0)</f>
        <v>0</v>
      </c>
      <c r="R17" t="b">
        <v>1</v>
      </c>
      <c r="S17" t="s">
        <v>182</v>
      </c>
      <c r="T17">
        <f>IFERROR(INDEX('List of Leagues'!E:E, MATCH(S17, 'List of Leagues'!F:F, 0)), 0)</f>
        <v>0</v>
      </c>
      <c r="U17" t="s">
        <v>767</v>
      </c>
      <c r="V17">
        <f>IFERROR(INDEX('List of Leagues'!E:E, MATCH(U17, 'List of Leagues'!F:F, 0)), 0)</f>
        <v>0</v>
      </c>
      <c r="W17" t="s">
        <v>756</v>
      </c>
      <c r="X17">
        <f>IFERROR(INDEX('List of Leagues'!E:E, MATCH(W17, 'List of Leagues'!F:F, 0)), 0)</f>
        <v>76.8</v>
      </c>
      <c r="Y17" t="s">
        <v>201</v>
      </c>
      <c r="Z17">
        <f>IFERROR(INDEX('List of Leagues'!E:E, MATCH(Y17, 'List of Leagues'!F:F, 0)), 0)</f>
        <v>80</v>
      </c>
      <c r="AA17" t="s">
        <v>178</v>
      </c>
      <c r="AB17">
        <f>IFERROR(INDEX('List of Leagues'!E:E, MATCH(AA17, 'List of Leagues'!F:F, 0)), 0)</f>
        <v>69.3</v>
      </c>
      <c r="AC17" t="s">
        <v>187</v>
      </c>
      <c r="AD17">
        <f>IFERROR(INDEX('List of Leagues'!E:E, MATCH(AC17, 'List of Leagues'!F:F, 0)), 0)</f>
        <v>58.4</v>
      </c>
      <c r="AE17" t="s">
        <v>756</v>
      </c>
      <c r="AF17">
        <f>IFERROR(INDEX('List of Leagues'!E:E, MATCH(AE17, 'List of Leagues'!F:F, 0)), 0)</f>
        <v>76.8</v>
      </c>
      <c r="AG17" t="s">
        <v>762</v>
      </c>
      <c r="AH17">
        <f>IFERROR(INDEX('List of Leagues'!E:E, MATCH(AG17, 'List of Leagues'!F:F, 0)), 0)</f>
        <v>0</v>
      </c>
      <c r="AI17">
        <f t="shared" si="0"/>
        <v>45.162500000000001</v>
      </c>
      <c r="AJ17" t="s">
        <v>171</v>
      </c>
      <c r="AK17">
        <f>IFERROR(INDEX('List of Leagues'!$E:$E, MATCH(AJ17, 'List of Leagues'!$F:$F, 0)), 0)</f>
        <v>0</v>
      </c>
      <c r="AL17" t="s">
        <v>761</v>
      </c>
      <c r="AM17">
        <f>IFERROR(INDEX('List of Leagues'!$E:$E, MATCH(AL17, 'List of Leagues'!$F:$F, 0)), 0)</f>
        <v>66.3</v>
      </c>
      <c r="AN17" t="s">
        <v>178</v>
      </c>
      <c r="AO17">
        <f>IFERROR(INDEX('List of Leagues'!$E:$E, MATCH(AN17, 'List of Leagues'!$F:$F, 0)), 0)</f>
        <v>69.3</v>
      </c>
      <c r="AP17" t="s">
        <v>762</v>
      </c>
      <c r="AQ17">
        <f>IFERROR(INDEX('List of Leagues'!$E:$E, MATCH(AP17, 'List of Leagues'!$F:$F, 0)), 0)</f>
        <v>0</v>
      </c>
      <c r="AR17" t="s">
        <v>762</v>
      </c>
      <c r="AS17">
        <f>IFERROR(INDEX('List of Leagues'!$E:$E, MATCH(AR17, 'List of Leagues'!$F:$F, 0)), 0)</f>
        <v>0</v>
      </c>
      <c r="AT17" t="s">
        <v>762</v>
      </c>
      <c r="AU17">
        <f>IFERROR(INDEX('List of Leagues'!$E:$E, MATCH(AT17, 'List of Leagues'!$F:$F, 0)), 0)</f>
        <v>0</v>
      </c>
      <c r="AV17">
        <f t="shared" si="1"/>
        <v>22.599999999999998</v>
      </c>
    </row>
    <row r="18" spans="1:48" x14ac:dyDescent="0.35">
      <c r="A18" t="s">
        <v>33</v>
      </c>
      <c r="B18">
        <v>46</v>
      </c>
      <c r="C18">
        <v>2010</v>
      </c>
      <c r="D18" t="s">
        <v>36</v>
      </c>
      <c r="E18" t="s">
        <v>10</v>
      </c>
      <c r="F18" t="s">
        <v>10</v>
      </c>
      <c r="G18" t="s">
        <v>138</v>
      </c>
      <c r="H18">
        <f t="shared" si="2"/>
        <v>75</v>
      </c>
      <c r="I18">
        <f>8+11+2</f>
        <v>21</v>
      </c>
      <c r="J18">
        <f>7+15+2</f>
        <v>24</v>
      </c>
      <c r="K18">
        <f>15+8+7</f>
        <v>30</v>
      </c>
      <c r="L18">
        <f t="shared" si="3"/>
        <v>87</v>
      </c>
      <c r="M18" s="2">
        <v>3270897</v>
      </c>
      <c r="N18">
        <v>1</v>
      </c>
      <c r="O18">
        <v>5</v>
      </c>
      <c r="P18">
        <v>2</v>
      </c>
      <c r="Q18">
        <v>1</v>
      </c>
      <c r="R18" t="b">
        <v>1</v>
      </c>
      <c r="S18" t="s">
        <v>579</v>
      </c>
      <c r="T18">
        <f>IFERROR(INDEX('List of Leagues'!E:E, MATCH(S18, 'List of Leagues'!F:F, 0)), 0)</f>
        <v>64.7</v>
      </c>
      <c r="U18" t="s">
        <v>533</v>
      </c>
      <c r="V18">
        <f>IFERROR(INDEX('List of Leagues'!E:E, MATCH(U18, 'List of Leagues'!F:F, 0)), 0)</f>
        <v>80.8</v>
      </c>
      <c r="W18" t="s">
        <v>182</v>
      </c>
      <c r="X18">
        <f>IFERROR(INDEX('List of Leagues'!E:E, MATCH(W18, 'List of Leagues'!F:F, 0)), 0)</f>
        <v>0</v>
      </c>
      <c r="Y18" t="s">
        <v>542</v>
      </c>
      <c r="Z18">
        <f>IFERROR(INDEX('List of Leagues'!E:E, MATCH(Y18, 'List of Leagues'!F:F, 0)), 0)</f>
        <v>90.3</v>
      </c>
      <c r="AA18" t="s">
        <v>178</v>
      </c>
      <c r="AB18">
        <f>IFERROR(INDEX('List of Leagues'!E:E, MATCH(AA18, 'List of Leagues'!F:F, 0)), 0)</f>
        <v>69.3</v>
      </c>
      <c r="AC18" t="s">
        <v>756</v>
      </c>
      <c r="AD18">
        <f>IFERROR(INDEX('List of Leagues'!E:E, MATCH(AC18, 'List of Leagues'!F:F, 0)), 0)</f>
        <v>76.8</v>
      </c>
      <c r="AE18" t="s">
        <v>762</v>
      </c>
      <c r="AF18">
        <f>IFERROR(INDEX('List of Leagues'!E:E, MATCH(AE18, 'List of Leagues'!F:F, 0)), 0)</f>
        <v>0</v>
      </c>
      <c r="AG18" t="s">
        <v>762</v>
      </c>
      <c r="AH18">
        <f>IFERROR(INDEX('List of Leagues'!E:E, MATCH(AG18, 'List of Leagues'!F:F, 0)), 0)</f>
        <v>0</v>
      </c>
      <c r="AI18">
        <f t="shared" si="0"/>
        <v>47.737500000000004</v>
      </c>
      <c r="AJ18" t="s">
        <v>177</v>
      </c>
      <c r="AK18">
        <f>IFERROR(INDEX('List of Leagues'!$E:$E, MATCH(AJ18, 'List of Leagues'!$F:$F, 0)), 0)</f>
        <v>0</v>
      </c>
      <c r="AL18" t="s">
        <v>762</v>
      </c>
      <c r="AM18">
        <f>IFERROR(INDEX('List of Leagues'!$E:$E, MATCH(AL18, 'List of Leagues'!$F:$F, 0)), 0)</f>
        <v>0</v>
      </c>
      <c r="AN18" t="s">
        <v>762</v>
      </c>
      <c r="AO18">
        <f>IFERROR(INDEX('List of Leagues'!$E:$E, MATCH(AN18, 'List of Leagues'!$F:$F, 0)), 0)</f>
        <v>0</v>
      </c>
      <c r="AP18" t="s">
        <v>762</v>
      </c>
      <c r="AQ18">
        <f>IFERROR(INDEX('List of Leagues'!$E:$E, MATCH(AP18, 'List of Leagues'!$F:$F, 0)), 0)</f>
        <v>0</v>
      </c>
      <c r="AR18" t="s">
        <v>762</v>
      </c>
      <c r="AS18">
        <f>IFERROR(INDEX('List of Leagues'!$E:$E, MATCH(AR18, 'List of Leagues'!$F:$F, 0)), 0)</f>
        <v>0</v>
      </c>
      <c r="AT18" t="s">
        <v>762</v>
      </c>
      <c r="AU18">
        <f>IFERROR(INDEX('List of Leagues'!$E:$E, MATCH(AT18, 'List of Leagues'!$F:$F, 0)), 0)</f>
        <v>0</v>
      </c>
      <c r="AV18">
        <f t="shared" si="1"/>
        <v>0</v>
      </c>
    </row>
    <row r="19" spans="1:48" x14ac:dyDescent="0.35">
      <c r="A19" t="s">
        <v>34</v>
      </c>
      <c r="B19">
        <v>47</v>
      </c>
      <c r="C19">
        <v>2010</v>
      </c>
      <c r="D19" t="s">
        <v>21</v>
      </c>
      <c r="E19" t="s">
        <v>10</v>
      </c>
      <c r="F19" t="s">
        <v>10</v>
      </c>
      <c r="G19" t="s">
        <v>143</v>
      </c>
      <c r="H19">
        <f t="shared" si="2"/>
        <v>24</v>
      </c>
      <c r="I19">
        <v>7</v>
      </c>
      <c r="J19">
        <v>7</v>
      </c>
      <c r="K19">
        <v>10</v>
      </c>
      <c r="L19">
        <f t="shared" si="3"/>
        <v>28</v>
      </c>
      <c r="M19" s="2">
        <v>5214381.05</v>
      </c>
      <c r="N19">
        <v>1</v>
      </c>
      <c r="O19">
        <v>3</v>
      </c>
      <c r="P19">
        <v>1</v>
      </c>
      <c r="Q19">
        <v>1</v>
      </c>
      <c r="R19" t="b">
        <v>1</v>
      </c>
      <c r="S19" t="s">
        <v>202</v>
      </c>
      <c r="T19">
        <f>IFERROR(INDEX('List of Leagues'!E:E, MATCH(S19, 'List of Leagues'!F:F, 0)), 0)</f>
        <v>51</v>
      </c>
      <c r="U19" t="s">
        <v>551</v>
      </c>
      <c r="V19">
        <f>IFERROR(INDEX('List of Leagues'!E:E, MATCH(U19, 'List of Leagues'!F:F, 0)), 0)</f>
        <v>70.900000000000006</v>
      </c>
      <c r="W19" t="s">
        <v>178</v>
      </c>
      <c r="X19">
        <f>IFERROR(INDEX('List of Leagues'!E:E, MATCH(W19, 'List of Leagues'!F:F, 0)), 0)</f>
        <v>69.3</v>
      </c>
      <c r="Y19" t="s">
        <v>178</v>
      </c>
      <c r="Z19">
        <f>IFERROR(INDEX('List of Leagues'!E:E, MATCH(Y19, 'List of Leagues'!F:F, 0)), 0)</f>
        <v>69.3</v>
      </c>
      <c r="AA19" t="s">
        <v>184</v>
      </c>
      <c r="AB19">
        <f>IFERROR(INDEX('List of Leagues'!E:E, MATCH(AA19, 'List of Leagues'!F:F, 0)), 0)</f>
        <v>93.8</v>
      </c>
      <c r="AC19" t="s">
        <v>185</v>
      </c>
      <c r="AD19">
        <f>IFERROR(INDEX('List of Leagues'!E:E, MATCH(AC19, 'List of Leagues'!F:F, 0)), 0)</f>
        <v>75.400000000000006</v>
      </c>
      <c r="AE19" t="s">
        <v>756</v>
      </c>
      <c r="AF19">
        <f>IFERROR(INDEX('List of Leagues'!E:E, MATCH(AE19, 'List of Leagues'!F:F, 0)), 0)</f>
        <v>76.8</v>
      </c>
      <c r="AG19" t="s">
        <v>762</v>
      </c>
      <c r="AH19">
        <f>IFERROR(INDEX('List of Leagues'!E:E, MATCH(AG19, 'List of Leagues'!F:F, 0)), 0)</f>
        <v>0</v>
      </c>
      <c r="AI19">
        <f t="shared" si="0"/>
        <v>63.312500000000007</v>
      </c>
      <c r="AJ19" t="s">
        <v>201</v>
      </c>
      <c r="AK19">
        <f>IFERROR(INDEX('List of Leagues'!$E:$E, MATCH(AJ19, 'List of Leagues'!$F:$F, 0)), 0)</f>
        <v>80</v>
      </c>
      <c r="AL19" t="s">
        <v>762</v>
      </c>
      <c r="AM19">
        <f>IFERROR(INDEX('List of Leagues'!$E:$E, MATCH(AL19, 'List of Leagues'!$F:$F, 0)), 0)</f>
        <v>0</v>
      </c>
      <c r="AN19" t="s">
        <v>762</v>
      </c>
      <c r="AO19">
        <f>IFERROR(INDEX('List of Leagues'!$E:$E, MATCH(AN19, 'List of Leagues'!$F:$F, 0)), 0)</f>
        <v>0</v>
      </c>
      <c r="AP19" t="s">
        <v>762</v>
      </c>
      <c r="AQ19">
        <f>IFERROR(INDEX('List of Leagues'!$E:$E, MATCH(AP19, 'List of Leagues'!$F:$F, 0)), 0)</f>
        <v>0</v>
      </c>
      <c r="AR19" t="s">
        <v>762</v>
      </c>
      <c r="AS19">
        <f>IFERROR(INDEX('List of Leagues'!$E:$E, MATCH(AR19, 'List of Leagues'!$F:$F, 0)), 0)</f>
        <v>0</v>
      </c>
      <c r="AT19" t="s">
        <v>762</v>
      </c>
      <c r="AU19">
        <f>IFERROR(INDEX('List of Leagues'!$E:$E, MATCH(AT19, 'List of Leagues'!$F:$F, 0)), 0)</f>
        <v>0</v>
      </c>
      <c r="AV19">
        <f t="shared" si="1"/>
        <v>13.333333333333334</v>
      </c>
    </row>
    <row r="20" spans="1:48" x14ac:dyDescent="0.35">
      <c r="A20" t="s">
        <v>40</v>
      </c>
      <c r="B20">
        <v>44</v>
      </c>
      <c r="C20">
        <v>2011</v>
      </c>
      <c r="D20" t="s">
        <v>21</v>
      </c>
      <c r="E20" t="s">
        <v>6</v>
      </c>
      <c r="F20" t="s">
        <v>131</v>
      </c>
      <c r="G20" t="s">
        <v>150</v>
      </c>
      <c r="H20">
        <f t="shared" si="2"/>
        <v>44</v>
      </c>
      <c r="I20">
        <v>7</v>
      </c>
      <c r="J20">
        <v>15</v>
      </c>
      <c r="K20">
        <v>22</v>
      </c>
      <c r="L20">
        <f t="shared" si="3"/>
        <v>36</v>
      </c>
      <c r="M20" s="2">
        <v>7031121.2549999999</v>
      </c>
      <c r="N20">
        <v>1</v>
      </c>
      <c r="O20">
        <v>0</v>
      </c>
      <c r="P20">
        <v>3</v>
      </c>
      <c r="Q20">
        <f>IF(COUNTIF($A$2:A20, A20) &gt; 1, 1, 0)</f>
        <v>0</v>
      </c>
      <c r="R20" t="b">
        <v>1</v>
      </c>
      <c r="S20" t="s">
        <v>197</v>
      </c>
      <c r="T20">
        <f>IFERROR(INDEX('List of Leagues'!E:E, MATCH(S20, 'List of Leagues'!F:F, 0)), 0)</f>
        <v>78.400000000000006</v>
      </c>
      <c r="U20" t="s">
        <v>529</v>
      </c>
      <c r="V20">
        <f>IFERROR(INDEX('List of Leagues'!E:E, MATCH(U20, 'List of Leagues'!F:F, 0)), 0)</f>
        <v>89.5</v>
      </c>
      <c r="W20" t="s">
        <v>756</v>
      </c>
      <c r="X20">
        <f>IFERROR(INDEX('List of Leagues'!E:E, MATCH(W20, 'List of Leagues'!F:F, 0)), 0)</f>
        <v>76.8</v>
      </c>
      <c r="Y20" t="s">
        <v>762</v>
      </c>
      <c r="Z20">
        <f>IFERROR(INDEX('List of Leagues'!E:E, MATCH(Y20, 'List of Leagues'!F:F, 0)), 0)</f>
        <v>0</v>
      </c>
      <c r="AA20" t="s">
        <v>762</v>
      </c>
      <c r="AB20">
        <f>IFERROR(INDEX('List of Leagues'!E:E, MATCH(AA20, 'List of Leagues'!F:F, 0)), 0)</f>
        <v>0</v>
      </c>
      <c r="AC20" t="s">
        <v>762</v>
      </c>
      <c r="AD20">
        <f>IFERROR(INDEX('List of Leagues'!E:E, MATCH(AC20, 'List of Leagues'!F:F, 0)), 0)</f>
        <v>0</v>
      </c>
      <c r="AE20" t="s">
        <v>762</v>
      </c>
      <c r="AF20">
        <f>IFERROR(INDEX('List of Leagues'!E:E, MATCH(AE20, 'List of Leagues'!F:F, 0)), 0)</f>
        <v>0</v>
      </c>
      <c r="AG20" t="s">
        <v>762</v>
      </c>
      <c r="AH20">
        <f>IFERROR(INDEX('List of Leagues'!E:E, MATCH(AG20, 'List of Leagues'!F:F, 0)), 0)</f>
        <v>0</v>
      </c>
      <c r="AI20">
        <f t="shared" si="0"/>
        <v>30.587499999999999</v>
      </c>
      <c r="AJ20" t="s">
        <v>177</v>
      </c>
      <c r="AK20">
        <f>IFERROR(INDEX('List of Leagues'!$E:$E, MATCH(AJ20, 'List of Leagues'!$F:$F, 0)), 0)</f>
        <v>0</v>
      </c>
      <c r="AL20" t="s">
        <v>762</v>
      </c>
      <c r="AM20">
        <f>IFERROR(INDEX('List of Leagues'!$E:$E, MATCH(AL20, 'List of Leagues'!$F:$F, 0)), 0)</f>
        <v>0</v>
      </c>
      <c r="AN20" t="s">
        <v>762</v>
      </c>
      <c r="AO20">
        <f>IFERROR(INDEX('List of Leagues'!$E:$E, MATCH(AN20, 'List of Leagues'!$F:$F, 0)), 0)</f>
        <v>0</v>
      </c>
      <c r="AP20" t="s">
        <v>762</v>
      </c>
      <c r="AQ20">
        <f>IFERROR(INDEX('List of Leagues'!$E:$E, MATCH(AP20, 'List of Leagues'!$F:$F, 0)), 0)</f>
        <v>0</v>
      </c>
      <c r="AR20" t="s">
        <v>762</v>
      </c>
      <c r="AS20">
        <f>IFERROR(INDEX('List of Leagues'!$E:$E, MATCH(AR20, 'List of Leagues'!$F:$F, 0)), 0)</f>
        <v>0</v>
      </c>
      <c r="AT20" t="s">
        <v>762</v>
      </c>
      <c r="AU20">
        <f>IFERROR(INDEX('List of Leagues'!$E:$E, MATCH(AT20, 'List of Leagues'!$F:$F, 0)), 0)</f>
        <v>0</v>
      </c>
      <c r="AV20">
        <f t="shared" si="1"/>
        <v>0</v>
      </c>
    </row>
    <row r="21" spans="1:48" x14ac:dyDescent="0.35">
      <c r="A21" t="s">
        <v>35</v>
      </c>
      <c r="B21">
        <v>44</v>
      </c>
      <c r="C21">
        <v>2011</v>
      </c>
      <c r="D21" t="s">
        <v>5</v>
      </c>
      <c r="E21" t="s">
        <v>10</v>
      </c>
      <c r="F21" t="s">
        <v>10</v>
      </c>
      <c r="G21" t="s">
        <v>144</v>
      </c>
      <c r="H21">
        <f t="shared" si="2"/>
        <v>91</v>
      </c>
      <c r="I21">
        <f>17+14+8</f>
        <v>39</v>
      </c>
      <c r="J21">
        <f>7+6+10</f>
        <v>23</v>
      </c>
      <c r="K21">
        <f>13+11+5</f>
        <v>29</v>
      </c>
      <c r="L21">
        <f t="shared" si="3"/>
        <v>140</v>
      </c>
      <c r="M21" s="2">
        <v>4338847.123333334</v>
      </c>
      <c r="N21">
        <v>3</v>
      </c>
      <c r="O21">
        <v>2</v>
      </c>
      <c r="P21">
        <v>0</v>
      </c>
      <c r="Q21">
        <f>IF(COUNTIF($A$2:A21, A21) &gt; 1, 1, 0)</f>
        <v>0</v>
      </c>
      <c r="R21" t="b">
        <v>1</v>
      </c>
      <c r="S21" t="s">
        <v>752</v>
      </c>
      <c r="T21">
        <f>IFERROR(INDEX('List of Leagues'!E:E, MATCH(S21, 'List of Leagues'!F:F, 0)), 0)</f>
        <v>0</v>
      </c>
      <c r="U21" t="s">
        <v>534</v>
      </c>
      <c r="V21">
        <f>IFERROR(INDEX('List of Leagues'!E:E, MATCH(U21, 'List of Leagues'!F:F, 0)), 0)</f>
        <v>80.7</v>
      </c>
      <c r="W21" t="s">
        <v>178</v>
      </c>
      <c r="X21">
        <f>IFERROR(INDEX('List of Leagues'!E:E, MATCH(W21, 'List of Leagues'!F:F, 0)), 0)</f>
        <v>69.3</v>
      </c>
      <c r="Y21" t="s">
        <v>756</v>
      </c>
      <c r="Z21">
        <f>IFERROR(INDEX('List of Leagues'!E:E, MATCH(Y21, 'List of Leagues'!F:F, 0)), 0)</f>
        <v>76.8</v>
      </c>
      <c r="AA21" t="s">
        <v>762</v>
      </c>
      <c r="AB21">
        <f>IFERROR(INDEX('List of Leagues'!E:E, MATCH(AA21, 'List of Leagues'!F:F, 0)), 0)</f>
        <v>0</v>
      </c>
      <c r="AC21" t="s">
        <v>762</v>
      </c>
      <c r="AD21">
        <f>IFERROR(INDEX('List of Leagues'!E:E, MATCH(AC21, 'List of Leagues'!F:F, 0)), 0)</f>
        <v>0</v>
      </c>
      <c r="AE21" t="s">
        <v>762</v>
      </c>
      <c r="AF21">
        <f>IFERROR(INDEX('List of Leagues'!E:E, MATCH(AE21, 'List of Leagues'!F:F, 0)), 0)</f>
        <v>0</v>
      </c>
      <c r="AG21" t="s">
        <v>762</v>
      </c>
      <c r="AH21">
        <f>IFERROR(INDEX('List of Leagues'!E:E, MATCH(AG21, 'List of Leagues'!F:F, 0)), 0)</f>
        <v>0</v>
      </c>
      <c r="AI21">
        <f t="shared" si="0"/>
        <v>28.35</v>
      </c>
      <c r="AJ21" t="s">
        <v>178</v>
      </c>
      <c r="AK21">
        <f>IFERROR(INDEX('List of Leagues'!$E:$E, MATCH(AJ21, 'List of Leagues'!$F:$F, 0)), 0)</f>
        <v>69.3</v>
      </c>
      <c r="AL21" t="s">
        <v>762</v>
      </c>
      <c r="AM21">
        <f>IFERROR(INDEX('List of Leagues'!$E:$E, MATCH(AL21, 'List of Leagues'!$F:$F, 0)), 0)</f>
        <v>0</v>
      </c>
      <c r="AN21" t="s">
        <v>762</v>
      </c>
      <c r="AO21">
        <f>IFERROR(INDEX('List of Leagues'!$E:$E, MATCH(AN21, 'List of Leagues'!$F:$F, 0)), 0)</f>
        <v>0</v>
      </c>
      <c r="AP21" t="s">
        <v>762</v>
      </c>
      <c r="AQ21">
        <f>IFERROR(INDEX('List of Leagues'!$E:$E, MATCH(AP21, 'List of Leagues'!$F:$F, 0)), 0)</f>
        <v>0</v>
      </c>
      <c r="AR21" t="s">
        <v>762</v>
      </c>
      <c r="AS21">
        <f>IFERROR(INDEX('List of Leagues'!$E:$E, MATCH(AR21, 'List of Leagues'!$F:$F, 0)), 0)</f>
        <v>0</v>
      </c>
      <c r="AT21" t="s">
        <v>762</v>
      </c>
      <c r="AU21">
        <f>IFERROR(INDEX('List of Leagues'!$E:$E, MATCH(AT21, 'List of Leagues'!$F:$F, 0)), 0)</f>
        <v>0</v>
      </c>
      <c r="AV21">
        <f t="shared" si="1"/>
        <v>11.549999999999999</v>
      </c>
    </row>
    <row r="22" spans="1:48" x14ac:dyDescent="0.35">
      <c r="A22" t="s">
        <v>38</v>
      </c>
      <c r="B22">
        <v>41</v>
      </c>
      <c r="C22">
        <v>2011</v>
      </c>
      <c r="D22" t="s">
        <v>39</v>
      </c>
      <c r="E22" t="s">
        <v>10</v>
      </c>
      <c r="F22" t="s">
        <v>10</v>
      </c>
      <c r="G22" t="s">
        <v>146</v>
      </c>
      <c r="H22">
        <f t="shared" si="2"/>
        <v>50</v>
      </c>
      <c r="I22">
        <f>11+4</f>
        <v>15</v>
      </c>
      <c r="J22">
        <f>9+4</f>
        <v>13</v>
      </c>
      <c r="K22">
        <f>14+8</f>
        <v>22</v>
      </c>
      <c r="L22">
        <f t="shared" si="3"/>
        <v>58</v>
      </c>
      <c r="M22" s="2">
        <v>3597950.7949999995</v>
      </c>
      <c r="N22">
        <v>2</v>
      </c>
      <c r="O22">
        <v>4</v>
      </c>
      <c r="P22">
        <v>4</v>
      </c>
      <c r="Q22">
        <f>IF(COUNTIF($A$2:A22, A22) &gt; 1, 1, 0)</f>
        <v>0</v>
      </c>
      <c r="R22" t="b">
        <v>1</v>
      </c>
      <c r="S22" t="s">
        <v>751</v>
      </c>
      <c r="T22">
        <f>IFERROR(INDEX('List of Leagues'!E:E, MATCH(S22, 'List of Leagues'!F:F, 0)), 0)</f>
        <v>68.400000000000006</v>
      </c>
      <c r="U22" t="s">
        <v>765</v>
      </c>
      <c r="V22">
        <f>IFERROR(INDEX('List of Leagues'!E:E, MATCH(U22, 'List of Leagues'!F:F, 0)), 0)</f>
        <v>0</v>
      </c>
      <c r="W22" t="s">
        <v>762</v>
      </c>
      <c r="X22">
        <f>IFERROR(INDEX('List of Leagues'!E:E, MATCH(W22, 'List of Leagues'!F:F, 0)), 0)</f>
        <v>0</v>
      </c>
      <c r="Y22" t="s">
        <v>178</v>
      </c>
      <c r="Z22">
        <f>IFERROR(INDEX('List of Leagues'!E:E, MATCH(Y22, 'List of Leagues'!F:F, 0)), 0)</f>
        <v>69.3</v>
      </c>
      <c r="AA22" t="s">
        <v>756</v>
      </c>
      <c r="AB22">
        <f>IFERROR(INDEX('List of Leagues'!E:E, MATCH(AA22, 'List of Leagues'!F:F, 0)), 0)</f>
        <v>76.8</v>
      </c>
      <c r="AC22" t="s">
        <v>762</v>
      </c>
      <c r="AD22">
        <f>IFERROR(INDEX('List of Leagues'!E:E, MATCH(AC22, 'List of Leagues'!F:F, 0)), 0)</f>
        <v>0</v>
      </c>
      <c r="AE22" t="s">
        <v>762</v>
      </c>
      <c r="AF22">
        <f>IFERROR(INDEX('List of Leagues'!E:E, MATCH(AE22, 'List of Leagues'!F:F, 0)), 0)</f>
        <v>0</v>
      </c>
      <c r="AG22" t="s">
        <v>762</v>
      </c>
      <c r="AH22">
        <f>IFERROR(INDEX('List of Leagues'!E:E, MATCH(AG22, 'List of Leagues'!F:F, 0)), 0)</f>
        <v>0</v>
      </c>
      <c r="AI22">
        <f t="shared" si="0"/>
        <v>26.8125</v>
      </c>
      <c r="AJ22" t="s">
        <v>177</v>
      </c>
      <c r="AK22">
        <f>IFERROR(INDEX('List of Leagues'!$E:$E, MATCH(AJ22, 'List of Leagues'!$F:$F, 0)), 0)</f>
        <v>0</v>
      </c>
      <c r="AL22" t="s">
        <v>762</v>
      </c>
      <c r="AM22">
        <f>IFERROR(INDEX('List of Leagues'!$E:$E, MATCH(AL22, 'List of Leagues'!$F:$F, 0)), 0)</f>
        <v>0</v>
      </c>
      <c r="AN22" t="s">
        <v>762</v>
      </c>
      <c r="AO22">
        <f>IFERROR(INDEX('List of Leagues'!$E:$E, MATCH(AN22, 'List of Leagues'!$F:$F, 0)), 0)</f>
        <v>0</v>
      </c>
      <c r="AP22" t="s">
        <v>762</v>
      </c>
      <c r="AQ22">
        <f>IFERROR(INDEX('List of Leagues'!$E:$E, MATCH(AP22, 'List of Leagues'!$F:$F, 0)), 0)</f>
        <v>0</v>
      </c>
      <c r="AR22" t="s">
        <v>762</v>
      </c>
      <c r="AS22">
        <f>IFERROR(INDEX('List of Leagues'!$E:$E, MATCH(AR22, 'List of Leagues'!$F:$F, 0)), 0)</f>
        <v>0</v>
      </c>
      <c r="AT22" t="s">
        <v>762</v>
      </c>
      <c r="AU22">
        <f>IFERROR(INDEX('List of Leagues'!$E:$E, MATCH(AT22, 'List of Leagues'!$F:$F, 0)), 0)</f>
        <v>0</v>
      </c>
      <c r="AV22">
        <f t="shared" si="1"/>
        <v>0</v>
      </c>
    </row>
    <row r="23" spans="1:48" x14ac:dyDescent="0.35">
      <c r="A23" t="s">
        <v>37</v>
      </c>
      <c r="B23">
        <v>44</v>
      </c>
      <c r="C23">
        <v>2011</v>
      </c>
      <c r="D23" t="s">
        <v>29</v>
      </c>
      <c r="E23" t="s">
        <v>6</v>
      </c>
      <c r="F23" t="s">
        <v>131</v>
      </c>
      <c r="G23" t="s">
        <v>145</v>
      </c>
      <c r="H23">
        <f t="shared" si="2"/>
        <v>68</v>
      </c>
      <c r="I23">
        <v>15</v>
      </c>
      <c r="J23">
        <v>21</v>
      </c>
      <c r="K23">
        <v>32</v>
      </c>
      <c r="L23">
        <f t="shared" si="3"/>
        <v>66</v>
      </c>
      <c r="M23" s="1">
        <f>AVERAGE(3572341.63, 3924919.3)</f>
        <v>3748630.4649999999</v>
      </c>
      <c r="N23">
        <v>2</v>
      </c>
      <c r="O23">
        <v>0</v>
      </c>
      <c r="P23">
        <v>4</v>
      </c>
      <c r="Q23">
        <f>IF(COUNTIF($A$2:A23, A23) &gt; 1, 1, 0)</f>
        <v>0</v>
      </c>
      <c r="R23" t="b">
        <v>1</v>
      </c>
      <c r="S23" t="s">
        <v>176</v>
      </c>
      <c r="T23">
        <f>IFERROR(INDEX('List of Leagues'!E:E, MATCH(S23, 'List of Leagues'!F:F, 0)), 0)</f>
        <v>0</v>
      </c>
      <c r="U23" t="s">
        <v>750</v>
      </c>
      <c r="V23">
        <f>IFERROR(INDEX('List of Leagues'!E:E, MATCH(U23, 'List of Leagues'!F:F, 0)), 0)</f>
        <v>0</v>
      </c>
      <c r="W23" t="s">
        <v>178</v>
      </c>
      <c r="X23">
        <f>IFERROR(INDEX('List of Leagues'!E:E, MATCH(W23, 'List of Leagues'!F:F, 0)), 0)</f>
        <v>69.3</v>
      </c>
      <c r="Y23" t="s">
        <v>756</v>
      </c>
      <c r="Z23">
        <f>IFERROR(INDEX('List of Leagues'!E:E, MATCH(Y23, 'List of Leagues'!F:F, 0)), 0)</f>
        <v>76.8</v>
      </c>
      <c r="AA23" t="s">
        <v>762</v>
      </c>
      <c r="AB23">
        <f>IFERROR(INDEX('List of Leagues'!E:E, MATCH(AA23, 'List of Leagues'!F:F, 0)), 0)</f>
        <v>0</v>
      </c>
      <c r="AC23" t="s">
        <v>762</v>
      </c>
      <c r="AD23">
        <f>IFERROR(INDEX('List of Leagues'!E:E, MATCH(AC23, 'List of Leagues'!F:F, 0)), 0)</f>
        <v>0</v>
      </c>
      <c r="AE23" t="s">
        <v>762</v>
      </c>
      <c r="AF23">
        <f>IFERROR(INDEX('List of Leagues'!E:E, MATCH(AE23, 'List of Leagues'!F:F, 0)), 0)</f>
        <v>0</v>
      </c>
      <c r="AG23" t="s">
        <v>762</v>
      </c>
      <c r="AH23">
        <f>IFERROR(INDEX('List of Leagues'!E:E, MATCH(AG23, 'List of Leagues'!F:F, 0)), 0)</f>
        <v>0</v>
      </c>
      <c r="AI23">
        <f t="shared" si="0"/>
        <v>18.262499999999999</v>
      </c>
      <c r="AJ23" t="s">
        <v>178</v>
      </c>
      <c r="AK23">
        <f>IFERROR(INDEX('List of Leagues'!$E:$E, MATCH(AJ23, 'List of Leagues'!$F:$F, 0)), 0)</f>
        <v>69.3</v>
      </c>
      <c r="AL23" t="s">
        <v>762</v>
      </c>
      <c r="AM23">
        <f>IFERROR(INDEX('List of Leagues'!$E:$E, MATCH(AL23, 'List of Leagues'!$F:$F, 0)), 0)</f>
        <v>0</v>
      </c>
      <c r="AN23" t="s">
        <v>762</v>
      </c>
      <c r="AO23">
        <f>IFERROR(INDEX('List of Leagues'!$E:$E, MATCH(AN23, 'List of Leagues'!$F:$F, 0)), 0)</f>
        <v>0</v>
      </c>
      <c r="AP23" t="s">
        <v>762</v>
      </c>
      <c r="AQ23">
        <f>IFERROR(INDEX('List of Leagues'!$E:$E, MATCH(AP23, 'List of Leagues'!$F:$F, 0)), 0)</f>
        <v>0</v>
      </c>
      <c r="AR23" t="s">
        <v>762</v>
      </c>
      <c r="AS23">
        <f>IFERROR(INDEX('List of Leagues'!$E:$E, MATCH(AR23, 'List of Leagues'!$F:$F, 0)), 0)</f>
        <v>0</v>
      </c>
      <c r="AT23" t="s">
        <v>762</v>
      </c>
      <c r="AU23">
        <f>IFERROR(INDEX('List of Leagues'!$E:$E, MATCH(AT23, 'List of Leagues'!$F:$F, 0)), 0)</f>
        <v>0</v>
      </c>
      <c r="AV23">
        <f t="shared" si="1"/>
        <v>11.549999999999999</v>
      </c>
    </row>
    <row r="24" spans="1:48" x14ac:dyDescent="0.35">
      <c r="A24" t="s">
        <v>41</v>
      </c>
      <c r="B24">
        <v>59</v>
      </c>
      <c r="C24">
        <v>2011</v>
      </c>
      <c r="D24" t="s">
        <v>42</v>
      </c>
      <c r="E24" t="s">
        <v>10</v>
      </c>
      <c r="F24" t="s">
        <v>10</v>
      </c>
      <c r="G24" t="s">
        <v>151</v>
      </c>
      <c r="H24">
        <f t="shared" si="2"/>
        <v>12</v>
      </c>
      <c r="I24">
        <v>1</v>
      </c>
      <c r="J24">
        <v>6</v>
      </c>
      <c r="K24">
        <v>5</v>
      </c>
      <c r="L24">
        <f t="shared" si="3"/>
        <v>9</v>
      </c>
      <c r="M24" s="2">
        <v>4004986.38</v>
      </c>
      <c r="N24">
        <v>5</v>
      </c>
      <c r="O24">
        <v>20</v>
      </c>
      <c r="P24">
        <v>0</v>
      </c>
      <c r="Q24">
        <f>IF(COUNTIF($A$2:A24, A24) &gt; 1, 1, 0)</f>
        <v>0</v>
      </c>
      <c r="R24" t="b">
        <v>1</v>
      </c>
      <c r="S24" t="s">
        <v>755</v>
      </c>
      <c r="T24">
        <f>IFERROR(INDEX('List of Leagues'!E:E, MATCH(S24, 'List of Leagues'!F:F, 0)), 0)</f>
        <v>64.8</v>
      </c>
      <c r="U24" t="s">
        <v>769</v>
      </c>
      <c r="V24">
        <f>IFERROR(INDEX('List of Leagues'!E:E, MATCH(U24, 'List of Leagues'!F:F, 0)), 0)</f>
        <v>74.2</v>
      </c>
      <c r="W24" t="s">
        <v>756</v>
      </c>
      <c r="X24">
        <f>IFERROR(INDEX('List of Leagues'!E:E, MATCH(W24, 'List of Leagues'!F:F, 0)), 0)</f>
        <v>76.8</v>
      </c>
      <c r="Y24" t="s">
        <v>208</v>
      </c>
      <c r="Z24">
        <f>IFERROR(INDEX('List of Leagues'!E:E, MATCH(Y24, 'List of Leagues'!F:F, 0)), 0)</f>
        <v>85.1</v>
      </c>
      <c r="AA24" t="s">
        <v>762</v>
      </c>
      <c r="AB24">
        <f>IFERROR(INDEX('List of Leagues'!E:E, MATCH(AA24, 'List of Leagues'!F:F, 0)), 0)</f>
        <v>0</v>
      </c>
      <c r="AC24" t="s">
        <v>762</v>
      </c>
      <c r="AD24">
        <f>IFERROR(INDEX('List of Leagues'!E:E, MATCH(AC24, 'List of Leagues'!F:F, 0)), 0)</f>
        <v>0</v>
      </c>
      <c r="AE24" t="s">
        <v>762</v>
      </c>
      <c r="AF24">
        <f>IFERROR(INDEX('List of Leagues'!E:E, MATCH(AE24, 'List of Leagues'!F:F, 0)), 0)</f>
        <v>0</v>
      </c>
      <c r="AG24" t="s">
        <v>762</v>
      </c>
      <c r="AH24">
        <f>IFERROR(INDEX('List of Leagues'!E:E, MATCH(AG24, 'List of Leagues'!F:F, 0)), 0)</f>
        <v>0</v>
      </c>
      <c r="AI24">
        <f t="shared" si="0"/>
        <v>37.612499999999997</v>
      </c>
      <c r="AJ24" t="s">
        <v>178</v>
      </c>
      <c r="AK24">
        <f>IFERROR(INDEX('List of Leagues'!$E:$E, MATCH(AJ24, 'List of Leagues'!$F:$F, 0)), 0)</f>
        <v>69.3</v>
      </c>
      <c r="AL24" t="s">
        <v>762</v>
      </c>
      <c r="AM24">
        <f>IFERROR(INDEX('List of Leagues'!$E:$E, MATCH(AL24, 'List of Leagues'!$F:$F, 0)), 0)</f>
        <v>0</v>
      </c>
      <c r="AN24" t="s">
        <v>762</v>
      </c>
      <c r="AO24">
        <f>IFERROR(INDEX('List of Leagues'!$E:$E, MATCH(AN24, 'List of Leagues'!$F:$F, 0)), 0)</f>
        <v>0</v>
      </c>
      <c r="AP24" t="s">
        <v>762</v>
      </c>
      <c r="AQ24">
        <f>IFERROR(INDEX('List of Leagues'!$E:$E, MATCH(AP24, 'List of Leagues'!$F:$F, 0)), 0)</f>
        <v>0</v>
      </c>
      <c r="AR24" t="s">
        <v>762</v>
      </c>
      <c r="AS24">
        <f>IFERROR(INDEX('List of Leagues'!$E:$E, MATCH(AR24, 'List of Leagues'!$F:$F, 0)), 0)</f>
        <v>0</v>
      </c>
      <c r="AT24" t="s">
        <v>762</v>
      </c>
      <c r="AU24">
        <f>IFERROR(INDEX('List of Leagues'!$E:$E, MATCH(AT24, 'List of Leagues'!$F:$F, 0)), 0)</f>
        <v>0</v>
      </c>
      <c r="AV24">
        <f t="shared" si="1"/>
        <v>11.549999999999999</v>
      </c>
    </row>
    <row r="25" spans="1:48" x14ac:dyDescent="0.35">
      <c r="A25" t="s">
        <v>46</v>
      </c>
      <c r="B25">
        <v>36</v>
      </c>
      <c r="C25">
        <v>2012</v>
      </c>
      <c r="D25" t="s">
        <v>197</v>
      </c>
      <c r="E25" t="s">
        <v>10</v>
      </c>
      <c r="F25" t="s">
        <v>10</v>
      </c>
      <c r="G25" t="s">
        <v>136</v>
      </c>
      <c r="H25">
        <f t="shared" si="2"/>
        <v>199</v>
      </c>
      <c r="I25">
        <f>9+14+17+14+11+10</f>
        <v>75</v>
      </c>
      <c r="J25">
        <f>8+9+4+8+9+5</f>
        <v>43</v>
      </c>
      <c r="K25">
        <f>14+12+13+11+17+14</f>
        <v>81</v>
      </c>
      <c r="L25">
        <f t="shared" si="3"/>
        <v>268</v>
      </c>
      <c r="M25" s="2">
        <v>5663251.5700000003</v>
      </c>
      <c r="N25">
        <v>6</v>
      </c>
      <c r="O25">
        <v>0</v>
      </c>
      <c r="P25">
        <v>0</v>
      </c>
      <c r="Q25">
        <f>IF(COUNTIF($A$2:A25, A25) &gt; 1, 1, 0)</f>
        <v>0</v>
      </c>
      <c r="R25" t="b">
        <v>1</v>
      </c>
      <c r="S25" t="s">
        <v>178</v>
      </c>
      <c r="T25">
        <f>IFERROR(INDEX('List of Leagues'!E:E, MATCH(S25, 'List of Leagues'!F:F, 0)), 0)</f>
        <v>69.3</v>
      </c>
      <c r="U25" t="s">
        <v>756</v>
      </c>
      <c r="V25">
        <f>IFERROR(INDEX('List of Leagues'!E:E, MATCH(U25, 'List of Leagues'!F:F, 0)), 0)</f>
        <v>76.8</v>
      </c>
      <c r="W25" t="s">
        <v>185</v>
      </c>
      <c r="X25">
        <f>IFERROR(INDEX('List of Leagues'!E:E, MATCH(W25, 'List of Leagues'!F:F, 0)), 0)</f>
        <v>75.400000000000006</v>
      </c>
      <c r="Y25" t="s">
        <v>762</v>
      </c>
      <c r="Z25">
        <f>IFERROR(INDEX('List of Leagues'!E:E, MATCH(Y25, 'List of Leagues'!F:F, 0)), 0)</f>
        <v>0</v>
      </c>
      <c r="AA25" t="s">
        <v>762</v>
      </c>
      <c r="AB25">
        <f>IFERROR(INDEX('List of Leagues'!E:E, MATCH(AA25, 'List of Leagues'!F:F, 0)), 0)</f>
        <v>0</v>
      </c>
      <c r="AC25" t="s">
        <v>762</v>
      </c>
      <c r="AD25">
        <f>IFERROR(INDEX('List of Leagues'!E:E, MATCH(AC25, 'List of Leagues'!F:F, 0)), 0)</f>
        <v>0</v>
      </c>
      <c r="AE25" t="s">
        <v>762</v>
      </c>
      <c r="AF25">
        <f>IFERROR(INDEX('List of Leagues'!E:E, MATCH(AE25, 'List of Leagues'!F:F, 0)), 0)</f>
        <v>0</v>
      </c>
      <c r="AG25" t="s">
        <v>762</v>
      </c>
      <c r="AH25">
        <f>IFERROR(INDEX('List of Leagues'!E:E, MATCH(AG25, 'List of Leagues'!F:F, 0)), 0)</f>
        <v>0</v>
      </c>
      <c r="AI25">
        <f t="shared" si="0"/>
        <v>27.6875</v>
      </c>
      <c r="AJ25" t="s">
        <v>177</v>
      </c>
      <c r="AK25">
        <f>IFERROR(INDEX('List of Leagues'!$E:$E, MATCH(AJ25, 'List of Leagues'!$F:$F, 0)), 0)</f>
        <v>0</v>
      </c>
      <c r="AL25" t="s">
        <v>762</v>
      </c>
      <c r="AM25">
        <f>IFERROR(INDEX('List of Leagues'!$E:$E, MATCH(AL25, 'List of Leagues'!$F:$F, 0)), 0)</f>
        <v>0</v>
      </c>
      <c r="AN25" t="s">
        <v>762</v>
      </c>
      <c r="AO25">
        <f>IFERROR(INDEX('List of Leagues'!$E:$E, MATCH(AN25, 'List of Leagues'!$F:$F, 0)), 0)</f>
        <v>0</v>
      </c>
      <c r="AP25" t="s">
        <v>762</v>
      </c>
      <c r="AQ25">
        <f>IFERROR(INDEX('List of Leagues'!$E:$E, MATCH(AP25, 'List of Leagues'!$F:$F, 0)), 0)</f>
        <v>0</v>
      </c>
      <c r="AR25" t="s">
        <v>762</v>
      </c>
      <c r="AS25">
        <f>IFERROR(INDEX('List of Leagues'!$E:$E, MATCH(AR25, 'List of Leagues'!$F:$F, 0)), 0)</f>
        <v>0</v>
      </c>
      <c r="AT25" t="s">
        <v>762</v>
      </c>
      <c r="AU25">
        <f>IFERROR(INDEX('List of Leagues'!$E:$E, MATCH(AT25, 'List of Leagues'!$F:$F, 0)), 0)</f>
        <v>0</v>
      </c>
      <c r="AV25">
        <f t="shared" si="1"/>
        <v>0</v>
      </c>
    </row>
    <row r="26" spans="1:48" x14ac:dyDescent="0.35">
      <c r="A26" t="s">
        <v>44</v>
      </c>
      <c r="B26">
        <v>39</v>
      </c>
      <c r="C26">
        <v>2012</v>
      </c>
      <c r="D26" t="s">
        <v>45</v>
      </c>
      <c r="E26" t="s">
        <v>10</v>
      </c>
      <c r="F26" t="s">
        <v>10</v>
      </c>
      <c r="G26" t="s">
        <v>136</v>
      </c>
      <c r="H26">
        <f t="shared" si="2"/>
        <v>34</v>
      </c>
      <c r="I26">
        <v>12</v>
      </c>
      <c r="J26">
        <v>6</v>
      </c>
      <c r="K26">
        <v>16</v>
      </c>
      <c r="L26">
        <f t="shared" si="3"/>
        <v>42</v>
      </c>
      <c r="M26" s="2">
        <v>4751369.58</v>
      </c>
      <c r="N26">
        <v>1</v>
      </c>
      <c r="O26">
        <v>0</v>
      </c>
      <c r="P26">
        <v>2</v>
      </c>
      <c r="Q26">
        <f>IF(COUNTIF($A$2:A26, A26) &gt; 1, 1, 0)</f>
        <v>0</v>
      </c>
      <c r="R26" t="b">
        <v>1</v>
      </c>
      <c r="S26" t="s">
        <v>178</v>
      </c>
      <c r="T26">
        <f>IFERROR(INDEX('List of Leagues'!E:E, MATCH(S26, 'List of Leagues'!F:F, 0)), 0)</f>
        <v>69.3</v>
      </c>
      <c r="U26" t="s">
        <v>756</v>
      </c>
      <c r="V26">
        <f>IFERROR(INDEX('List of Leagues'!E:E, MATCH(U26, 'List of Leagues'!F:F, 0)), 0)</f>
        <v>76.8</v>
      </c>
      <c r="W26" t="s">
        <v>762</v>
      </c>
      <c r="X26">
        <f>IFERROR(INDEX('List of Leagues'!E:E, MATCH(W26, 'List of Leagues'!F:F, 0)), 0)</f>
        <v>0</v>
      </c>
      <c r="Y26" t="s">
        <v>762</v>
      </c>
      <c r="Z26">
        <f>IFERROR(INDEX('List of Leagues'!E:E, MATCH(Y26, 'List of Leagues'!F:F, 0)), 0)</f>
        <v>0</v>
      </c>
      <c r="AA26" t="s">
        <v>762</v>
      </c>
      <c r="AB26">
        <f>IFERROR(INDEX('List of Leagues'!E:E, MATCH(AA26, 'List of Leagues'!F:F, 0)), 0)</f>
        <v>0</v>
      </c>
      <c r="AC26" t="s">
        <v>762</v>
      </c>
      <c r="AD26">
        <f>IFERROR(INDEX('List of Leagues'!E:E, MATCH(AC26, 'List of Leagues'!F:F, 0)), 0)</f>
        <v>0</v>
      </c>
      <c r="AE26" t="s">
        <v>762</v>
      </c>
      <c r="AF26">
        <f>IFERROR(INDEX('List of Leagues'!E:E, MATCH(AE26, 'List of Leagues'!F:F, 0)), 0)</f>
        <v>0</v>
      </c>
      <c r="AG26" t="s">
        <v>762</v>
      </c>
      <c r="AH26">
        <f>IFERROR(INDEX('List of Leagues'!E:E, MATCH(AG26, 'List of Leagues'!F:F, 0)), 0)</f>
        <v>0</v>
      </c>
      <c r="AI26">
        <f t="shared" si="0"/>
        <v>18.262499999999999</v>
      </c>
      <c r="AJ26" t="s">
        <v>549</v>
      </c>
      <c r="AK26">
        <f>IFERROR(INDEX('List of Leagues'!$E:$E, MATCH(AJ26, 'List of Leagues'!$F:$F, 0)), 0)</f>
        <v>72.7</v>
      </c>
      <c r="AL26" t="s">
        <v>201</v>
      </c>
      <c r="AM26">
        <f>IFERROR(INDEX('List of Leagues'!$E:$E, MATCH(AL26, 'List of Leagues'!$F:$F, 0)), 0)</f>
        <v>80</v>
      </c>
      <c r="AN26" t="s">
        <v>544</v>
      </c>
      <c r="AO26">
        <f>IFERROR(INDEX('List of Leagues'!$E:$E, MATCH(AN26, 'List of Leagues'!$F:$F, 0)), 0)</f>
        <v>76.900000000000006</v>
      </c>
      <c r="AP26" t="s">
        <v>762</v>
      </c>
      <c r="AQ26">
        <f>IFERROR(INDEX('List of Leagues'!$E:$E, MATCH(AP26, 'List of Leagues'!$F:$F, 0)), 0)</f>
        <v>0</v>
      </c>
      <c r="AR26" t="s">
        <v>762</v>
      </c>
      <c r="AS26">
        <f>IFERROR(INDEX('List of Leagues'!$E:$E, MATCH(AR26, 'List of Leagues'!$F:$F, 0)), 0)</f>
        <v>0</v>
      </c>
      <c r="AT26" t="s">
        <v>762</v>
      </c>
      <c r="AU26">
        <f>IFERROR(INDEX('List of Leagues'!$E:$E, MATCH(AT26, 'List of Leagues'!$F:$F, 0)), 0)</f>
        <v>0</v>
      </c>
      <c r="AV26">
        <f t="shared" si="1"/>
        <v>38.266666666666666</v>
      </c>
    </row>
    <row r="27" spans="1:48" x14ac:dyDescent="0.35">
      <c r="A27" t="s">
        <v>47</v>
      </c>
      <c r="B27">
        <v>42</v>
      </c>
      <c r="C27">
        <v>2012</v>
      </c>
      <c r="D27" t="s">
        <v>36</v>
      </c>
      <c r="E27" t="s">
        <v>10</v>
      </c>
      <c r="F27" t="s">
        <v>10</v>
      </c>
      <c r="G27" t="s">
        <v>136</v>
      </c>
      <c r="H27">
        <f t="shared" si="2"/>
        <v>73</v>
      </c>
      <c r="I27">
        <f>8+12+3</f>
        <v>23</v>
      </c>
      <c r="J27">
        <f>4+10+7</f>
        <v>21</v>
      </c>
      <c r="K27">
        <f>12+11+6</f>
        <v>29</v>
      </c>
      <c r="L27">
        <f t="shared" si="3"/>
        <v>90</v>
      </c>
      <c r="M27" s="2">
        <v>3990733.4166666665</v>
      </c>
      <c r="N27">
        <v>3</v>
      </c>
      <c r="O27">
        <v>7</v>
      </c>
      <c r="P27">
        <v>12</v>
      </c>
      <c r="Q27">
        <f>IF(COUNTIF($A$2:A27, A27) &gt; 1, 1, 0)</f>
        <v>0</v>
      </c>
      <c r="R27" t="b">
        <v>0</v>
      </c>
      <c r="S27" t="s">
        <v>179</v>
      </c>
      <c r="T27">
        <f>IFERROR(INDEX('List of Leagues'!E:E, MATCH(S27, 'List of Leagues'!F:F, 0)), 0)</f>
        <v>0</v>
      </c>
      <c r="U27" t="s">
        <v>762</v>
      </c>
      <c r="V27">
        <f>IFERROR(INDEX('List of Leagues'!E:E, MATCH(U27, 'List of Leagues'!F:F, 0)), 0)</f>
        <v>0</v>
      </c>
      <c r="W27" t="s">
        <v>184</v>
      </c>
      <c r="X27">
        <f>IFERROR(INDEX('List of Leagues'!E:E, MATCH(W27, 'List of Leagues'!F:F, 0)), 0)</f>
        <v>93.8</v>
      </c>
      <c r="Y27" t="s">
        <v>762</v>
      </c>
      <c r="Z27">
        <f>IFERROR(INDEX('List of Leagues'!E:E, MATCH(Y27, 'List of Leagues'!F:F, 0)), 0)</f>
        <v>0</v>
      </c>
      <c r="AA27" t="s">
        <v>762</v>
      </c>
      <c r="AB27">
        <f>IFERROR(INDEX('List of Leagues'!E:E, MATCH(AA27, 'List of Leagues'!F:F, 0)), 0)</f>
        <v>0</v>
      </c>
      <c r="AC27" t="s">
        <v>762</v>
      </c>
      <c r="AD27">
        <f>IFERROR(INDEX('List of Leagues'!E:E, MATCH(AC27, 'List of Leagues'!F:F, 0)), 0)</f>
        <v>0</v>
      </c>
      <c r="AE27" t="s">
        <v>762</v>
      </c>
      <c r="AF27">
        <f>IFERROR(INDEX('List of Leagues'!E:E, MATCH(AE27, 'List of Leagues'!F:F, 0)), 0)</f>
        <v>0</v>
      </c>
      <c r="AG27" t="s">
        <v>762</v>
      </c>
      <c r="AH27">
        <f>IFERROR(INDEX('List of Leagues'!E:E, MATCH(AG27, 'List of Leagues'!F:F, 0)), 0)</f>
        <v>0</v>
      </c>
      <c r="AI27">
        <f t="shared" si="0"/>
        <v>11.725</v>
      </c>
      <c r="AJ27" t="s">
        <v>217</v>
      </c>
      <c r="AK27">
        <f>IFERROR(INDEX('List of Leagues'!$E:$E, MATCH(AJ27, 'List of Leagues'!$F:$F, 0)), 0)</f>
        <v>0</v>
      </c>
      <c r="AL27" t="s">
        <v>762</v>
      </c>
      <c r="AM27">
        <f>IFERROR(INDEX('List of Leagues'!$E:$E, MATCH(AL27, 'List of Leagues'!$F:$F, 0)), 0)</f>
        <v>0</v>
      </c>
      <c r="AN27" t="s">
        <v>762</v>
      </c>
      <c r="AO27">
        <f>IFERROR(INDEX('List of Leagues'!$E:$E, MATCH(AN27, 'List of Leagues'!$F:$F, 0)), 0)</f>
        <v>0</v>
      </c>
      <c r="AP27" t="s">
        <v>762</v>
      </c>
      <c r="AQ27">
        <f>IFERROR(INDEX('List of Leagues'!$E:$E, MATCH(AP27, 'List of Leagues'!$F:$F, 0)), 0)</f>
        <v>0</v>
      </c>
      <c r="AR27" t="s">
        <v>762</v>
      </c>
      <c r="AS27">
        <f>IFERROR(INDEX('List of Leagues'!$E:$E, MATCH(AR27, 'List of Leagues'!$F:$F, 0)), 0)</f>
        <v>0</v>
      </c>
      <c r="AT27" t="s">
        <v>762</v>
      </c>
      <c r="AU27">
        <f>IFERROR(INDEX('List of Leagues'!$E:$E, MATCH(AT27, 'List of Leagues'!$F:$F, 0)), 0)</f>
        <v>0</v>
      </c>
      <c r="AV27">
        <f t="shared" si="1"/>
        <v>0</v>
      </c>
    </row>
    <row r="28" spans="1:48" x14ac:dyDescent="0.35">
      <c r="A28" t="s">
        <v>49</v>
      </c>
      <c r="B28">
        <v>37</v>
      </c>
      <c r="C28">
        <v>2012</v>
      </c>
      <c r="D28" t="s">
        <v>42</v>
      </c>
      <c r="E28" t="s">
        <v>10</v>
      </c>
      <c r="F28" t="s">
        <v>10</v>
      </c>
      <c r="G28" t="s">
        <v>146</v>
      </c>
      <c r="H28">
        <f t="shared" si="2"/>
        <v>68</v>
      </c>
      <c r="I28">
        <f>13+11</f>
        <v>24</v>
      </c>
      <c r="J28">
        <f>10+9</f>
        <v>19</v>
      </c>
      <c r="K28">
        <f>13+12</f>
        <v>25</v>
      </c>
      <c r="L28">
        <f t="shared" si="3"/>
        <v>91</v>
      </c>
      <c r="M28" s="2">
        <v>5117025.4749999996</v>
      </c>
      <c r="N28">
        <v>2</v>
      </c>
      <c r="O28">
        <v>6</v>
      </c>
      <c r="P28">
        <v>0</v>
      </c>
      <c r="Q28">
        <f>IF(COUNTIF($A$2:A28, A28) &gt; 1, 1, 0)</f>
        <v>0</v>
      </c>
      <c r="R28" t="b">
        <v>0</v>
      </c>
      <c r="S28" t="s">
        <v>179</v>
      </c>
      <c r="T28">
        <f>IFERROR(INDEX('List of Leagues'!E:E, MATCH(S28, 'List of Leagues'!F:F, 0)), 0)</f>
        <v>0</v>
      </c>
      <c r="U28" t="s">
        <v>762</v>
      </c>
      <c r="V28">
        <f>IFERROR(INDEX('List of Leagues'!E:E, MATCH(U28, 'List of Leagues'!F:F, 0)), 0)</f>
        <v>0</v>
      </c>
      <c r="W28" t="s">
        <v>776</v>
      </c>
      <c r="X28">
        <f>IFERROR(INDEX('List of Leagues'!E:E, MATCH(W28, 'List of Leagues'!F:F, 0)), 0)</f>
        <v>0</v>
      </c>
      <c r="Y28" t="s">
        <v>762</v>
      </c>
      <c r="Z28">
        <f>IFERROR(INDEX('List of Leagues'!E:E, MATCH(Y28, 'List of Leagues'!F:F, 0)), 0)</f>
        <v>0</v>
      </c>
      <c r="AA28" t="s">
        <v>762</v>
      </c>
      <c r="AB28">
        <f>IFERROR(INDEX('List of Leagues'!E:E, MATCH(AA28, 'List of Leagues'!F:F, 0)), 0)</f>
        <v>0</v>
      </c>
      <c r="AC28" t="s">
        <v>762</v>
      </c>
      <c r="AD28">
        <f>IFERROR(INDEX('List of Leagues'!E:E, MATCH(AC28, 'List of Leagues'!F:F, 0)), 0)</f>
        <v>0</v>
      </c>
      <c r="AE28" t="s">
        <v>762</v>
      </c>
      <c r="AF28">
        <f>IFERROR(INDEX('List of Leagues'!E:E, MATCH(AE28, 'List of Leagues'!F:F, 0)), 0)</f>
        <v>0</v>
      </c>
      <c r="AG28" t="s">
        <v>762</v>
      </c>
      <c r="AH28">
        <f>IFERROR(INDEX('List of Leagues'!E:E, MATCH(AG28, 'List of Leagues'!F:F, 0)), 0)</f>
        <v>0</v>
      </c>
      <c r="AI28">
        <f t="shared" si="0"/>
        <v>0</v>
      </c>
      <c r="AJ28" t="s">
        <v>781</v>
      </c>
      <c r="AK28">
        <f>IFERROR(INDEX('List of Leagues'!$E:$E, MATCH(AJ28, 'List of Leagues'!$F:$F, 0)), 0)</f>
        <v>0</v>
      </c>
      <c r="AL28" t="s">
        <v>762</v>
      </c>
      <c r="AM28">
        <f>IFERROR(INDEX('List of Leagues'!$E:$E, MATCH(AL28, 'List of Leagues'!$F:$F, 0)), 0)</f>
        <v>0</v>
      </c>
      <c r="AN28" t="s">
        <v>762</v>
      </c>
      <c r="AO28">
        <f>IFERROR(INDEX('List of Leagues'!$E:$E, MATCH(AN28, 'List of Leagues'!$F:$F, 0)), 0)</f>
        <v>0</v>
      </c>
      <c r="AP28" t="s">
        <v>762</v>
      </c>
      <c r="AQ28">
        <f>IFERROR(INDEX('List of Leagues'!$E:$E, MATCH(AP28, 'List of Leagues'!$F:$F, 0)), 0)</f>
        <v>0</v>
      </c>
      <c r="AR28" t="s">
        <v>762</v>
      </c>
      <c r="AS28">
        <f>IFERROR(INDEX('List of Leagues'!$E:$E, MATCH(AR28, 'List of Leagues'!$F:$F, 0)), 0)</f>
        <v>0</v>
      </c>
      <c r="AT28" t="s">
        <v>762</v>
      </c>
      <c r="AU28">
        <f>IFERROR(INDEX('List of Leagues'!$E:$E, MATCH(AT28, 'List of Leagues'!$F:$F, 0)), 0)</f>
        <v>0</v>
      </c>
      <c r="AV28">
        <f t="shared" si="1"/>
        <v>0</v>
      </c>
    </row>
    <row r="29" spans="1:48" x14ac:dyDescent="0.35">
      <c r="A29" t="s">
        <v>43</v>
      </c>
      <c r="B29">
        <v>44</v>
      </c>
      <c r="C29">
        <v>2012</v>
      </c>
      <c r="D29" t="s">
        <v>9</v>
      </c>
      <c r="E29" t="s">
        <v>10</v>
      </c>
      <c r="F29" t="s">
        <v>10</v>
      </c>
      <c r="G29" t="s">
        <v>137</v>
      </c>
      <c r="H29">
        <f t="shared" si="2"/>
        <v>72</v>
      </c>
      <c r="I29">
        <v>26</v>
      </c>
      <c r="J29">
        <v>13</v>
      </c>
      <c r="K29">
        <v>33</v>
      </c>
      <c r="L29">
        <f t="shared" si="3"/>
        <v>91</v>
      </c>
      <c r="M29" s="2">
        <v>3631199.375</v>
      </c>
      <c r="N29">
        <v>2</v>
      </c>
      <c r="O29">
        <v>0</v>
      </c>
      <c r="P29">
        <v>7</v>
      </c>
      <c r="Q29">
        <f>IF(COUNTIF($A$2:A29, A29) &gt; 1, 1, 0)</f>
        <v>0</v>
      </c>
      <c r="R29" t="b">
        <v>1</v>
      </c>
      <c r="S29" t="s">
        <v>536</v>
      </c>
      <c r="T29">
        <f>IFERROR(INDEX('List of Leagues'!E:E, MATCH(S29, 'List of Leagues'!F:F, 0)), 0)</f>
        <v>78.099999999999994</v>
      </c>
      <c r="U29" t="s">
        <v>178</v>
      </c>
      <c r="V29">
        <f>IFERROR(INDEX('List of Leagues'!E:E, MATCH(U29, 'List of Leagues'!F:F, 0)), 0)</f>
        <v>69.3</v>
      </c>
      <c r="W29" t="s">
        <v>756</v>
      </c>
      <c r="X29">
        <f>IFERROR(INDEX('List of Leagues'!E:E, MATCH(W29, 'List of Leagues'!F:F, 0)), 0)</f>
        <v>76.8</v>
      </c>
      <c r="Y29" t="s">
        <v>762</v>
      </c>
      <c r="Z29">
        <f>IFERROR(INDEX('List of Leagues'!E:E, MATCH(Y29, 'List of Leagues'!F:F, 0)), 0)</f>
        <v>0</v>
      </c>
      <c r="AA29" t="s">
        <v>762</v>
      </c>
      <c r="AB29">
        <f>IFERROR(INDEX('List of Leagues'!E:E, MATCH(AA29, 'List of Leagues'!F:F, 0)), 0)</f>
        <v>0</v>
      </c>
      <c r="AC29" t="s">
        <v>762</v>
      </c>
      <c r="AD29">
        <f>IFERROR(INDEX('List of Leagues'!E:E, MATCH(AC29, 'List of Leagues'!F:F, 0)), 0)</f>
        <v>0</v>
      </c>
      <c r="AE29" t="s">
        <v>762</v>
      </c>
      <c r="AF29">
        <f>IFERROR(INDEX('List of Leagues'!E:E, MATCH(AE29, 'List of Leagues'!F:F, 0)), 0)</f>
        <v>0</v>
      </c>
      <c r="AG29" t="s">
        <v>762</v>
      </c>
      <c r="AH29">
        <f>IFERROR(INDEX('List of Leagues'!E:E, MATCH(AG29, 'List of Leagues'!F:F, 0)), 0)</f>
        <v>0</v>
      </c>
      <c r="AI29">
        <f t="shared" si="0"/>
        <v>28.024999999999999</v>
      </c>
      <c r="AJ29" t="s">
        <v>213</v>
      </c>
      <c r="AK29">
        <f>IFERROR(INDEX('List of Leagues'!$E:$E, MATCH(AJ29, 'List of Leagues'!$F:$F, 0)), 0)</f>
        <v>0</v>
      </c>
      <c r="AL29" t="s">
        <v>762</v>
      </c>
      <c r="AM29">
        <f>IFERROR(INDEX('List of Leagues'!$E:$E, MATCH(AL29, 'List of Leagues'!$F:$F, 0)), 0)</f>
        <v>0</v>
      </c>
      <c r="AN29" t="s">
        <v>762</v>
      </c>
      <c r="AO29">
        <f>IFERROR(INDEX('List of Leagues'!$E:$E, MATCH(AN29, 'List of Leagues'!$F:$F, 0)), 0)</f>
        <v>0</v>
      </c>
      <c r="AP29" t="s">
        <v>762</v>
      </c>
      <c r="AQ29">
        <f>IFERROR(INDEX('List of Leagues'!$E:$E, MATCH(AP29, 'List of Leagues'!$F:$F, 0)), 0)</f>
        <v>0</v>
      </c>
      <c r="AR29" t="s">
        <v>762</v>
      </c>
      <c r="AS29">
        <f>IFERROR(INDEX('List of Leagues'!$E:$E, MATCH(AR29, 'List of Leagues'!$F:$F, 0)), 0)</f>
        <v>0</v>
      </c>
      <c r="AT29" t="s">
        <v>762</v>
      </c>
      <c r="AU29">
        <f>IFERROR(INDEX('List of Leagues'!$E:$E, MATCH(AT29, 'List of Leagues'!$F:$F, 0)), 0)</f>
        <v>0</v>
      </c>
      <c r="AV29">
        <f t="shared" si="1"/>
        <v>0</v>
      </c>
    </row>
    <row r="30" spans="1:48" x14ac:dyDescent="0.35">
      <c r="A30" t="s">
        <v>48</v>
      </c>
      <c r="B30">
        <v>59</v>
      </c>
      <c r="C30">
        <v>2012</v>
      </c>
      <c r="D30" t="s">
        <v>21</v>
      </c>
      <c r="E30" t="s">
        <v>10</v>
      </c>
      <c r="F30" t="s">
        <v>10</v>
      </c>
      <c r="G30" t="s">
        <v>147</v>
      </c>
      <c r="H30">
        <f t="shared" si="2"/>
        <v>24</v>
      </c>
      <c r="I30">
        <v>4</v>
      </c>
      <c r="J30">
        <v>8</v>
      </c>
      <c r="K30">
        <v>12</v>
      </c>
      <c r="L30">
        <f t="shared" si="3"/>
        <v>20</v>
      </c>
      <c r="M30" s="2">
        <v>7402623.6699999999</v>
      </c>
      <c r="N30">
        <v>1</v>
      </c>
      <c r="O30">
        <v>2</v>
      </c>
      <c r="P30">
        <v>6</v>
      </c>
      <c r="Q30">
        <f>IF(COUNTIF($A$2:A30, A30) &gt; 1, 1, 0)</f>
        <v>0</v>
      </c>
      <c r="R30" t="b">
        <v>1</v>
      </c>
      <c r="S30" t="s">
        <v>185</v>
      </c>
      <c r="T30">
        <f>IFERROR(INDEX('List of Leagues'!E:E, MATCH(S30, 'List of Leagues'!F:F, 0)), 0)</f>
        <v>75.400000000000006</v>
      </c>
      <c r="U30" t="s">
        <v>184</v>
      </c>
      <c r="V30">
        <f>IFERROR(INDEX('List of Leagues'!E:E, MATCH(U30, 'List of Leagues'!F:F, 0)), 0)</f>
        <v>93.8</v>
      </c>
      <c r="W30" t="s">
        <v>762</v>
      </c>
      <c r="X30">
        <f>IFERROR(INDEX('List of Leagues'!E:E, MATCH(W30, 'List of Leagues'!F:F, 0)), 0)</f>
        <v>0</v>
      </c>
      <c r="Y30" t="s">
        <v>756</v>
      </c>
      <c r="Z30">
        <f>IFERROR(INDEX('List of Leagues'!E:E, MATCH(Y30, 'List of Leagues'!F:F, 0)), 0)</f>
        <v>76.8</v>
      </c>
      <c r="AA30" t="s">
        <v>762</v>
      </c>
      <c r="AB30">
        <f>IFERROR(INDEX('List of Leagues'!E:E, MATCH(AA30, 'List of Leagues'!F:F, 0)), 0)</f>
        <v>0</v>
      </c>
      <c r="AC30" t="s">
        <v>762</v>
      </c>
      <c r="AD30">
        <f>IFERROR(INDEX('List of Leagues'!E:E, MATCH(AC30, 'List of Leagues'!F:F, 0)), 0)</f>
        <v>0</v>
      </c>
      <c r="AE30" t="s">
        <v>762</v>
      </c>
      <c r="AF30">
        <f>IFERROR(INDEX('List of Leagues'!E:E, MATCH(AE30, 'List of Leagues'!F:F, 0)), 0)</f>
        <v>0</v>
      </c>
      <c r="AG30" t="s">
        <v>762</v>
      </c>
      <c r="AH30">
        <f>IFERROR(INDEX('List of Leagues'!E:E, MATCH(AG30, 'List of Leagues'!F:F, 0)), 0)</f>
        <v>0</v>
      </c>
      <c r="AI30">
        <f t="shared" si="0"/>
        <v>30.75</v>
      </c>
      <c r="AJ30" t="s">
        <v>529</v>
      </c>
      <c r="AK30">
        <f>IFERROR(INDEX('List of Leagues'!$E:$E, MATCH(AJ30, 'List of Leagues'!$F:$F, 0)), 0)</f>
        <v>89.5</v>
      </c>
      <c r="AL30" t="s">
        <v>197</v>
      </c>
      <c r="AM30">
        <f>IFERROR(INDEX('List of Leagues'!$E:$E, MATCH(AL30, 'List of Leagues'!$F:$F, 0)), 0)</f>
        <v>78.400000000000006</v>
      </c>
      <c r="AN30" t="s">
        <v>184</v>
      </c>
      <c r="AO30">
        <f>IFERROR(INDEX('List of Leagues'!$E:$E, MATCH(AN30, 'List of Leagues'!$F:$F, 0)), 0)</f>
        <v>93.8</v>
      </c>
      <c r="AP30" t="s">
        <v>762</v>
      </c>
      <c r="AQ30">
        <f>IFERROR(INDEX('List of Leagues'!$E:$E, MATCH(AP30, 'List of Leagues'!$F:$F, 0)), 0)</f>
        <v>0</v>
      </c>
      <c r="AR30" t="s">
        <v>762</v>
      </c>
      <c r="AS30">
        <f>IFERROR(INDEX('List of Leagues'!$E:$E, MATCH(AR30, 'List of Leagues'!$F:$F, 0)), 0)</f>
        <v>0</v>
      </c>
      <c r="AT30" t="s">
        <v>762</v>
      </c>
      <c r="AU30">
        <f>IFERROR(INDEX('List of Leagues'!$E:$E, MATCH(AT30, 'List of Leagues'!$F:$F, 0)), 0)</f>
        <v>0</v>
      </c>
      <c r="AV30">
        <f t="shared" si="1"/>
        <v>43.616666666666667</v>
      </c>
    </row>
    <row r="31" spans="1:48" x14ac:dyDescent="0.35">
      <c r="A31" t="s">
        <v>53</v>
      </c>
      <c r="B31">
        <v>38</v>
      </c>
      <c r="C31">
        <v>2013</v>
      </c>
      <c r="D31" t="s">
        <v>39</v>
      </c>
      <c r="E31" t="s">
        <v>10</v>
      </c>
      <c r="F31" t="s">
        <v>10</v>
      </c>
      <c r="G31" t="s">
        <v>136</v>
      </c>
      <c r="H31">
        <f t="shared" si="2"/>
        <v>170</v>
      </c>
      <c r="I31">
        <f>14+12+15+12+15</f>
        <v>68</v>
      </c>
      <c r="J31">
        <f>15+13+8+8+8</f>
        <v>52</v>
      </c>
      <c r="K31">
        <f>5+9+11+14+11</f>
        <v>50</v>
      </c>
      <c r="L31">
        <f t="shared" si="3"/>
        <v>256</v>
      </c>
      <c r="M31" s="2">
        <f>AVERAGE(3926776, 5770636, 6325908, 7763716, 11369315)</f>
        <v>7031270.2000000002</v>
      </c>
      <c r="N31">
        <v>5</v>
      </c>
      <c r="O31">
        <v>6</v>
      </c>
      <c r="P31">
        <v>5</v>
      </c>
      <c r="Q31">
        <f>IF(COUNTIF($A$2:A31, A31) &gt; 1, 1, 0)</f>
        <v>0</v>
      </c>
      <c r="R31" t="b">
        <v>1</v>
      </c>
      <c r="S31" t="s">
        <v>178</v>
      </c>
      <c r="T31">
        <f>IFERROR(INDEX('List of Leagues'!E:E, MATCH(S31, 'List of Leagues'!F:F, 0)), 0)</f>
        <v>69.3</v>
      </c>
      <c r="U31" t="s">
        <v>187</v>
      </c>
      <c r="V31">
        <f>IFERROR(INDEX('List of Leagues'!E:E, MATCH(U31, 'List of Leagues'!F:F, 0)), 0)</f>
        <v>58.4</v>
      </c>
      <c r="W31" t="s">
        <v>762</v>
      </c>
      <c r="X31">
        <f>IFERROR(INDEX('List of Leagues'!E:E, MATCH(W31, 'List of Leagues'!F:F, 0)), 0)</f>
        <v>0</v>
      </c>
      <c r="Y31" t="s">
        <v>762</v>
      </c>
      <c r="Z31">
        <f>IFERROR(INDEX('List of Leagues'!E:E, MATCH(Y31, 'List of Leagues'!F:F, 0)), 0)</f>
        <v>0</v>
      </c>
      <c r="AA31" t="s">
        <v>762</v>
      </c>
      <c r="AB31">
        <f>IFERROR(INDEX('List of Leagues'!E:E, MATCH(AA31, 'List of Leagues'!F:F, 0)), 0)</f>
        <v>0</v>
      </c>
      <c r="AC31" t="s">
        <v>762</v>
      </c>
      <c r="AD31">
        <f>IFERROR(INDEX('List of Leagues'!E:E, MATCH(AC31, 'List of Leagues'!F:F, 0)), 0)</f>
        <v>0</v>
      </c>
      <c r="AE31" t="s">
        <v>762</v>
      </c>
      <c r="AF31">
        <f>IFERROR(INDEX('List of Leagues'!E:E, MATCH(AE31, 'List of Leagues'!F:F, 0)), 0)</f>
        <v>0</v>
      </c>
      <c r="AG31" t="s">
        <v>762</v>
      </c>
      <c r="AH31">
        <f>IFERROR(INDEX('List of Leagues'!E:E, MATCH(AG31, 'List of Leagues'!F:F, 0)), 0)</f>
        <v>0</v>
      </c>
      <c r="AI31">
        <f t="shared" si="0"/>
        <v>15.962499999999999</v>
      </c>
      <c r="AJ31" t="s">
        <v>182</v>
      </c>
      <c r="AK31">
        <f>IFERROR(INDEX('List of Leagues'!$E:$E, MATCH(AJ31, 'List of Leagues'!$F:$F, 0)), 0)</f>
        <v>0</v>
      </c>
      <c r="AL31" t="s">
        <v>762</v>
      </c>
      <c r="AM31">
        <f>IFERROR(INDEX('List of Leagues'!$E:$E, MATCH(AL31, 'List of Leagues'!$F:$F, 0)), 0)</f>
        <v>0</v>
      </c>
      <c r="AN31" t="s">
        <v>762</v>
      </c>
      <c r="AO31">
        <f>IFERROR(INDEX('List of Leagues'!$E:$E, MATCH(AN31, 'List of Leagues'!$F:$F, 0)), 0)</f>
        <v>0</v>
      </c>
      <c r="AP31" t="s">
        <v>762</v>
      </c>
      <c r="AQ31">
        <f>IFERROR(INDEX('List of Leagues'!$E:$E, MATCH(AP31, 'List of Leagues'!$F:$F, 0)), 0)</f>
        <v>0</v>
      </c>
      <c r="AR31" t="s">
        <v>762</v>
      </c>
      <c r="AS31">
        <f>IFERROR(INDEX('List of Leagues'!$E:$E, MATCH(AR31, 'List of Leagues'!$F:$F, 0)), 0)</f>
        <v>0</v>
      </c>
      <c r="AT31" t="s">
        <v>762</v>
      </c>
      <c r="AU31">
        <f>IFERROR(INDEX('List of Leagues'!$E:$E, MATCH(AT31, 'List of Leagues'!$F:$F, 0)), 0)</f>
        <v>0</v>
      </c>
      <c r="AV31">
        <f t="shared" si="1"/>
        <v>0</v>
      </c>
    </row>
    <row r="32" spans="1:48" x14ac:dyDescent="0.35">
      <c r="A32" t="s">
        <v>50</v>
      </c>
      <c r="B32">
        <v>54</v>
      </c>
      <c r="C32">
        <v>2013</v>
      </c>
      <c r="D32" t="s">
        <v>29</v>
      </c>
      <c r="E32" t="s">
        <v>6</v>
      </c>
      <c r="F32" t="s">
        <v>132</v>
      </c>
      <c r="G32" t="s">
        <v>140</v>
      </c>
      <c r="H32">
        <f t="shared" si="2"/>
        <v>12</v>
      </c>
      <c r="I32">
        <v>3</v>
      </c>
      <c r="J32">
        <v>2</v>
      </c>
      <c r="K32">
        <v>7</v>
      </c>
      <c r="L32">
        <f t="shared" si="3"/>
        <v>11</v>
      </c>
      <c r="M32" s="2">
        <v>3318337</v>
      </c>
      <c r="N32">
        <v>1</v>
      </c>
      <c r="O32">
        <v>7</v>
      </c>
      <c r="P32">
        <v>0</v>
      </c>
      <c r="Q32">
        <f>IF(COUNTIF($A$2:A32, A32) &gt; 1, 1, 0)</f>
        <v>0</v>
      </c>
      <c r="R32" t="b">
        <v>0</v>
      </c>
      <c r="S32" t="s">
        <v>179</v>
      </c>
      <c r="T32">
        <f>IFERROR(INDEX('List of Leagues'!E:E, MATCH(S32, 'List of Leagues'!F:F, 0)), 0)</f>
        <v>0</v>
      </c>
      <c r="U32" t="s">
        <v>762</v>
      </c>
      <c r="V32">
        <f>IFERROR(INDEX('List of Leagues'!E:E, MATCH(U32, 'List of Leagues'!F:F, 0)), 0)</f>
        <v>0</v>
      </c>
      <c r="W32" t="s">
        <v>756</v>
      </c>
      <c r="X32">
        <f>IFERROR(INDEX('List of Leagues'!E:E, MATCH(W32, 'List of Leagues'!F:F, 0)), 0)</f>
        <v>76.8</v>
      </c>
      <c r="Y32" t="s">
        <v>762</v>
      </c>
      <c r="Z32">
        <f>IFERROR(INDEX('List of Leagues'!E:E, MATCH(Y32, 'List of Leagues'!F:F, 0)), 0)</f>
        <v>0</v>
      </c>
      <c r="AA32" t="s">
        <v>762</v>
      </c>
      <c r="AB32">
        <f>IFERROR(INDEX('List of Leagues'!E:E, MATCH(AA32, 'List of Leagues'!F:F, 0)), 0)</f>
        <v>0</v>
      </c>
      <c r="AC32" t="s">
        <v>762</v>
      </c>
      <c r="AD32">
        <f>IFERROR(INDEX('List of Leagues'!E:E, MATCH(AC32, 'List of Leagues'!F:F, 0)), 0)</f>
        <v>0</v>
      </c>
      <c r="AE32" t="s">
        <v>762</v>
      </c>
      <c r="AF32">
        <f>IFERROR(INDEX('List of Leagues'!E:E, MATCH(AE32, 'List of Leagues'!F:F, 0)), 0)</f>
        <v>0</v>
      </c>
      <c r="AG32" t="s">
        <v>762</v>
      </c>
      <c r="AH32">
        <f>IFERROR(INDEX('List of Leagues'!E:E, MATCH(AG32, 'List of Leagues'!F:F, 0)), 0)</f>
        <v>0</v>
      </c>
      <c r="AI32">
        <f t="shared" si="0"/>
        <v>9.6</v>
      </c>
      <c r="AJ32" t="s">
        <v>182</v>
      </c>
      <c r="AK32">
        <f>IFERROR(INDEX('List of Leagues'!$E:$E, MATCH(AJ32, 'List of Leagues'!$F:$F, 0)), 0)</f>
        <v>0</v>
      </c>
      <c r="AL32" t="s">
        <v>178</v>
      </c>
      <c r="AM32">
        <f>IFERROR(INDEX('List of Leagues'!$E:$E, MATCH(AL32, 'List of Leagues'!$F:$F, 0)), 0)</f>
        <v>69.3</v>
      </c>
      <c r="AN32" t="s">
        <v>762</v>
      </c>
      <c r="AO32">
        <f>IFERROR(INDEX('List of Leagues'!$E:$E, MATCH(AN32, 'List of Leagues'!$F:$F, 0)), 0)</f>
        <v>0</v>
      </c>
      <c r="AP32" t="s">
        <v>762</v>
      </c>
      <c r="AQ32">
        <f>IFERROR(INDEX('List of Leagues'!$E:$E, MATCH(AP32, 'List of Leagues'!$F:$F, 0)), 0)</f>
        <v>0</v>
      </c>
      <c r="AR32" t="s">
        <v>762</v>
      </c>
      <c r="AS32">
        <f>IFERROR(INDEX('List of Leagues'!$E:$E, MATCH(AR32, 'List of Leagues'!$F:$F, 0)), 0)</f>
        <v>0</v>
      </c>
      <c r="AT32" t="s">
        <v>762</v>
      </c>
      <c r="AU32">
        <f>IFERROR(INDEX('List of Leagues'!$E:$E, MATCH(AT32, 'List of Leagues'!$F:$F, 0)), 0)</f>
        <v>0</v>
      </c>
      <c r="AV32">
        <f t="shared" si="1"/>
        <v>11.549999999999999</v>
      </c>
    </row>
    <row r="33" spans="1:48" x14ac:dyDescent="0.35">
      <c r="A33" t="s">
        <v>51</v>
      </c>
      <c r="B33">
        <v>51</v>
      </c>
      <c r="C33">
        <v>2013</v>
      </c>
      <c r="D33" t="s">
        <v>45</v>
      </c>
      <c r="E33" t="s">
        <v>10</v>
      </c>
      <c r="F33" t="s">
        <v>10</v>
      </c>
      <c r="G33" t="s">
        <v>153</v>
      </c>
      <c r="H33">
        <f t="shared" si="2"/>
        <v>34</v>
      </c>
      <c r="I33">
        <v>14</v>
      </c>
      <c r="J33">
        <v>7</v>
      </c>
      <c r="K33">
        <v>13</v>
      </c>
      <c r="L33">
        <f t="shared" si="3"/>
        <v>49</v>
      </c>
      <c r="M33" s="1">
        <v>5828958</v>
      </c>
      <c r="N33">
        <v>1</v>
      </c>
      <c r="O33">
        <v>12</v>
      </c>
      <c r="P33">
        <v>3</v>
      </c>
      <c r="Q33">
        <f>IF(COUNTIF($A$2:A33, A33) &gt; 1, 1, 0)</f>
        <v>0</v>
      </c>
      <c r="R33" t="b">
        <v>1</v>
      </c>
      <c r="S33" t="s">
        <v>539</v>
      </c>
      <c r="T33">
        <f>IFERROR(INDEX('List of Leagues'!E:E, MATCH(S33, 'List of Leagues'!F:F, 0)), 0)</f>
        <v>77.400000000000006</v>
      </c>
      <c r="U33" t="s">
        <v>756</v>
      </c>
      <c r="V33">
        <f>IFERROR(INDEX('List of Leagues'!E:E, MATCH(U33, 'List of Leagues'!F:F, 0)), 0)</f>
        <v>76.8</v>
      </c>
      <c r="W33" t="s">
        <v>185</v>
      </c>
      <c r="X33">
        <f>IFERROR(INDEX('List of Leagues'!E:E, MATCH(W33, 'List of Leagues'!F:F, 0)), 0)</f>
        <v>75.400000000000006</v>
      </c>
      <c r="Y33" t="s">
        <v>762</v>
      </c>
      <c r="Z33">
        <f>IFERROR(INDEX('List of Leagues'!E:E, MATCH(Y33, 'List of Leagues'!F:F, 0)), 0)</f>
        <v>0</v>
      </c>
      <c r="AA33" t="s">
        <v>762</v>
      </c>
      <c r="AB33">
        <f>IFERROR(INDEX('List of Leagues'!E:E, MATCH(AA33, 'List of Leagues'!F:F, 0)), 0)</f>
        <v>0</v>
      </c>
      <c r="AC33" t="s">
        <v>762</v>
      </c>
      <c r="AD33">
        <f>IFERROR(INDEX('List of Leagues'!E:E, MATCH(AC33, 'List of Leagues'!F:F, 0)), 0)</f>
        <v>0</v>
      </c>
      <c r="AE33" t="s">
        <v>762</v>
      </c>
      <c r="AF33">
        <f>IFERROR(INDEX('List of Leagues'!E:E, MATCH(AE33, 'List of Leagues'!F:F, 0)), 0)</f>
        <v>0</v>
      </c>
      <c r="AG33" t="s">
        <v>762</v>
      </c>
      <c r="AH33">
        <f>IFERROR(INDEX('List of Leagues'!E:E, MATCH(AG33, 'List of Leagues'!F:F, 0)), 0)</f>
        <v>0</v>
      </c>
      <c r="AI33">
        <f t="shared" si="0"/>
        <v>28.7</v>
      </c>
      <c r="AJ33" t="s">
        <v>178</v>
      </c>
      <c r="AK33">
        <f>IFERROR(INDEX('List of Leagues'!$E:$E, MATCH(AJ33, 'List of Leagues'!$F:$F, 0)), 0)</f>
        <v>69.3</v>
      </c>
      <c r="AL33" t="s">
        <v>756</v>
      </c>
      <c r="AM33">
        <f>IFERROR(INDEX('List of Leagues'!$E:$E, MATCH(AL33, 'List of Leagues'!$F:$F, 0)), 0)</f>
        <v>76.8</v>
      </c>
      <c r="AN33" t="s">
        <v>762</v>
      </c>
      <c r="AO33">
        <f>IFERROR(INDEX('List of Leagues'!$E:$E, MATCH(AN33, 'List of Leagues'!$F:$F, 0)), 0)</f>
        <v>0</v>
      </c>
      <c r="AP33" t="s">
        <v>762</v>
      </c>
      <c r="AQ33">
        <f>IFERROR(INDEX('List of Leagues'!$E:$E, MATCH(AP33, 'List of Leagues'!$F:$F, 0)), 0)</f>
        <v>0</v>
      </c>
      <c r="AR33" t="s">
        <v>762</v>
      </c>
      <c r="AS33">
        <f>IFERROR(INDEX('List of Leagues'!$E:$E, MATCH(AR33, 'List of Leagues'!$F:$F, 0)), 0)</f>
        <v>0</v>
      </c>
      <c r="AT33" t="s">
        <v>762</v>
      </c>
      <c r="AU33">
        <f>IFERROR(INDEX('List of Leagues'!$E:$E, MATCH(AT33, 'List of Leagues'!$F:$F, 0)), 0)</f>
        <v>0</v>
      </c>
      <c r="AV33">
        <f t="shared" si="1"/>
        <v>24.349999999999998</v>
      </c>
    </row>
    <row r="34" spans="1:48" x14ac:dyDescent="0.35">
      <c r="A34" t="s">
        <v>54</v>
      </c>
      <c r="B34">
        <v>43</v>
      </c>
      <c r="C34">
        <v>2013</v>
      </c>
      <c r="D34" t="s">
        <v>19</v>
      </c>
      <c r="E34" t="s">
        <v>10</v>
      </c>
      <c r="F34" t="s">
        <v>10</v>
      </c>
      <c r="G34" t="s">
        <v>149</v>
      </c>
      <c r="H34">
        <f t="shared" si="2"/>
        <v>51</v>
      </c>
      <c r="I34">
        <f>11+6</f>
        <v>17</v>
      </c>
      <c r="J34">
        <f>3+11</f>
        <v>14</v>
      </c>
      <c r="K34">
        <v>20</v>
      </c>
      <c r="L34">
        <f t="shared" si="3"/>
        <v>65</v>
      </c>
      <c r="M34" s="2">
        <v>4277169</v>
      </c>
      <c r="N34">
        <v>2</v>
      </c>
      <c r="O34">
        <v>0</v>
      </c>
      <c r="P34">
        <v>9</v>
      </c>
      <c r="Q34">
        <f>IF(COUNTIF($A$2:A34, A34) &gt; 1, 1, 0)</f>
        <v>0</v>
      </c>
      <c r="R34" t="b">
        <v>1</v>
      </c>
      <c r="S34" t="s">
        <v>178</v>
      </c>
      <c r="T34">
        <f>IFERROR(INDEX('List of Leagues'!E:E, MATCH(S34, 'List of Leagues'!F:F, 0)), 0)</f>
        <v>69.3</v>
      </c>
      <c r="U34" t="s">
        <v>766</v>
      </c>
      <c r="V34">
        <f>IFERROR(INDEX('List of Leagues'!E:E, MATCH(U34, 'List of Leagues'!F:F, 0)), 0)</f>
        <v>0</v>
      </c>
      <c r="W34" t="s">
        <v>762</v>
      </c>
      <c r="X34">
        <f>IFERROR(INDEX('List of Leagues'!E:E, MATCH(W34, 'List of Leagues'!F:F, 0)), 0)</f>
        <v>0</v>
      </c>
      <c r="Y34" t="s">
        <v>187</v>
      </c>
      <c r="Z34">
        <f>IFERROR(INDEX('List of Leagues'!E:E, MATCH(Y34, 'List of Leagues'!F:F, 0)), 0)</f>
        <v>58.4</v>
      </c>
      <c r="AA34" t="s">
        <v>211</v>
      </c>
      <c r="AB34">
        <f>IFERROR(INDEX('List of Leagues'!E:E, MATCH(AA34, 'List of Leagues'!F:F, 0)), 0)</f>
        <v>60.5</v>
      </c>
      <c r="AC34" t="s">
        <v>756</v>
      </c>
      <c r="AD34">
        <f>IFERROR(INDEX('List of Leagues'!E:E, MATCH(AC34, 'List of Leagues'!F:F, 0)), 0)</f>
        <v>76.8</v>
      </c>
      <c r="AE34" t="s">
        <v>762</v>
      </c>
      <c r="AF34">
        <f>IFERROR(INDEX('List of Leagues'!E:E, MATCH(AE34, 'List of Leagues'!F:F, 0)), 0)</f>
        <v>0</v>
      </c>
      <c r="AG34" t="s">
        <v>762</v>
      </c>
      <c r="AH34">
        <f>IFERROR(INDEX('List of Leagues'!E:E, MATCH(AG34, 'List of Leagues'!F:F, 0)), 0)</f>
        <v>0</v>
      </c>
      <c r="AI34">
        <f t="shared" ref="AI34:AI65" si="4">AVERAGE(T34, V34, X34, Z34, AB34, AD34, AF34, AH34)</f>
        <v>33.125</v>
      </c>
      <c r="AJ34" t="s">
        <v>178</v>
      </c>
      <c r="AK34">
        <f>IFERROR(INDEX('List of Leagues'!$E:$E, MATCH(AJ34, 'List of Leagues'!$F:$F, 0)), 0)</f>
        <v>69.3</v>
      </c>
      <c r="AL34" t="s">
        <v>756</v>
      </c>
      <c r="AM34">
        <f>IFERROR(INDEX('List of Leagues'!$E:$E, MATCH(AL34, 'List of Leagues'!$F:$F, 0)), 0)</f>
        <v>76.8</v>
      </c>
      <c r="AN34" t="s">
        <v>762</v>
      </c>
      <c r="AO34">
        <f>IFERROR(INDEX('List of Leagues'!$E:$E, MATCH(AN34, 'List of Leagues'!$F:$F, 0)), 0)</f>
        <v>0</v>
      </c>
      <c r="AP34" t="s">
        <v>762</v>
      </c>
      <c r="AQ34">
        <f>IFERROR(INDEX('List of Leagues'!$E:$E, MATCH(AP34, 'List of Leagues'!$F:$F, 0)), 0)</f>
        <v>0</v>
      </c>
      <c r="AR34" t="s">
        <v>762</v>
      </c>
      <c r="AS34">
        <f>IFERROR(INDEX('List of Leagues'!$E:$E, MATCH(AR34, 'List of Leagues'!$F:$F, 0)), 0)</f>
        <v>0</v>
      </c>
      <c r="AT34" t="s">
        <v>762</v>
      </c>
      <c r="AU34">
        <f>IFERROR(INDEX('List of Leagues'!$E:$E, MATCH(AT34, 'List of Leagues'!$F:$F, 0)), 0)</f>
        <v>0</v>
      </c>
      <c r="AV34">
        <f t="shared" si="1"/>
        <v>24.349999999999998</v>
      </c>
    </row>
    <row r="35" spans="1:48" x14ac:dyDescent="0.35">
      <c r="A35" t="s">
        <v>52</v>
      </c>
      <c r="B35">
        <v>37</v>
      </c>
      <c r="C35">
        <v>2013</v>
      </c>
      <c r="D35" t="s">
        <v>17</v>
      </c>
      <c r="E35" t="s">
        <v>10</v>
      </c>
      <c r="F35" t="s">
        <v>10</v>
      </c>
      <c r="G35" t="s">
        <v>136</v>
      </c>
      <c r="H35">
        <f t="shared" si="2"/>
        <v>68</v>
      </c>
      <c r="I35">
        <f>13+17</f>
        <v>30</v>
      </c>
      <c r="J35">
        <f>11+8</f>
        <v>19</v>
      </c>
      <c r="K35">
        <f>10+9</f>
        <v>19</v>
      </c>
      <c r="L35">
        <f t="shared" si="3"/>
        <v>109</v>
      </c>
      <c r="M35" s="2">
        <f>AVERAGE(11374456, 11509474)</f>
        <v>11441965</v>
      </c>
      <c r="N35">
        <v>2</v>
      </c>
      <c r="O35">
        <v>0</v>
      </c>
      <c r="P35">
        <v>2</v>
      </c>
      <c r="Q35">
        <f>IF(COUNTIF($A$2:A35, A35) &gt; 1, 1, 0)</f>
        <v>0</v>
      </c>
      <c r="R35" t="b">
        <v>1</v>
      </c>
      <c r="S35" t="s">
        <v>178</v>
      </c>
      <c r="T35">
        <f>IFERROR(INDEX('List of Leagues'!E:E, MATCH(S35, 'List of Leagues'!F:F, 0)), 0)</f>
        <v>69.3</v>
      </c>
      <c r="U35" t="s">
        <v>756</v>
      </c>
      <c r="V35">
        <f>IFERROR(INDEX('List of Leagues'!E:E, MATCH(U35, 'List of Leagues'!F:F, 0)), 0)</f>
        <v>76.8</v>
      </c>
      <c r="W35" t="s">
        <v>762</v>
      </c>
      <c r="X35">
        <f>IFERROR(INDEX('List of Leagues'!E:E, MATCH(W35, 'List of Leagues'!F:F, 0)), 0)</f>
        <v>0</v>
      </c>
      <c r="Y35" t="s">
        <v>762</v>
      </c>
      <c r="Z35">
        <f>IFERROR(INDEX('List of Leagues'!E:E, MATCH(Y35, 'List of Leagues'!F:F, 0)), 0)</f>
        <v>0</v>
      </c>
      <c r="AA35" t="s">
        <v>762</v>
      </c>
      <c r="AB35">
        <f>IFERROR(INDEX('List of Leagues'!E:E, MATCH(AA35, 'List of Leagues'!F:F, 0)), 0)</f>
        <v>0</v>
      </c>
      <c r="AC35" t="s">
        <v>762</v>
      </c>
      <c r="AD35">
        <f>IFERROR(INDEX('List of Leagues'!E:E, MATCH(AC35, 'List of Leagues'!F:F, 0)), 0)</f>
        <v>0</v>
      </c>
      <c r="AE35" t="s">
        <v>762</v>
      </c>
      <c r="AF35">
        <f>IFERROR(INDEX('List of Leagues'!E:E, MATCH(AE35, 'List of Leagues'!F:F, 0)), 0)</f>
        <v>0</v>
      </c>
      <c r="AG35" t="s">
        <v>762</v>
      </c>
      <c r="AH35">
        <f>IFERROR(INDEX('List of Leagues'!E:E, MATCH(AG35, 'List of Leagues'!F:F, 0)), 0)</f>
        <v>0</v>
      </c>
      <c r="AI35">
        <f t="shared" si="4"/>
        <v>18.262499999999999</v>
      </c>
      <c r="AJ35" t="s">
        <v>213</v>
      </c>
      <c r="AK35">
        <f>IFERROR(INDEX('List of Leagues'!$E:$E, MATCH(AJ35, 'List of Leagues'!$F:$F, 0)), 0)</f>
        <v>0</v>
      </c>
      <c r="AL35" t="s">
        <v>762</v>
      </c>
      <c r="AM35">
        <f>IFERROR(INDEX('List of Leagues'!$E:$E, MATCH(AL35, 'List of Leagues'!$F:$F, 0)), 0)</f>
        <v>0</v>
      </c>
      <c r="AN35" t="s">
        <v>762</v>
      </c>
      <c r="AO35">
        <f>IFERROR(INDEX('List of Leagues'!$E:$E, MATCH(AN35, 'List of Leagues'!$F:$F, 0)), 0)</f>
        <v>0</v>
      </c>
      <c r="AP35" t="s">
        <v>762</v>
      </c>
      <c r="AQ35">
        <f>IFERROR(INDEX('List of Leagues'!$E:$E, MATCH(AP35, 'List of Leagues'!$F:$F, 0)), 0)</f>
        <v>0</v>
      </c>
      <c r="AR35" t="s">
        <v>762</v>
      </c>
      <c r="AS35">
        <f>IFERROR(INDEX('List of Leagues'!$E:$E, MATCH(AR35, 'List of Leagues'!$F:$F, 0)), 0)</f>
        <v>0</v>
      </c>
      <c r="AT35" t="s">
        <v>762</v>
      </c>
      <c r="AU35">
        <f>IFERROR(INDEX('List of Leagues'!$E:$E, MATCH(AT35, 'List of Leagues'!$F:$F, 0)), 0)</f>
        <v>0</v>
      </c>
      <c r="AV35">
        <f t="shared" si="1"/>
        <v>0</v>
      </c>
    </row>
    <row r="36" spans="1:48" x14ac:dyDescent="0.35">
      <c r="A36" t="s">
        <v>55</v>
      </c>
      <c r="B36">
        <v>36</v>
      </c>
      <c r="C36">
        <v>2013</v>
      </c>
      <c r="D36" t="s">
        <v>21</v>
      </c>
      <c r="E36" t="s">
        <v>10</v>
      </c>
      <c r="F36" t="s">
        <v>10</v>
      </c>
      <c r="G36" t="s">
        <v>154</v>
      </c>
      <c r="H36">
        <f t="shared" si="2"/>
        <v>60</v>
      </c>
      <c r="I36">
        <f>9+6</f>
        <v>15</v>
      </c>
      <c r="J36">
        <f>6+11</f>
        <v>17</v>
      </c>
      <c r="K36">
        <f>17+11</f>
        <v>28</v>
      </c>
      <c r="L36">
        <f t="shared" si="3"/>
        <v>62</v>
      </c>
      <c r="M36" s="2">
        <v>11533026.5</v>
      </c>
      <c r="N36">
        <v>2</v>
      </c>
      <c r="O36">
        <v>0</v>
      </c>
      <c r="P36">
        <v>0</v>
      </c>
      <c r="Q36">
        <f>IF(COUNTIF($A$2:A36, A36) &gt; 1, 1, 0)</f>
        <v>0</v>
      </c>
      <c r="R36" t="b">
        <v>1</v>
      </c>
      <c r="S36" t="s">
        <v>178</v>
      </c>
      <c r="T36">
        <f>IFERROR(INDEX('List of Leagues'!E:E, MATCH(S36, 'List of Leagues'!F:F, 0)), 0)</f>
        <v>69.3</v>
      </c>
      <c r="U36" t="s">
        <v>184</v>
      </c>
      <c r="V36">
        <f>IFERROR(INDEX('List of Leagues'!E:E, MATCH(U36, 'List of Leagues'!F:F, 0)), 0)</f>
        <v>93.8</v>
      </c>
      <c r="W36" t="s">
        <v>762</v>
      </c>
      <c r="X36">
        <f>IFERROR(INDEX('List of Leagues'!E:E, MATCH(W36, 'List of Leagues'!F:F, 0)), 0)</f>
        <v>0</v>
      </c>
      <c r="Y36" t="s">
        <v>708</v>
      </c>
      <c r="Z36">
        <f>IFERROR(INDEX('List of Leagues'!E:E, MATCH(Y36, 'List of Leagues'!F:F, 0)), 0)</f>
        <v>43.1</v>
      </c>
      <c r="AA36" t="s">
        <v>756</v>
      </c>
      <c r="AB36">
        <f>IFERROR(INDEX('List of Leagues'!E:E, MATCH(AA36, 'List of Leagues'!F:F, 0)), 0)</f>
        <v>76.8</v>
      </c>
      <c r="AC36" t="s">
        <v>762</v>
      </c>
      <c r="AD36">
        <f>IFERROR(INDEX('List of Leagues'!E:E, MATCH(AC36, 'List of Leagues'!F:F, 0)), 0)</f>
        <v>0</v>
      </c>
      <c r="AE36" t="s">
        <v>762</v>
      </c>
      <c r="AF36">
        <f>IFERROR(INDEX('List of Leagues'!E:E, MATCH(AE36, 'List of Leagues'!F:F, 0)), 0)</f>
        <v>0</v>
      </c>
      <c r="AG36" t="s">
        <v>762</v>
      </c>
      <c r="AH36">
        <f>IFERROR(INDEX('List of Leagues'!E:E, MATCH(AG36, 'List of Leagues'!F:F, 0)), 0)</f>
        <v>0</v>
      </c>
      <c r="AI36">
        <f t="shared" si="4"/>
        <v>35.375</v>
      </c>
      <c r="AJ36" t="s">
        <v>532</v>
      </c>
      <c r="AK36">
        <f>IFERROR(INDEX('List of Leagues'!$E:$E, MATCH(AJ36, 'List of Leagues'!$F:$F, 0)), 0)</f>
        <v>80.8</v>
      </c>
      <c r="AL36" t="s">
        <v>771</v>
      </c>
      <c r="AM36">
        <f>IFERROR(INDEX('List of Leagues'!$E:$E, MATCH(AL36, 'List of Leagues'!$F:$F, 0)), 0)</f>
        <v>0</v>
      </c>
      <c r="AN36" t="s">
        <v>762</v>
      </c>
      <c r="AO36">
        <f>IFERROR(INDEX('List of Leagues'!$E:$E, MATCH(AN36, 'List of Leagues'!$F:$F, 0)), 0)</f>
        <v>0</v>
      </c>
      <c r="AP36" t="s">
        <v>762</v>
      </c>
      <c r="AQ36">
        <f>IFERROR(INDEX('List of Leagues'!$E:$E, MATCH(AP36, 'List of Leagues'!$F:$F, 0)), 0)</f>
        <v>0</v>
      </c>
      <c r="AR36" t="s">
        <v>762</v>
      </c>
      <c r="AS36">
        <f>IFERROR(INDEX('List of Leagues'!$E:$E, MATCH(AR36, 'List of Leagues'!$F:$F, 0)), 0)</f>
        <v>0</v>
      </c>
      <c r="AT36" t="s">
        <v>762</v>
      </c>
      <c r="AU36">
        <f>IFERROR(INDEX('List of Leagues'!$E:$E, MATCH(AT36, 'List of Leagues'!$F:$F, 0)), 0)</f>
        <v>0</v>
      </c>
      <c r="AV36">
        <f t="shared" si="1"/>
        <v>13.466666666666667</v>
      </c>
    </row>
    <row r="37" spans="1:48" x14ac:dyDescent="0.35">
      <c r="A37" t="s">
        <v>62</v>
      </c>
      <c r="B37">
        <v>38</v>
      </c>
      <c r="C37">
        <v>2014</v>
      </c>
      <c r="D37" t="s">
        <v>42</v>
      </c>
      <c r="E37" t="s">
        <v>10</v>
      </c>
      <c r="F37" t="s">
        <v>10</v>
      </c>
      <c r="G37" t="s">
        <v>156</v>
      </c>
      <c r="H37">
        <f t="shared" si="2"/>
        <v>165</v>
      </c>
      <c r="I37">
        <f>12+16+10+15+11</f>
        <v>64</v>
      </c>
      <c r="J37">
        <f>8+7+9+5+13</f>
        <v>42</v>
      </c>
      <c r="K37">
        <f>13+12+15+13+6</f>
        <v>59</v>
      </c>
      <c r="L37">
        <f t="shared" si="3"/>
        <v>234</v>
      </c>
      <c r="M37" s="2">
        <v>7677902.2000000002</v>
      </c>
      <c r="N37">
        <v>5</v>
      </c>
      <c r="O37">
        <v>0</v>
      </c>
      <c r="P37">
        <v>2</v>
      </c>
      <c r="Q37">
        <f>IF(COUNTIF($A$2:A37, A37) &gt; 1, 1, 0)</f>
        <v>0</v>
      </c>
      <c r="R37" t="b">
        <v>1</v>
      </c>
      <c r="S37" t="s">
        <v>185</v>
      </c>
      <c r="T37">
        <f>IFERROR(INDEX('List of Leagues'!E:E, MATCH(S37, 'List of Leagues'!F:F, 0)), 0)</f>
        <v>75.400000000000006</v>
      </c>
      <c r="U37" t="s">
        <v>184</v>
      </c>
      <c r="V37">
        <f>IFERROR(INDEX('List of Leagues'!E:E, MATCH(U37, 'List of Leagues'!F:F, 0)), 0)</f>
        <v>93.8</v>
      </c>
      <c r="W37" t="s">
        <v>762</v>
      </c>
      <c r="X37">
        <f>IFERROR(INDEX('List of Leagues'!E:E, MATCH(W37, 'List of Leagues'!F:F, 0)), 0)</f>
        <v>0</v>
      </c>
      <c r="Y37" t="s">
        <v>756</v>
      </c>
      <c r="Z37">
        <f>IFERROR(INDEX('List of Leagues'!E:E, MATCH(Y37, 'List of Leagues'!F:F, 0)), 0)</f>
        <v>76.8</v>
      </c>
      <c r="AA37" t="s">
        <v>762</v>
      </c>
      <c r="AB37">
        <f>IFERROR(INDEX('List of Leagues'!E:E, MATCH(AA37, 'List of Leagues'!F:F, 0)), 0)</f>
        <v>0</v>
      </c>
      <c r="AC37" t="s">
        <v>762</v>
      </c>
      <c r="AD37">
        <f>IFERROR(INDEX('List of Leagues'!E:E, MATCH(AC37, 'List of Leagues'!F:F, 0)), 0)</f>
        <v>0</v>
      </c>
      <c r="AE37" t="s">
        <v>762</v>
      </c>
      <c r="AF37">
        <f>IFERROR(INDEX('List of Leagues'!E:E, MATCH(AE37, 'List of Leagues'!F:F, 0)), 0)</f>
        <v>0</v>
      </c>
      <c r="AG37" t="s">
        <v>762</v>
      </c>
      <c r="AH37">
        <f>IFERROR(INDEX('List of Leagues'!E:E, MATCH(AG37, 'List of Leagues'!F:F, 0)), 0)</f>
        <v>0</v>
      </c>
      <c r="AI37">
        <f t="shared" si="4"/>
        <v>30.75</v>
      </c>
      <c r="AJ37" t="s">
        <v>177</v>
      </c>
      <c r="AK37">
        <f>IFERROR(INDEX('List of Leagues'!$E:$E, MATCH(AJ37, 'List of Leagues'!$F:$F, 0)), 0)</f>
        <v>0</v>
      </c>
      <c r="AL37" t="s">
        <v>762</v>
      </c>
      <c r="AM37">
        <f>IFERROR(INDEX('List of Leagues'!$E:$E, MATCH(AL37, 'List of Leagues'!$F:$F, 0)), 0)</f>
        <v>0</v>
      </c>
      <c r="AN37" t="s">
        <v>762</v>
      </c>
      <c r="AO37">
        <f>IFERROR(INDEX('List of Leagues'!$E:$E, MATCH(AN37, 'List of Leagues'!$F:$F, 0)), 0)</f>
        <v>0</v>
      </c>
      <c r="AP37" t="s">
        <v>762</v>
      </c>
      <c r="AQ37">
        <f>IFERROR(INDEX('List of Leagues'!$E:$E, MATCH(AP37, 'List of Leagues'!$F:$F, 0)), 0)</f>
        <v>0</v>
      </c>
      <c r="AR37" t="s">
        <v>762</v>
      </c>
      <c r="AS37">
        <f>IFERROR(INDEX('List of Leagues'!$E:$E, MATCH(AR37, 'List of Leagues'!$F:$F, 0)), 0)</f>
        <v>0</v>
      </c>
      <c r="AT37" t="s">
        <v>762</v>
      </c>
      <c r="AU37">
        <f>IFERROR(INDEX('List of Leagues'!$E:$E, MATCH(AT37, 'List of Leagues'!$F:$F, 0)), 0)</f>
        <v>0</v>
      </c>
      <c r="AV37">
        <f t="shared" si="1"/>
        <v>0</v>
      </c>
    </row>
    <row r="38" spans="1:48" x14ac:dyDescent="0.35">
      <c r="A38" t="s">
        <v>35</v>
      </c>
      <c r="B38">
        <v>47</v>
      </c>
      <c r="C38">
        <v>2014</v>
      </c>
      <c r="D38" t="s">
        <v>45</v>
      </c>
      <c r="E38" t="s">
        <v>10</v>
      </c>
      <c r="F38" t="s">
        <v>10</v>
      </c>
      <c r="G38" t="s">
        <v>144</v>
      </c>
      <c r="H38">
        <f t="shared" ref="H38:H69" si="5">I38+J38+K38</f>
        <v>40</v>
      </c>
      <c r="I38">
        <v>13</v>
      </c>
      <c r="J38">
        <v>14</v>
      </c>
      <c r="K38">
        <f>13</f>
        <v>13</v>
      </c>
      <c r="L38">
        <f t="shared" ref="L38:L69" si="6">I38*3 + J38</f>
        <v>53</v>
      </c>
      <c r="M38" s="2">
        <v>6980802.5</v>
      </c>
      <c r="N38">
        <v>2</v>
      </c>
      <c r="O38">
        <v>5</v>
      </c>
      <c r="P38">
        <v>0</v>
      </c>
      <c r="Q38">
        <f>IF(COUNTIF($A$2:A38, A38) &gt; 1, 1, 0)</f>
        <v>1</v>
      </c>
      <c r="R38" t="b">
        <v>1</v>
      </c>
      <c r="S38" t="s">
        <v>752</v>
      </c>
      <c r="T38">
        <f>IFERROR(INDEX('List of Leagues'!E:E, MATCH(S38, 'List of Leagues'!F:F, 0)), 0)</f>
        <v>0</v>
      </c>
      <c r="U38" t="s">
        <v>534</v>
      </c>
      <c r="V38">
        <f>IFERROR(INDEX('List of Leagues'!E:E, MATCH(U38, 'List of Leagues'!F:F, 0)), 0)</f>
        <v>80.7</v>
      </c>
      <c r="W38" t="s">
        <v>178</v>
      </c>
      <c r="X38">
        <f>IFERROR(INDEX('List of Leagues'!E:E, MATCH(W38, 'List of Leagues'!F:F, 0)), 0)</f>
        <v>69.3</v>
      </c>
      <c r="Y38" t="s">
        <v>756</v>
      </c>
      <c r="Z38">
        <f>IFERROR(INDEX('List of Leagues'!E:E, MATCH(Y38, 'List of Leagues'!F:F, 0)), 0)</f>
        <v>76.8</v>
      </c>
      <c r="AA38" t="s">
        <v>762</v>
      </c>
      <c r="AB38">
        <f>IFERROR(INDEX('List of Leagues'!E:E, MATCH(AA38, 'List of Leagues'!F:F, 0)), 0)</f>
        <v>0</v>
      </c>
      <c r="AC38" t="s">
        <v>762</v>
      </c>
      <c r="AD38">
        <f>IFERROR(INDEX('List of Leagues'!E:E, MATCH(AC38, 'List of Leagues'!F:F, 0)), 0)</f>
        <v>0</v>
      </c>
      <c r="AE38" t="s">
        <v>762</v>
      </c>
      <c r="AF38">
        <f>IFERROR(INDEX('List of Leagues'!E:E, MATCH(AE38, 'List of Leagues'!F:F, 0)), 0)</f>
        <v>0</v>
      </c>
      <c r="AG38" t="s">
        <v>762</v>
      </c>
      <c r="AH38">
        <f>IFERROR(INDEX('List of Leagues'!E:E, MATCH(AG38, 'List of Leagues'!F:F, 0)), 0)</f>
        <v>0</v>
      </c>
      <c r="AI38">
        <f t="shared" si="4"/>
        <v>28.35</v>
      </c>
      <c r="AJ38" t="s">
        <v>178</v>
      </c>
      <c r="AK38">
        <f>IFERROR(INDEX('List of Leagues'!$E:$E, MATCH(AJ38, 'List of Leagues'!$F:$F, 0)), 0)</f>
        <v>69.3</v>
      </c>
      <c r="AL38" t="s">
        <v>185</v>
      </c>
      <c r="AM38">
        <f>IFERROR(INDEX('List of Leagues'!$E:$E, MATCH(AL38, 'List of Leagues'!$F:$F, 0)), 0)</f>
        <v>75.400000000000006</v>
      </c>
      <c r="AN38" t="s">
        <v>187</v>
      </c>
      <c r="AO38">
        <f>IFERROR(INDEX('List of Leagues'!$E:$E, MATCH(AN38, 'List of Leagues'!$F:$F, 0)), 0)</f>
        <v>58.4</v>
      </c>
      <c r="AP38" t="s">
        <v>762</v>
      </c>
      <c r="AQ38">
        <f>IFERROR(INDEX('List of Leagues'!$E:$E, MATCH(AP38, 'List of Leagues'!$F:$F, 0)), 0)</f>
        <v>0</v>
      </c>
      <c r="AR38" t="s">
        <v>762</v>
      </c>
      <c r="AS38">
        <f>IFERROR(INDEX('List of Leagues'!$E:$E, MATCH(AR38, 'List of Leagues'!$F:$F, 0)), 0)</f>
        <v>0</v>
      </c>
      <c r="AT38" t="s">
        <v>762</v>
      </c>
      <c r="AU38">
        <f>IFERROR(INDEX('List of Leagues'!$E:$E, MATCH(AT38, 'List of Leagues'!$F:$F, 0)), 0)</f>
        <v>0</v>
      </c>
      <c r="AV38">
        <f t="shared" si="1"/>
        <v>33.85</v>
      </c>
    </row>
    <row r="39" spans="1:48" x14ac:dyDescent="0.35">
      <c r="A39" t="s">
        <v>18</v>
      </c>
      <c r="B39">
        <v>50</v>
      </c>
      <c r="C39">
        <v>2014</v>
      </c>
      <c r="D39" t="s">
        <v>5</v>
      </c>
      <c r="E39" t="s">
        <v>10</v>
      </c>
      <c r="F39" t="s">
        <v>10</v>
      </c>
      <c r="G39" t="s">
        <v>147</v>
      </c>
      <c r="H39">
        <f t="shared" si="5"/>
        <v>63</v>
      </c>
      <c r="I39">
        <v>13</v>
      </c>
      <c r="J39">
        <f>18+6</f>
        <v>24</v>
      </c>
      <c r="K39">
        <v>26</v>
      </c>
      <c r="L39">
        <f t="shared" si="6"/>
        <v>63</v>
      </c>
      <c r="M39" s="2">
        <f>AVERAGE(5857982, 4268457)</f>
        <v>5063219.5</v>
      </c>
      <c r="N39">
        <v>2</v>
      </c>
      <c r="O39">
        <v>13</v>
      </c>
      <c r="P39">
        <v>3</v>
      </c>
      <c r="Q39">
        <f>IF(COUNTIF($A$2:A39, A39) &gt; 1, 1, 0)</f>
        <v>1</v>
      </c>
      <c r="R39" t="b">
        <v>1</v>
      </c>
      <c r="S39" t="s">
        <v>185</v>
      </c>
      <c r="T39">
        <f>IFERROR(INDEX('List of Leagues'!E:E, MATCH(S39, 'List of Leagues'!F:F, 0)), 0)</f>
        <v>75.400000000000006</v>
      </c>
      <c r="U39" t="s">
        <v>184</v>
      </c>
      <c r="V39">
        <f>IFERROR(INDEX('List of Leagues'!E:E, MATCH(U39, 'List of Leagues'!F:F, 0)), 0)</f>
        <v>93.8</v>
      </c>
      <c r="W39" t="s">
        <v>762</v>
      </c>
      <c r="X39">
        <f>IFERROR(INDEX('List of Leagues'!E:E, MATCH(W39, 'List of Leagues'!F:F, 0)), 0)</f>
        <v>0</v>
      </c>
      <c r="Y39" t="s">
        <v>756</v>
      </c>
      <c r="Z39">
        <f>IFERROR(INDEX('List of Leagues'!E:E, MATCH(Y39, 'List of Leagues'!F:F, 0)), 0)</f>
        <v>76.8</v>
      </c>
      <c r="AA39" t="s">
        <v>762</v>
      </c>
      <c r="AB39">
        <f>IFERROR(INDEX('List of Leagues'!E:E, MATCH(AA39, 'List of Leagues'!F:F, 0)), 0)</f>
        <v>0</v>
      </c>
      <c r="AC39" t="s">
        <v>762</v>
      </c>
      <c r="AD39">
        <f>IFERROR(INDEX('List of Leagues'!E:E, MATCH(AC39, 'List of Leagues'!F:F, 0)), 0)</f>
        <v>0</v>
      </c>
      <c r="AE39" t="s">
        <v>762</v>
      </c>
      <c r="AF39">
        <f>IFERROR(INDEX('List of Leagues'!E:E, MATCH(AE39, 'List of Leagues'!F:F, 0)), 0)</f>
        <v>0</v>
      </c>
      <c r="AG39" t="s">
        <v>762</v>
      </c>
      <c r="AH39">
        <f>IFERROR(INDEX('List of Leagues'!E:E, MATCH(AG39, 'List of Leagues'!F:F, 0)), 0)</f>
        <v>0</v>
      </c>
      <c r="AI39">
        <f t="shared" si="4"/>
        <v>30.75</v>
      </c>
      <c r="AJ39" t="s">
        <v>537</v>
      </c>
      <c r="AK39">
        <f>IFERROR(INDEX('List of Leagues'!$E:$E, MATCH(AJ39, 'List of Leagues'!$F:$F, 0)), 0)</f>
        <v>71</v>
      </c>
      <c r="AL39" t="s">
        <v>756</v>
      </c>
      <c r="AM39">
        <f>IFERROR(INDEX('List of Leagues'!$E:$E, MATCH(AL39, 'List of Leagues'!$F:$F, 0)), 0)</f>
        <v>76.8</v>
      </c>
      <c r="AN39" t="s">
        <v>544</v>
      </c>
      <c r="AO39">
        <f>IFERROR(INDEX('List of Leagues'!$E:$E, MATCH(AN39, 'List of Leagues'!$F:$F, 0)), 0)</f>
        <v>76.900000000000006</v>
      </c>
      <c r="AP39" t="s">
        <v>532</v>
      </c>
      <c r="AQ39">
        <f>IFERROR(INDEX('List of Leagues'!$E:$E, MATCH(AP39, 'List of Leagues'!$F:$F, 0)), 0)</f>
        <v>80.8</v>
      </c>
      <c r="AR39" t="s">
        <v>762</v>
      </c>
      <c r="AS39">
        <f>IFERROR(INDEX('List of Leagues'!$E:$E, MATCH(AR39, 'List of Leagues'!$F:$F, 0)), 0)</f>
        <v>0</v>
      </c>
      <c r="AT39" t="s">
        <v>762</v>
      </c>
      <c r="AU39">
        <f>IFERROR(INDEX('List of Leagues'!$E:$E, MATCH(AT39, 'List of Leagues'!$F:$F, 0)), 0)</f>
        <v>0</v>
      </c>
      <c r="AV39">
        <f t="shared" si="1"/>
        <v>50.916666666666664</v>
      </c>
    </row>
    <row r="40" spans="1:48" x14ac:dyDescent="0.35">
      <c r="A40" t="s">
        <v>61</v>
      </c>
      <c r="B40">
        <v>40</v>
      </c>
      <c r="C40">
        <v>2014</v>
      </c>
      <c r="D40" t="s">
        <v>21</v>
      </c>
      <c r="E40" t="s">
        <v>10</v>
      </c>
      <c r="F40" t="s">
        <v>10</v>
      </c>
      <c r="G40" t="s">
        <v>136</v>
      </c>
      <c r="H40">
        <f t="shared" si="5"/>
        <v>203</v>
      </c>
      <c r="I40">
        <f>15+14+20+10+13+13+2</f>
        <v>87</v>
      </c>
      <c r="J40">
        <f>2+4+11+9+6+11+5</f>
        <v>48</v>
      </c>
      <c r="K40">
        <f>6+5+10+18+5+9+15</f>
        <v>68</v>
      </c>
      <c r="L40">
        <f t="shared" si="6"/>
        <v>309</v>
      </c>
      <c r="M40" s="2">
        <v>22367677.857142858</v>
      </c>
      <c r="N40">
        <v>6</v>
      </c>
      <c r="O40">
        <v>0</v>
      </c>
      <c r="P40">
        <v>2</v>
      </c>
      <c r="Q40">
        <f>IF(COUNTIF($A$2:A40, A40) &gt; 1, 1, 0)</f>
        <v>0</v>
      </c>
      <c r="R40" t="b">
        <v>1</v>
      </c>
      <c r="S40" t="s">
        <v>187</v>
      </c>
      <c r="T40">
        <f>IFERROR(INDEX('List of Leagues'!E:E, MATCH(S40, 'List of Leagues'!F:F, 0)), 0)</f>
        <v>58.4</v>
      </c>
      <c r="U40" t="s">
        <v>178</v>
      </c>
      <c r="V40">
        <f>IFERROR(INDEX('List of Leagues'!E:E, MATCH(U40, 'List of Leagues'!F:F, 0)), 0)</f>
        <v>69.3</v>
      </c>
      <c r="W40" t="s">
        <v>775</v>
      </c>
      <c r="X40">
        <f>IFERROR(INDEX('List of Leagues'!E:E, MATCH(W40, 'List of Leagues'!F:F, 0)), 0)</f>
        <v>71.7</v>
      </c>
      <c r="Y40" t="s">
        <v>756</v>
      </c>
      <c r="Z40">
        <f>IFERROR(INDEX('List of Leagues'!E:E, MATCH(Y40, 'List of Leagues'!F:F, 0)), 0)</f>
        <v>76.8</v>
      </c>
      <c r="AA40" t="s">
        <v>762</v>
      </c>
      <c r="AB40">
        <f>IFERROR(INDEX('List of Leagues'!E:E, MATCH(AA40, 'List of Leagues'!F:F, 0)), 0)</f>
        <v>0</v>
      </c>
      <c r="AC40" t="s">
        <v>762</v>
      </c>
      <c r="AD40">
        <f>IFERROR(INDEX('List of Leagues'!E:E, MATCH(AC40, 'List of Leagues'!F:F, 0)), 0)</f>
        <v>0</v>
      </c>
      <c r="AE40" t="s">
        <v>762</v>
      </c>
      <c r="AF40">
        <f>IFERROR(INDEX('List of Leagues'!E:E, MATCH(AE40, 'List of Leagues'!F:F, 0)), 0)</f>
        <v>0</v>
      </c>
      <c r="AG40" t="s">
        <v>762</v>
      </c>
      <c r="AH40">
        <f>IFERROR(INDEX('List of Leagues'!E:E, MATCH(AG40, 'List of Leagues'!F:F, 0)), 0)</f>
        <v>0</v>
      </c>
      <c r="AI40">
        <f t="shared" si="4"/>
        <v>34.524999999999999</v>
      </c>
      <c r="AJ40" t="s">
        <v>537</v>
      </c>
      <c r="AK40">
        <f>IFERROR(INDEX('List of Leagues'!$E:$E, MATCH(AJ40, 'List of Leagues'!$F:$F, 0)), 0)</f>
        <v>71</v>
      </c>
      <c r="AL40" t="s">
        <v>756</v>
      </c>
      <c r="AM40">
        <f>IFERROR(INDEX('List of Leagues'!$E:$E, MATCH(AL40, 'List of Leagues'!$F:$F, 0)), 0)</f>
        <v>76.8</v>
      </c>
      <c r="AN40" t="s">
        <v>544</v>
      </c>
      <c r="AO40">
        <f>IFERROR(INDEX('List of Leagues'!$E:$E, MATCH(AN40, 'List of Leagues'!$F:$F, 0)), 0)</f>
        <v>76.900000000000006</v>
      </c>
      <c r="AP40" t="s">
        <v>532</v>
      </c>
      <c r="AQ40">
        <f>IFERROR(INDEX('List of Leagues'!$E:$E, MATCH(AP40, 'List of Leagues'!$F:$F, 0)), 0)</f>
        <v>80.8</v>
      </c>
      <c r="AR40" t="s">
        <v>178</v>
      </c>
      <c r="AS40">
        <f>IFERROR(INDEX('List of Leagues'!$E:$E, MATCH(AR40, 'List of Leagues'!$F:$F, 0)), 0)</f>
        <v>69.3</v>
      </c>
      <c r="AT40" t="s">
        <v>762</v>
      </c>
      <c r="AU40">
        <f>IFERROR(INDEX('List of Leagues'!$E:$E, MATCH(AT40, 'List of Leagues'!$F:$F, 0)), 0)</f>
        <v>0</v>
      </c>
      <c r="AV40">
        <f t="shared" si="1"/>
        <v>62.466666666666669</v>
      </c>
    </row>
    <row r="41" spans="1:48" x14ac:dyDescent="0.35">
      <c r="A41" t="s">
        <v>58</v>
      </c>
      <c r="B41">
        <v>41</v>
      </c>
      <c r="C41">
        <v>2014</v>
      </c>
      <c r="D41" t="s">
        <v>23</v>
      </c>
      <c r="E41" t="s">
        <v>10</v>
      </c>
      <c r="F41" t="s">
        <v>10</v>
      </c>
      <c r="G41" t="s">
        <v>136</v>
      </c>
      <c r="H41">
        <f t="shared" si="5"/>
        <v>170</v>
      </c>
      <c r="I41">
        <f>14+16+8+15+14</f>
        <v>67</v>
      </c>
      <c r="J41">
        <f>9+6+12+8+10</f>
        <v>45</v>
      </c>
      <c r="K41">
        <f>11+12+14+11+10</f>
        <v>58</v>
      </c>
      <c r="L41">
        <f t="shared" si="6"/>
        <v>246</v>
      </c>
      <c r="M41" s="2">
        <v>6242116.5999999996</v>
      </c>
      <c r="N41">
        <v>5</v>
      </c>
      <c r="O41">
        <v>3</v>
      </c>
      <c r="P41">
        <v>1</v>
      </c>
      <c r="Q41">
        <f>IF(COUNTIF($A$2:A41, A41) &gt; 1, 1, 0)</f>
        <v>0</v>
      </c>
      <c r="R41" t="b">
        <v>1</v>
      </c>
      <c r="S41" t="s">
        <v>209</v>
      </c>
      <c r="T41">
        <f>IFERROR(INDEX('List of Leagues'!E:E, MATCH(S41, 'List of Leagues'!F:F, 0)), 0)</f>
        <v>60.6</v>
      </c>
      <c r="U41" t="s">
        <v>178</v>
      </c>
      <c r="V41">
        <f>IFERROR(INDEX('List of Leagues'!E:E, MATCH(U41, 'List of Leagues'!F:F, 0)), 0)</f>
        <v>69.3</v>
      </c>
      <c r="W41" t="s">
        <v>756</v>
      </c>
      <c r="X41">
        <f>IFERROR(INDEX('List of Leagues'!E:E, MATCH(W41, 'List of Leagues'!F:F, 0)), 0)</f>
        <v>76.8</v>
      </c>
      <c r="Y41" t="s">
        <v>653</v>
      </c>
      <c r="Z41">
        <f>IFERROR(INDEX('List of Leagues'!E:E, MATCH(Y41, 'List of Leagues'!F:F, 0)), 0)</f>
        <v>77.099999999999994</v>
      </c>
      <c r="AA41" t="s">
        <v>756</v>
      </c>
      <c r="AB41">
        <f>IFERROR(INDEX('List of Leagues'!E:E, MATCH(AA41, 'List of Leagues'!F:F, 0)), 0)</f>
        <v>76.8</v>
      </c>
      <c r="AC41" t="s">
        <v>762</v>
      </c>
      <c r="AD41">
        <f>IFERROR(INDEX('List of Leagues'!E:E, MATCH(AC41, 'List of Leagues'!F:F, 0)), 0)</f>
        <v>0</v>
      </c>
      <c r="AE41" t="s">
        <v>762</v>
      </c>
      <c r="AF41">
        <f>IFERROR(INDEX('List of Leagues'!E:E, MATCH(AE41, 'List of Leagues'!F:F, 0)), 0)</f>
        <v>0</v>
      </c>
      <c r="AG41" t="s">
        <v>762</v>
      </c>
      <c r="AH41">
        <f>IFERROR(INDEX('List of Leagues'!E:E, MATCH(AG41, 'List of Leagues'!F:F, 0)), 0)</f>
        <v>0</v>
      </c>
      <c r="AI41">
        <f t="shared" si="4"/>
        <v>45.074999999999996</v>
      </c>
      <c r="AJ41" t="s">
        <v>185</v>
      </c>
      <c r="AK41">
        <f>IFERROR(INDEX('List of Leagues'!$E:$E, MATCH(AJ41, 'List of Leagues'!$F:$F, 0)), 0)</f>
        <v>75.400000000000006</v>
      </c>
      <c r="AL41" t="s">
        <v>206</v>
      </c>
      <c r="AM41">
        <f>IFERROR(INDEX('List of Leagues'!$E:$E, MATCH(AL41, 'List of Leagues'!$F:$F, 0)), 0)</f>
        <v>75.3</v>
      </c>
      <c r="AN41" t="s">
        <v>762</v>
      </c>
      <c r="AO41">
        <f>IFERROR(INDEX('List of Leagues'!$E:$E, MATCH(AN41, 'List of Leagues'!$F:$F, 0)), 0)</f>
        <v>0</v>
      </c>
      <c r="AP41" t="s">
        <v>762</v>
      </c>
      <c r="AQ41">
        <f>IFERROR(INDEX('List of Leagues'!$E:$E, MATCH(AP41, 'List of Leagues'!$F:$F, 0)), 0)</f>
        <v>0</v>
      </c>
      <c r="AR41" t="s">
        <v>762</v>
      </c>
      <c r="AS41">
        <f>IFERROR(INDEX('List of Leagues'!$E:$E, MATCH(AR41, 'List of Leagues'!$F:$F, 0)), 0)</f>
        <v>0</v>
      </c>
      <c r="AT41" t="s">
        <v>762</v>
      </c>
      <c r="AU41">
        <f>IFERROR(INDEX('List of Leagues'!$E:$E, MATCH(AT41, 'List of Leagues'!$F:$F, 0)), 0)</f>
        <v>0</v>
      </c>
      <c r="AV41">
        <f t="shared" si="1"/>
        <v>25.116666666666664</v>
      </c>
    </row>
    <row r="42" spans="1:48" x14ac:dyDescent="0.35">
      <c r="A42" t="s">
        <v>59</v>
      </c>
      <c r="B42">
        <v>40</v>
      </c>
      <c r="C42">
        <v>2014</v>
      </c>
      <c r="D42" t="s">
        <v>60</v>
      </c>
      <c r="E42" t="s">
        <v>10</v>
      </c>
      <c r="F42" t="s">
        <v>10</v>
      </c>
      <c r="G42" t="s">
        <v>136</v>
      </c>
      <c r="H42">
        <f t="shared" si="5"/>
        <v>106</v>
      </c>
      <c r="I42">
        <f>15+11+12</f>
        <v>38</v>
      </c>
      <c r="J42">
        <f>8+11+12</f>
        <v>31</v>
      </c>
      <c r="K42">
        <f>8+15+14</f>
        <v>37</v>
      </c>
      <c r="L42">
        <f t="shared" si="6"/>
        <v>145</v>
      </c>
      <c r="M42" s="2">
        <v>6219699</v>
      </c>
      <c r="N42">
        <v>4</v>
      </c>
      <c r="O42">
        <v>0</v>
      </c>
      <c r="P42">
        <v>5</v>
      </c>
      <c r="Q42">
        <f>IF(COUNTIF($A$2:A42, A42) &gt; 1, 1, 0)</f>
        <v>0</v>
      </c>
      <c r="R42" t="b">
        <v>1</v>
      </c>
      <c r="S42" t="s">
        <v>187</v>
      </c>
      <c r="T42">
        <f>IFERROR(INDEX('List of Leagues'!E:E, MATCH(S42, 'List of Leagues'!F:F, 0)), 0)</f>
        <v>58.4</v>
      </c>
      <c r="U42" t="s">
        <v>178</v>
      </c>
      <c r="V42">
        <f>IFERROR(INDEX('List of Leagues'!E:E, MATCH(U42, 'List of Leagues'!F:F, 0)), 0)</f>
        <v>69.3</v>
      </c>
      <c r="W42" t="s">
        <v>762</v>
      </c>
      <c r="X42">
        <f>IFERROR(INDEX('List of Leagues'!E:E, MATCH(W42, 'List of Leagues'!F:F, 0)), 0)</f>
        <v>0</v>
      </c>
      <c r="Y42" t="s">
        <v>762</v>
      </c>
      <c r="Z42">
        <f>IFERROR(INDEX('List of Leagues'!E:E, MATCH(Y42, 'List of Leagues'!F:F, 0)), 0)</f>
        <v>0</v>
      </c>
      <c r="AA42" t="s">
        <v>762</v>
      </c>
      <c r="AB42">
        <f>IFERROR(INDEX('List of Leagues'!E:E, MATCH(AA42, 'List of Leagues'!F:F, 0)), 0)</f>
        <v>0</v>
      </c>
      <c r="AC42" t="s">
        <v>762</v>
      </c>
      <c r="AD42">
        <f>IFERROR(INDEX('List of Leagues'!E:E, MATCH(AC42, 'List of Leagues'!F:F, 0)), 0)</f>
        <v>0</v>
      </c>
      <c r="AE42" t="s">
        <v>762</v>
      </c>
      <c r="AF42">
        <f>IFERROR(INDEX('List of Leagues'!E:E, MATCH(AE42, 'List of Leagues'!F:F, 0)), 0)</f>
        <v>0</v>
      </c>
      <c r="AG42" t="s">
        <v>762</v>
      </c>
      <c r="AH42">
        <f>IFERROR(INDEX('List of Leagues'!E:E, MATCH(AG42, 'List of Leagues'!F:F, 0)), 0)</f>
        <v>0</v>
      </c>
      <c r="AI42">
        <f t="shared" si="4"/>
        <v>15.962499999999999</v>
      </c>
      <c r="AJ42" t="s">
        <v>188</v>
      </c>
      <c r="AK42">
        <f>IFERROR(INDEX('List of Leagues'!$E:$E, MATCH(AJ42, 'List of Leagues'!$F:$F, 0)), 0)</f>
        <v>0</v>
      </c>
      <c r="AL42" t="s">
        <v>762</v>
      </c>
      <c r="AM42">
        <f>IFERROR(INDEX('List of Leagues'!$E:$E, MATCH(AL42, 'List of Leagues'!$F:$F, 0)), 0)</f>
        <v>0</v>
      </c>
      <c r="AN42" t="s">
        <v>762</v>
      </c>
      <c r="AO42">
        <f>IFERROR(INDEX('List of Leagues'!$E:$E, MATCH(AN42, 'List of Leagues'!$F:$F, 0)), 0)</f>
        <v>0</v>
      </c>
      <c r="AP42" t="s">
        <v>762</v>
      </c>
      <c r="AQ42">
        <f>IFERROR(INDEX('List of Leagues'!$E:$E, MATCH(AP42, 'List of Leagues'!$F:$F, 0)), 0)</f>
        <v>0</v>
      </c>
      <c r="AR42" t="s">
        <v>762</v>
      </c>
      <c r="AS42">
        <f>IFERROR(INDEX('List of Leagues'!$E:$E, MATCH(AR42, 'List of Leagues'!$F:$F, 0)), 0)</f>
        <v>0</v>
      </c>
      <c r="AT42" t="s">
        <v>762</v>
      </c>
      <c r="AU42">
        <f>IFERROR(INDEX('List of Leagues'!$E:$E, MATCH(AT42, 'List of Leagues'!$F:$F, 0)), 0)</f>
        <v>0</v>
      </c>
      <c r="AV42">
        <f t="shared" si="1"/>
        <v>0</v>
      </c>
    </row>
    <row r="43" spans="1:48" x14ac:dyDescent="0.35">
      <c r="A43" t="s">
        <v>108</v>
      </c>
      <c r="B43">
        <v>35</v>
      </c>
      <c r="C43">
        <v>2014</v>
      </c>
      <c r="D43" t="s">
        <v>36</v>
      </c>
      <c r="E43" t="s">
        <v>10</v>
      </c>
      <c r="F43" t="s">
        <v>10</v>
      </c>
      <c r="G43" t="s">
        <v>136</v>
      </c>
      <c r="H43">
        <f t="shared" si="5"/>
        <v>313</v>
      </c>
      <c r="I43">
        <f>10+11+11+15+16+14+14+19+15+7</f>
        <v>132</v>
      </c>
      <c r="J43">
        <f>10+10+12+5+7+5+9+9+7+6</f>
        <v>80</v>
      </c>
      <c r="K43">
        <f>9+5+8+4+11+14+14+14+17+5</f>
        <v>101</v>
      </c>
      <c r="L43">
        <f t="shared" si="6"/>
        <v>476</v>
      </c>
      <c r="M43" s="2">
        <v>9051977.5999999996</v>
      </c>
      <c r="N43">
        <v>9</v>
      </c>
      <c r="O43">
        <v>0</v>
      </c>
      <c r="P43">
        <v>4</v>
      </c>
      <c r="Q43">
        <f>IF(COUNTIF($A$2:A43, A43) &gt; 1, 1, 0)</f>
        <v>0</v>
      </c>
      <c r="R43" t="b">
        <v>1</v>
      </c>
      <c r="S43" t="s">
        <v>178</v>
      </c>
      <c r="T43">
        <f>IFERROR(INDEX('List of Leagues'!E:E, MATCH(S43, 'List of Leagues'!F:F, 0)), 0)</f>
        <v>69.3</v>
      </c>
      <c r="U43" t="s">
        <v>762</v>
      </c>
      <c r="V43">
        <f>IFERROR(INDEX('List of Leagues'!E:E, MATCH(U43, 'List of Leagues'!F:F, 0)), 0)</f>
        <v>0</v>
      </c>
      <c r="W43" t="s">
        <v>762</v>
      </c>
      <c r="X43">
        <f>IFERROR(INDEX('List of Leagues'!E:E, MATCH(W43, 'List of Leagues'!F:F, 0)), 0)</f>
        <v>0</v>
      </c>
      <c r="Y43" t="s">
        <v>762</v>
      </c>
      <c r="Z43">
        <f>IFERROR(INDEX('List of Leagues'!E:E, MATCH(Y43, 'List of Leagues'!F:F, 0)), 0)</f>
        <v>0</v>
      </c>
      <c r="AA43" t="s">
        <v>762</v>
      </c>
      <c r="AB43">
        <f>IFERROR(INDEX('List of Leagues'!E:E, MATCH(AA43, 'List of Leagues'!F:F, 0)), 0)</f>
        <v>0</v>
      </c>
      <c r="AC43" t="s">
        <v>762</v>
      </c>
      <c r="AD43">
        <f>IFERROR(INDEX('List of Leagues'!E:E, MATCH(AC43, 'List of Leagues'!F:F, 0)), 0)</f>
        <v>0</v>
      </c>
      <c r="AE43" t="s">
        <v>762</v>
      </c>
      <c r="AF43">
        <f>IFERROR(INDEX('List of Leagues'!E:E, MATCH(AE43, 'List of Leagues'!F:F, 0)), 0)</f>
        <v>0</v>
      </c>
      <c r="AG43" t="s">
        <v>762</v>
      </c>
      <c r="AH43">
        <f>IFERROR(INDEX('List of Leagues'!E:E, MATCH(AG43, 'List of Leagues'!F:F, 0)), 0)</f>
        <v>0</v>
      </c>
      <c r="AI43">
        <f t="shared" si="4"/>
        <v>8.6624999999999996</v>
      </c>
      <c r="AJ43" t="s">
        <v>177</v>
      </c>
      <c r="AK43">
        <f>IFERROR(INDEX('List of Leagues'!$E:$E, MATCH(AJ43, 'List of Leagues'!$F:$F, 0)), 0)</f>
        <v>0</v>
      </c>
      <c r="AL43" t="s">
        <v>762</v>
      </c>
      <c r="AM43">
        <f>IFERROR(INDEX('List of Leagues'!$E:$E, MATCH(AL43, 'List of Leagues'!$F:$F, 0)), 0)</f>
        <v>0</v>
      </c>
      <c r="AN43" t="s">
        <v>762</v>
      </c>
      <c r="AO43">
        <f>IFERROR(INDEX('List of Leagues'!$E:$E, MATCH(AN43, 'List of Leagues'!$F:$F, 0)), 0)</f>
        <v>0</v>
      </c>
      <c r="AP43" t="s">
        <v>762</v>
      </c>
      <c r="AQ43">
        <f>IFERROR(INDEX('List of Leagues'!$E:$E, MATCH(AP43, 'List of Leagues'!$F:$F, 0)), 0)</f>
        <v>0</v>
      </c>
      <c r="AR43" t="s">
        <v>762</v>
      </c>
      <c r="AS43">
        <f>IFERROR(INDEX('List of Leagues'!$E:$E, MATCH(AR43, 'List of Leagues'!$F:$F, 0)), 0)</f>
        <v>0</v>
      </c>
      <c r="AT43" t="s">
        <v>762</v>
      </c>
      <c r="AU43">
        <f>IFERROR(INDEX('List of Leagues'!$E:$E, MATCH(AT43, 'List of Leagues'!$F:$F, 0)), 0)</f>
        <v>0</v>
      </c>
      <c r="AV43">
        <f t="shared" si="1"/>
        <v>0</v>
      </c>
    </row>
    <row r="44" spans="1:48" x14ac:dyDescent="0.35">
      <c r="A44" t="s">
        <v>43</v>
      </c>
      <c r="B44">
        <v>46</v>
      </c>
      <c r="C44">
        <v>2014</v>
      </c>
      <c r="D44" t="s">
        <v>11</v>
      </c>
      <c r="E44" t="s">
        <v>10</v>
      </c>
      <c r="F44" t="s">
        <v>10</v>
      </c>
      <c r="G44" t="s">
        <v>137</v>
      </c>
      <c r="H44">
        <f t="shared" si="5"/>
        <v>170</v>
      </c>
      <c r="I44">
        <f>16+18+17+11+16</f>
        <v>78</v>
      </c>
      <c r="J44">
        <f>9+13+9+6+6</f>
        <v>43</v>
      </c>
      <c r="K44">
        <f>9+10+8+10+12</f>
        <v>49</v>
      </c>
      <c r="L44">
        <f t="shared" si="6"/>
        <v>277</v>
      </c>
      <c r="M44" s="2">
        <v>6394238.4000000004</v>
      </c>
      <c r="N44">
        <v>5</v>
      </c>
      <c r="O44">
        <v>2</v>
      </c>
      <c r="P44">
        <v>7</v>
      </c>
      <c r="Q44">
        <f>IF(COUNTIF($A$2:A44, A44) &gt; 1, 1, 0)</f>
        <v>1</v>
      </c>
      <c r="R44" t="b">
        <v>1</v>
      </c>
      <c r="S44" t="s">
        <v>536</v>
      </c>
      <c r="T44">
        <f>IFERROR(INDEX('List of Leagues'!E:E, MATCH(S44, 'List of Leagues'!F:F, 0)), 0)</f>
        <v>78.099999999999994</v>
      </c>
      <c r="U44" t="s">
        <v>178</v>
      </c>
      <c r="V44">
        <f>IFERROR(INDEX('List of Leagues'!E:E, MATCH(U44, 'List of Leagues'!F:F, 0)), 0)</f>
        <v>69.3</v>
      </c>
      <c r="W44" t="s">
        <v>756</v>
      </c>
      <c r="X44">
        <f>IFERROR(INDEX('List of Leagues'!E:E, MATCH(W44, 'List of Leagues'!F:F, 0)), 0)</f>
        <v>76.8</v>
      </c>
      <c r="Y44" t="s">
        <v>762</v>
      </c>
      <c r="Z44">
        <f>IFERROR(INDEX('List of Leagues'!E:E, MATCH(Y44, 'List of Leagues'!F:F, 0)), 0)</f>
        <v>0</v>
      </c>
      <c r="AA44" t="s">
        <v>762</v>
      </c>
      <c r="AB44">
        <f>IFERROR(INDEX('List of Leagues'!E:E, MATCH(AA44, 'List of Leagues'!F:F, 0)), 0)</f>
        <v>0</v>
      </c>
      <c r="AC44" t="s">
        <v>762</v>
      </c>
      <c r="AD44">
        <f>IFERROR(INDEX('List of Leagues'!E:E, MATCH(AC44, 'List of Leagues'!F:F, 0)), 0)</f>
        <v>0</v>
      </c>
      <c r="AE44" t="s">
        <v>762</v>
      </c>
      <c r="AF44">
        <f>IFERROR(INDEX('List of Leagues'!E:E, MATCH(AE44, 'List of Leagues'!F:F, 0)), 0)</f>
        <v>0</v>
      </c>
      <c r="AG44" t="s">
        <v>762</v>
      </c>
      <c r="AH44">
        <f>IFERROR(INDEX('List of Leagues'!E:E, MATCH(AG44, 'List of Leagues'!F:F, 0)), 0)</f>
        <v>0</v>
      </c>
      <c r="AI44">
        <f t="shared" si="4"/>
        <v>28.024999999999999</v>
      </c>
      <c r="AJ44" t="s">
        <v>177</v>
      </c>
      <c r="AK44">
        <f>IFERROR(INDEX('List of Leagues'!$E:$E, MATCH(AJ44, 'List of Leagues'!$F:$F, 0)), 0)</f>
        <v>0</v>
      </c>
      <c r="AL44" t="s">
        <v>762</v>
      </c>
      <c r="AM44">
        <f>IFERROR(INDEX('List of Leagues'!$E:$E, MATCH(AL44, 'List of Leagues'!$F:$F, 0)), 0)</f>
        <v>0</v>
      </c>
      <c r="AN44" t="s">
        <v>762</v>
      </c>
      <c r="AO44">
        <f>IFERROR(INDEX('List of Leagues'!$E:$E, MATCH(AN44, 'List of Leagues'!$F:$F, 0)), 0)</f>
        <v>0</v>
      </c>
      <c r="AP44" t="s">
        <v>762</v>
      </c>
      <c r="AQ44">
        <f>IFERROR(INDEX('List of Leagues'!$E:$E, MATCH(AP44, 'List of Leagues'!$F:$F, 0)), 0)</f>
        <v>0</v>
      </c>
      <c r="AR44" t="s">
        <v>762</v>
      </c>
      <c r="AS44">
        <f>IFERROR(INDEX('List of Leagues'!$E:$E, MATCH(AR44, 'List of Leagues'!$F:$F, 0)), 0)</f>
        <v>0</v>
      </c>
      <c r="AT44" t="s">
        <v>762</v>
      </c>
      <c r="AU44">
        <f>IFERROR(INDEX('List of Leagues'!$E:$E, MATCH(AT44, 'List of Leagues'!$F:$F, 0)), 0)</f>
        <v>0</v>
      </c>
      <c r="AV44">
        <f t="shared" si="1"/>
        <v>0</v>
      </c>
    </row>
    <row r="45" spans="1:48" x14ac:dyDescent="0.35">
      <c r="A45" t="s">
        <v>57</v>
      </c>
      <c r="B45">
        <v>38</v>
      </c>
      <c r="C45">
        <v>2014</v>
      </c>
      <c r="D45" t="s">
        <v>9</v>
      </c>
      <c r="E45" t="s">
        <v>6</v>
      </c>
      <c r="F45" t="s">
        <v>132</v>
      </c>
      <c r="G45" t="s">
        <v>155</v>
      </c>
      <c r="H45">
        <f t="shared" si="5"/>
        <v>124</v>
      </c>
      <c r="I45">
        <f>8+9+15+6</f>
        <v>38</v>
      </c>
      <c r="J45">
        <f>8+10+13+4</f>
        <v>35</v>
      </c>
      <c r="K45">
        <f>18+15+6+12</f>
        <v>51</v>
      </c>
      <c r="L45">
        <f t="shared" si="6"/>
        <v>149</v>
      </c>
      <c r="M45" s="2">
        <v>6650458.5</v>
      </c>
      <c r="N45">
        <v>4</v>
      </c>
      <c r="O45">
        <v>0</v>
      </c>
      <c r="P45">
        <v>0</v>
      </c>
      <c r="Q45">
        <f>IF(COUNTIF($A$2:A45, A45) &gt; 1, 1, 0)</f>
        <v>0</v>
      </c>
      <c r="R45" t="b">
        <v>1</v>
      </c>
      <c r="S45" t="s">
        <v>178</v>
      </c>
      <c r="T45">
        <f>IFERROR(INDEX('List of Leagues'!E:E, MATCH(S45, 'List of Leagues'!F:F, 0)), 0)</f>
        <v>69.3</v>
      </c>
      <c r="U45" t="s">
        <v>187</v>
      </c>
      <c r="V45">
        <f>IFERROR(INDEX('List of Leagues'!E:E, MATCH(U45, 'List of Leagues'!F:F, 0)), 0)</f>
        <v>58.4</v>
      </c>
      <c r="W45" t="s">
        <v>756</v>
      </c>
      <c r="X45">
        <f>IFERROR(INDEX('List of Leagues'!E:E, MATCH(W45, 'List of Leagues'!F:F, 0)), 0)</f>
        <v>76.8</v>
      </c>
      <c r="Y45" t="s">
        <v>762</v>
      </c>
      <c r="Z45">
        <f>IFERROR(INDEX('List of Leagues'!E:E, MATCH(Y45, 'List of Leagues'!F:F, 0)), 0)</f>
        <v>0</v>
      </c>
      <c r="AA45" t="s">
        <v>762</v>
      </c>
      <c r="AB45">
        <f>IFERROR(INDEX('List of Leagues'!E:E, MATCH(AA45, 'List of Leagues'!F:F, 0)), 0)</f>
        <v>0</v>
      </c>
      <c r="AC45" t="s">
        <v>762</v>
      </c>
      <c r="AD45">
        <f>IFERROR(INDEX('List of Leagues'!E:E, MATCH(AC45, 'List of Leagues'!F:F, 0)), 0)</f>
        <v>0</v>
      </c>
      <c r="AE45" t="s">
        <v>762</v>
      </c>
      <c r="AF45">
        <f>IFERROR(INDEX('List of Leagues'!E:E, MATCH(AE45, 'List of Leagues'!F:F, 0)), 0)</f>
        <v>0</v>
      </c>
      <c r="AG45" t="s">
        <v>762</v>
      </c>
      <c r="AH45">
        <f>IFERROR(INDEX('List of Leagues'!E:E, MATCH(AG45, 'List of Leagues'!F:F, 0)), 0)</f>
        <v>0</v>
      </c>
      <c r="AI45">
        <f t="shared" si="4"/>
        <v>25.5625</v>
      </c>
      <c r="AJ45" t="s">
        <v>178</v>
      </c>
      <c r="AK45">
        <f>IFERROR(INDEX('List of Leagues'!$E:$E, MATCH(AJ45, 'List of Leagues'!$F:$F, 0)), 0)</f>
        <v>69.3</v>
      </c>
      <c r="AL45" t="s">
        <v>762</v>
      </c>
      <c r="AM45">
        <f>IFERROR(INDEX('List of Leagues'!$E:$E, MATCH(AL45, 'List of Leagues'!$F:$F, 0)), 0)</f>
        <v>0</v>
      </c>
      <c r="AN45" t="s">
        <v>762</v>
      </c>
      <c r="AO45">
        <f>IFERROR(INDEX('List of Leagues'!$E:$E, MATCH(AN45, 'List of Leagues'!$F:$F, 0)), 0)</f>
        <v>0</v>
      </c>
      <c r="AP45" t="s">
        <v>762</v>
      </c>
      <c r="AQ45">
        <f>IFERROR(INDEX('List of Leagues'!$E:$E, MATCH(AP45, 'List of Leagues'!$F:$F, 0)), 0)</f>
        <v>0</v>
      </c>
      <c r="AR45" t="s">
        <v>762</v>
      </c>
      <c r="AS45">
        <f>IFERROR(INDEX('List of Leagues'!$E:$E, MATCH(AR45, 'List of Leagues'!$F:$F, 0)), 0)</f>
        <v>0</v>
      </c>
      <c r="AT45" t="s">
        <v>762</v>
      </c>
      <c r="AU45">
        <f>IFERROR(INDEX('List of Leagues'!$E:$E, MATCH(AT45, 'List of Leagues'!$F:$F, 0)), 0)</f>
        <v>0</v>
      </c>
      <c r="AV45">
        <f t="shared" si="1"/>
        <v>11.549999999999999</v>
      </c>
    </row>
    <row r="46" spans="1:48" x14ac:dyDescent="0.35">
      <c r="A46" t="s">
        <v>56</v>
      </c>
      <c r="B46">
        <v>47</v>
      </c>
      <c r="C46">
        <v>2014</v>
      </c>
      <c r="D46" t="s">
        <v>29</v>
      </c>
      <c r="E46" t="s">
        <v>6</v>
      </c>
      <c r="F46" t="s">
        <v>132</v>
      </c>
      <c r="G46" t="s">
        <v>137</v>
      </c>
      <c r="H46">
        <f t="shared" si="5"/>
        <v>34</v>
      </c>
      <c r="I46">
        <v>9</v>
      </c>
      <c r="J46">
        <v>7</v>
      </c>
      <c r="K46">
        <v>18</v>
      </c>
      <c r="L46">
        <f t="shared" si="6"/>
        <v>34</v>
      </c>
      <c r="M46" s="1">
        <v>4542924</v>
      </c>
      <c r="N46">
        <v>1</v>
      </c>
      <c r="O46">
        <v>5</v>
      </c>
      <c r="P46">
        <v>4</v>
      </c>
      <c r="Q46">
        <f>IF(COUNTIF($A$2:A46, A46) &gt; 1, 1, 0)</f>
        <v>0</v>
      </c>
      <c r="R46" t="b">
        <v>1</v>
      </c>
      <c r="S46" t="s">
        <v>536</v>
      </c>
      <c r="T46">
        <f>IFERROR(INDEX('List of Leagues'!E:E, MATCH(S46, 'List of Leagues'!F:F, 0)), 0)</f>
        <v>78.099999999999994</v>
      </c>
      <c r="U46" t="s">
        <v>187</v>
      </c>
      <c r="V46">
        <f>IFERROR(INDEX('List of Leagues'!E:E, MATCH(U46, 'List of Leagues'!F:F, 0)), 0)</f>
        <v>58.4</v>
      </c>
      <c r="W46" t="s">
        <v>178</v>
      </c>
      <c r="X46">
        <f>IFERROR(INDEX('List of Leagues'!E:E, MATCH(W46, 'List of Leagues'!F:F, 0)), 0)</f>
        <v>69.3</v>
      </c>
      <c r="Y46" t="s">
        <v>762</v>
      </c>
      <c r="Z46">
        <f>IFERROR(INDEX('List of Leagues'!E:E, MATCH(Y46, 'List of Leagues'!F:F, 0)), 0)</f>
        <v>0</v>
      </c>
      <c r="AA46" t="s">
        <v>762</v>
      </c>
      <c r="AB46">
        <f>IFERROR(INDEX('List of Leagues'!E:E, MATCH(AA46, 'List of Leagues'!F:F, 0)), 0)</f>
        <v>0</v>
      </c>
      <c r="AC46" t="s">
        <v>762</v>
      </c>
      <c r="AD46">
        <f>IFERROR(INDEX('List of Leagues'!E:E, MATCH(AC46, 'List of Leagues'!F:F, 0)), 0)</f>
        <v>0</v>
      </c>
      <c r="AE46" t="s">
        <v>762</v>
      </c>
      <c r="AF46">
        <f>IFERROR(INDEX('List of Leagues'!E:E, MATCH(AE46, 'List of Leagues'!F:F, 0)), 0)</f>
        <v>0</v>
      </c>
      <c r="AG46" t="s">
        <v>762</v>
      </c>
      <c r="AH46">
        <f>IFERROR(INDEX('List of Leagues'!E:E, MATCH(AG46, 'List of Leagues'!F:F, 0)), 0)</f>
        <v>0</v>
      </c>
      <c r="AI46">
        <f t="shared" si="4"/>
        <v>25.725000000000001</v>
      </c>
      <c r="AJ46" t="s">
        <v>211</v>
      </c>
      <c r="AK46">
        <f>IFERROR(INDEX('List of Leagues'!$E:$E, MATCH(AJ46, 'List of Leagues'!$F:$F, 0)), 0)</f>
        <v>60.5</v>
      </c>
      <c r="AL46" t="s">
        <v>762</v>
      </c>
      <c r="AM46">
        <f>IFERROR(INDEX('List of Leagues'!$E:$E, MATCH(AL46, 'List of Leagues'!$F:$F, 0)), 0)</f>
        <v>0</v>
      </c>
      <c r="AN46" t="s">
        <v>762</v>
      </c>
      <c r="AO46">
        <f>IFERROR(INDEX('List of Leagues'!$E:$E, MATCH(AN46, 'List of Leagues'!$F:$F, 0)), 0)</f>
        <v>0</v>
      </c>
      <c r="AP46" t="s">
        <v>762</v>
      </c>
      <c r="AQ46">
        <f>IFERROR(INDEX('List of Leagues'!$E:$E, MATCH(AP46, 'List of Leagues'!$F:$F, 0)), 0)</f>
        <v>0</v>
      </c>
      <c r="AR46" t="s">
        <v>762</v>
      </c>
      <c r="AS46">
        <f>IFERROR(INDEX('List of Leagues'!$E:$E, MATCH(AR46, 'List of Leagues'!$F:$F, 0)), 0)</f>
        <v>0</v>
      </c>
      <c r="AT46" t="s">
        <v>762</v>
      </c>
      <c r="AU46">
        <f>IFERROR(INDEX('List of Leagues'!$E:$E, MATCH(AT46, 'List of Leagues'!$F:$F, 0)), 0)</f>
        <v>0</v>
      </c>
      <c r="AV46">
        <f t="shared" si="1"/>
        <v>10.083333333333334</v>
      </c>
    </row>
    <row r="47" spans="1:48" x14ac:dyDescent="0.35">
      <c r="A47" t="s">
        <v>67</v>
      </c>
      <c r="B47">
        <v>54</v>
      </c>
      <c r="C47">
        <v>2015</v>
      </c>
      <c r="D47" t="s">
        <v>68</v>
      </c>
      <c r="E47" t="s">
        <v>10</v>
      </c>
      <c r="F47" t="s">
        <v>10</v>
      </c>
      <c r="G47" t="s">
        <v>147</v>
      </c>
      <c r="H47">
        <f t="shared" si="5"/>
        <v>50</v>
      </c>
      <c r="I47">
        <v>16</v>
      </c>
      <c r="J47">
        <v>16</v>
      </c>
      <c r="K47">
        <f>14+4</f>
        <v>18</v>
      </c>
      <c r="L47">
        <f t="shared" si="6"/>
        <v>64</v>
      </c>
      <c r="M47" s="1">
        <f>AVERAGE(12125975, 12147496)</f>
        <v>12136735.5</v>
      </c>
      <c r="N47">
        <v>9</v>
      </c>
      <c r="O47">
        <v>2</v>
      </c>
      <c r="P47">
        <v>4</v>
      </c>
      <c r="Q47">
        <f>IF(COUNTIF($A$2:A47, A47) &gt; 1, 1, 0)</f>
        <v>0</v>
      </c>
      <c r="R47" t="b">
        <v>1</v>
      </c>
      <c r="S47" t="s">
        <v>185</v>
      </c>
      <c r="T47">
        <f>IFERROR(INDEX('List of Leagues'!E:E, MATCH(S47, 'List of Leagues'!F:F, 0)), 0)</f>
        <v>75.400000000000006</v>
      </c>
      <c r="U47" t="s">
        <v>538</v>
      </c>
      <c r="V47">
        <f>IFERROR(INDEX('List of Leagues'!E:E, MATCH(U47, 'List of Leagues'!F:F, 0)), 0)</f>
        <v>77.3</v>
      </c>
      <c r="W47" t="s">
        <v>762</v>
      </c>
      <c r="X47">
        <f>IFERROR(INDEX('List of Leagues'!E:E, MATCH(W47, 'List of Leagues'!F:F, 0)), 0)</f>
        <v>0</v>
      </c>
      <c r="Y47" t="s">
        <v>762</v>
      </c>
      <c r="Z47">
        <f>IFERROR(INDEX('List of Leagues'!E:E, MATCH(Y47, 'List of Leagues'!F:F, 0)), 0)</f>
        <v>0</v>
      </c>
      <c r="AA47" t="s">
        <v>762</v>
      </c>
      <c r="AB47">
        <f>IFERROR(INDEX('List of Leagues'!E:E, MATCH(AA47, 'List of Leagues'!F:F, 0)), 0)</f>
        <v>0</v>
      </c>
      <c r="AC47" t="s">
        <v>762</v>
      </c>
      <c r="AD47">
        <f>IFERROR(INDEX('List of Leagues'!E:E, MATCH(AC47, 'List of Leagues'!F:F, 0)), 0)</f>
        <v>0</v>
      </c>
      <c r="AE47" t="s">
        <v>762</v>
      </c>
      <c r="AF47">
        <f>IFERROR(INDEX('List of Leagues'!E:E, MATCH(AE47, 'List of Leagues'!F:F, 0)), 0)</f>
        <v>0</v>
      </c>
      <c r="AG47" t="s">
        <v>762</v>
      </c>
      <c r="AH47">
        <f>IFERROR(INDEX('List of Leagues'!$E:$E, MATCH(AG47, 'List of Leagues'!$F:$F, 0)), 0)</f>
        <v>0</v>
      </c>
      <c r="AI47">
        <f t="shared" si="4"/>
        <v>19.087499999999999</v>
      </c>
      <c r="AJ47" t="s">
        <v>547</v>
      </c>
      <c r="AK47">
        <f>IFERROR(INDEX('List of Leagues'!$E:$E, MATCH(AJ47, 'List of Leagues'!$F:$F, 0)), 0)</f>
        <v>74.8</v>
      </c>
      <c r="AL47" t="s">
        <v>532</v>
      </c>
      <c r="AM47">
        <f>IFERROR(INDEX('List of Leagues'!$E:$E, MATCH(AL47, 'List of Leagues'!$F:$F, 0)), 0)</f>
        <v>80.8</v>
      </c>
      <c r="AN47" t="s">
        <v>762</v>
      </c>
      <c r="AO47">
        <f>IFERROR(INDEX('List of Leagues'!$E:$E, MATCH(AN47, 'List of Leagues'!$F:$F, 0)), 0)</f>
        <v>0</v>
      </c>
      <c r="AP47" t="s">
        <v>762</v>
      </c>
      <c r="AQ47">
        <f>IFERROR(INDEX('List of Leagues'!$E:$E, MATCH(AP47, 'List of Leagues'!$F:$F, 0)), 0)</f>
        <v>0</v>
      </c>
      <c r="AR47" t="s">
        <v>762</v>
      </c>
      <c r="AS47">
        <f>IFERROR(INDEX('List of Leagues'!$E:$E, MATCH(AR47, 'List of Leagues'!$F:$F, 0)), 0)</f>
        <v>0</v>
      </c>
      <c r="AT47" t="s">
        <v>762</v>
      </c>
      <c r="AU47">
        <f>IFERROR(INDEX('List of Leagues'!$E:$E, MATCH(AT47, 'List of Leagues'!$F:$F, 0)), 0)</f>
        <v>0</v>
      </c>
      <c r="AV47">
        <f t="shared" si="1"/>
        <v>25.933333333333334</v>
      </c>
    </row>
    <row r="48" spans="1:48" x14ac:dyDescent="0.35">
      <c r="A48" t="s">
        <v>69</v>
      </c>
      <c r="B48">
        <v>48</v>
      </c>
      <c r="C48">
        <v>2015</v>
      </c>
      <c r="D48" t="s">
        <v>19</v>
      </c>
      <c r="E48" t="s">
        <v>10</v>
      </c>
      <c r="F48" t="s">
        <v>10</v>
      </c>
      <c r="G48" t="s">
        <v>146</v>
      </c>
      <c r="H48">
        <f t="shared" si="5"/>
        <v>85</v>
      </c>
      <c r="I48">
        <v>27</v>
      </c>
      <c r="J48">
        <v>27</v>
      </c>
      <c r="K48">
        <v>31</v>
      </c>
      <c r="L48">
        <f t="shared" si="6"/>
        <v>108</v>
      </c>
      <c r="M48" s="2">
        <v>6505145.5</v>
      </c>
      <c r="N48">
        <v>3</v>
      </c>
      <c r="O48">
        <v>10</v>
      </c>
      <c r="P48">
        <v>2</v>
      </c>
      <c r="Q48">
        <v>1</v>
      </c>
      <c r="R48" t="b">
        <v>1</v>
      </c>
      <c r="S48" t="s">
        <v>751</v>
      </c>
      <c r="T48">
        <f>IFERROR(INDEX('List of Leagues'!E:E, MATCH(S48, 'List of Leagues'!F:F, 0)), 0)</f>
        <v>68.400000000000006</v>
      </c>
      <c r="U48" t="s">
        <v>178</v>
      </c>
      <c r="V48">
        <f>IFERROR(INDEX('List of Leagues'!E:E, MATCH(U48, 'List of Leagues'!F:F, 0)), 0)</f>
        <v>69.3</v>
      </c>
      <c r="W48" t="s">
        <v>763</v>
      </c>
      <c r="X48">
        <f>IFERROR(INDEX('List of Leagues'!E:E, MATCH(W48, 'List of Leagues'!F:F, 0)), 0)</f>
        <v>0</v>
      </c>
      <c r="Y48" t="s">
        <v>756</v>
      </c>
      <c r="Z48">
        <f>IFERROR(INDEX('List of Leagues'!E:E, MATCH(Y48, 'List of Leagues'!F:F, 0)), 0)</f>
        <v>76.8</v>
      </c>
      <c r="AA48" t="s">
        <v>762</v>
      </c>
      <c r="AB48">
        <f>IFERROR(INDEX('List of Leagues'!E:E, MATCH(AA48, 'List of Leagues'!F:F, 0)), 0)</f>
        <v>0</v>
      </c>
      <c r="AC48" t="s">
        <v>762</v>
      </c>
      <c r="AD48">
        <f>IFERROR(INDEX('List of Leagues'!E:E, MATCH(AC48, 'List of Leagues'!F:F, 0)), 0)</f>
        <v>0</v>
      </c>
      <c r="AE48" t="s">
        <v>762</v>
      </c>
      <c r="AF48">
        <f>IFERROR(INDEX('List of Leagues'!E:E, MATCH(AE48, 'List of Leagues'!F:F, 0)), 0)</f>
        <v>0</v>
      </c>
      <c r="AG48" t="s">
        <v>762</v>
      </c>
      <c r="AH48">
        <f>IFERROR(INDEX('List of Leagues'!E:E, MATCH(AG48, 'List of Leagues'!F:F, 0)), 0)</f>
        <v>0</v>
      </c>
      <c r="AI48">
        <f t="shared" si="4"/>
        <v>26.8125</v>
      </c>
      <c r="AJ48" t="s">
        <v>202</v>
      </c>
      <c r="AK48">
        <f>IFERROR(INDEX('List of Leagues'!$E:$E, MATCH(AJ48, 'List of Leagues'!$F:$F, 0)), 0)</f>
        <v>51</v>
      </c>
      <c r="AL48" t="s">
        <v>769</v>
      </c>
      <c r="AM48">
        <f>IFERROR(INDEX('List of Leagues'!$E:$E, MATCH(AL48, 'List of Leagues'!$F:$F, 0)), 0)</f>
        <v>74.2</v>
      </c>
      <c r="AN48" t="s">
        <v>211</v>
      </c>
      <c r="AO48">
        <f>IFERROR(INDEX('List of Leagues'!$E:$E, MATCH(AN48, 'List of Leagues'!$F:$F, 0)), 0)</f>
        <v>60.5</v>
      </c>
      <c r="AP48" t="s">
        <v>779</v>
      </c>
      <c r="AQ48">
        <f>IFERROR(INDEX('List of Leagues'!$E:$E, MATCH(AP48, 'List of Leagues'!$F:$F, 0)), 0)</f>
        <v>77.099999999999994</v>
      </c>
      <c r="AR48" t="s">
        <v>534</v>
      </c>
      <c r="AS48">
        <f>IFERROR(INDEX('List of Leagues'!$E:$E, MATCH(AR48, 'List of Leagues'!$F:$F, 0)), 0)</f>
        <v>80.7</v>
      </c>
      <c r="AT48" t="s">
        <v>780</v>
      </c>
      <c r="AU48">
        <f>IFERROR(INDEX('List of Leagues'!$E:$E, MATCH(AT48, 'List of Leagues'!$F:$F, 0)), 0)</f>
        <v>55.9</v>
      </c>
      <c r="AV48">
        <f t="shared" si="1"/>
        <v>66.566666666666649</v>
      </c>
    </row>
    <row r="49" spans="1:48" x14ac:dyDescent="0.35">
      <c r="A49" t="s">
        <v>66</v>
      </c>
      <c r="B49">
        <v>42</v>
      </c>
      <c r="C49">
        <v>2015</v>
      </c>
      <c r="D49" t="s">
        <v>195</v>
      </c>
      <c r="E49" t="s">
        <v>10</v>
      </c>
      <c r="F49" t="s">
        <v>10</v>
      </c>
      <c r="G49" t="s">
        <v>136</v>
      </c>
      <c r="H49">
        <f t="shared" si="5"/>
        <v>34</v>
      </c>
      <c r="I49">
        <v>10</v>
      </c>
      <c r="J49">
        <v>7</v>
      </c>
      <c r="K49">
        <v>17</v>
      </c>
      <c r="L49">
        <f t="shared" si="6"/>
        <v>37</v>
      </c>
      <c r="M49" s="2">
        <v>17871768</v>
      </c>
      <c r="N49">
        <v>2</v>
      </c>
      <c r="O49">
        <v>6</v>
      </c>
      <c r="P49">
        <v>0</v>
      </c>
      <c r="Q49">
        <v>1</v>
      </c>
      <c r="R49" t="b">
        <v>1</v>
      </c>
      <c r="S49" t="s">
        <v>552</v>
      </c>
      <c r="T49">
        <f>IFERROR(INDEX('List of Leagues'!E:E, MATCH(S49, 'List of Leagues'!F:F, 0)), 0)</f>
        <v>58.4</v>
      </c>
      <c r="U49" t="s">
        <v>178</v>
      </c>
      <c r="V49">
        <f>IFERROR(INDEX('List of Leagues'!E:E, MATCH(U49, 'List of Leagues'!F:F, 0)), 0)</f>
        <v>69.3</v>
      </c>
      <c r="W49" t="s">
        <v>756</v>
      </c>
      <c r="X49">
        <f>IFERROR(INDEX('List of Leagues'!E:E, MATCH(W49, 'List of Leagues'!F:F, 0)), 0)</f>
        <v>76.8</v>
      </c>
      <c r="Y49" t="s">
        <v>762</v>
      </c>
      <c r="Z49">
        <f>IFERROR(INDEX('List of Leagues'!E:E, MATCH(Y49, 'List of Leagues'!F:F, 0)), 0)</f>
        <v>0</v>
      </c>
      <c r="AA49" t="s">
        <v>762</v>
      </c>
      <c r="AB49">
        <f>IFERROR(INDEX('List of Leagues'!E:E, MATCH(AA49, 'List of Leagues'!F:F, 0)), 0)</f>
        <v>0</v>
      </c>
      <c r="AC49" t="s">
        <v>762</v>
      </c>
      <c r="AD49">
        <f>IFERROR(INDEX('List of Leagues'!E:E, MATCH(AC49, 'List of Leagues'!F:F, 0)), 0)</f>
        <v>0</v>
      </c>
      <c r="AE49" t="s">
        <v>762</v>
      </c>
      <c r="AF49">
        <f>IFERROR(INDEX('List of Leagues'!E:E, MATCH(AE49, 'List of Leagues'!F:F, 0)), 0)</f>
        <v>0</v>
      </c>
      <c r="AG49" t="s">
        <v>762</v>
      </c>
      <c r="AH49">
        <f>IFERROR(INDEX('List of Leagues'!E:E, MATCH(AG49, 'List of Leagues'!F:F, 0)), 0)</f>
        <v>0</v>
      </c>
      <c r="AI49">
        <f t="shared" si="4"/>
        <v>25.5625</v>
      </c>
      <c r="AJ49" t="s">
        <v>203</v>
      </c>
      <c r="AK49">
        <f>IFERROR(INDEX('List of Leagues'!$E:$E, MATCH(AJ49, 'List of Leagues'!$F:$F, 0)), 0)</f>
        <v>76.8</v>
      </c>
      <c r="AL49" t="s">
        <v>762</v>
      </c>
      <c r="AM49">
        <f>IFERROR(INDEX('List of Leagues'!$E:$E, MATCH(AL49, 'List of Leagues'!$F:$F, 0)), 0)</f>
        <v>0</v>
      </c>
      <c r="AN49" t="s">
        <v>762</v>
      </c>
      <c r="AO49">
        <f>IFERROR(INDEX('List of Leagues'!$E:$E, MATCH(AN49, 'List of Leagues'!$F:$F, 0)), 0)</f>
        <v>0</v>
      </c>
      <c r="AP49" t="s">
        <v>762</v>
      </c>
      <c r="AQ49">
        <f>IFERROR(INDEX('List of Leagues'!$E:$E, MATCH(AP49, 'List of Leagues'!$F:$F, 0)), 0)</f>
        <v>0</v>
      </c>
      <c r="AR49" t="s">
        <v>762</v>
      </c>
      <c r="AS49">
        <f>IFERROR(INDEX('List of Leagues'!$E:$E, MATCH(AR49, 'List of Leagues'!$F:$F, 0)), 0)</f>
        <v>0</v>
      </c>
      <c r="AT49" t="s">
        <v>762</v>
      </c>
      <c r="AU49">
        <f>IFERROR(INDEX('List of Leagues'!$E:$E, MATCH(AT49, 'List of Leagues'!$F:$F, 0)), 0)</f>
        <v>0</v>
      </c>
      <c r="AV49">
        <f t="shared" si="1"/>
        <v>12.799999999999999</v>
      </c>
    </row>
    <row r="50" spans="1:48" x14ac:dyDescent="0.35">
      <c r="A50" t="s">
        <v>44</v>
      </c>
      <c r="B50">
        <v>42</v>
      </c>
      <c r="C50">
        <v>2015</v>
      </c>
      <c r="D50" t="s">
        <v>17</v>
      </c>
      <c r="E50" t="s">
        <v>10</v>
      </c>
      <c r="F50" t="s">
        <v>10</v>
      </c>
      <c r="G50" t="s">
        <v>136</v>
      </c>
      <c r="H50">
        <f t="shared" si="5"/>
        <v>118</v>
      </c>
      <c r="I50">
        <f>18+16+14+10</f>
        <v>58</v>
      </c>
      <c r="J50">
        <f>8+9+6+2</f>
        <v>25</v>
      </c>
      <c r="K50">
        <f>12+9+10+4</f>
        <v>35</v>
      </c>
      <c r="L50">
        <f t="shared" si="6"/>
        <v>199</v>
      </c>
      <c r="M50" s="2">
        <v>6672204</v>
      </c>
      <c r="N50">
        <v>4</v>
      </c>
      <c r="O50">
        <v>1</v>
      </c>
      <c r="P50">
        <v>2</v>
      </c>
      <c r="Q50">
        <f>IF(COUNTIF($A$2:A50, A50) &gt; 1, 1, 0)</f>
        <v>1</v>
      </c>
      <c r="R50" t="b">
        <v>1</v>
      </c>
      <c r="S50" t="s">
        <v>178</v>
      </c>
      <c r="T50">
        <f>IFERROR(INDEX('List of Leagues'!E:E, MATCH(S50, 'List of Leagues'!F:F, 0)), 0)</f>
        <v>69.3</v>
      </c>
      <c r="U50" t="s">
        <v>756</v>
      </c>
      <c r="V50">
        <f>IFERROR(INDEX('List of Leagues'!E:E, MATCH(U50, 'List of Leagues'!F:F, 0)), 0)</f>
        <v>76.8</v>
      </c>
      <c r="W50" t="s">
        <v>762</v>
      </c>
      <c r="X50">
        <f>IFERROR(INDEX('List of Leagues'!E:E, MATCH(W50, 'List of Leagues'!F:F, 0)), 0)</f>
        <v>0</v>
      </c>
      <c r="Y50" t="s">
        <v>762</v>
      </c>
      <c r="Z50">
        <f>IFERROR(INDEX('List of Leagues'!E:E, MATCH(Y50, 'List of Leagues'!F:F, 0)), 0)</f>
        <v>0</v>
      </c>
      <c r="AA50" t="s">
        <v>762</v>
      </c>
      <c r="AB50">
        <f>IFERROR(INDEX('List of Leagues'!E:E, MATCH(AA50, 'List of Leagues'!F:F, 0)), 0)</f>
        <v>0</v>
      </c>
      <c r="AC50" t="s">
        <v>762</v>
      </c>
      <c r="AD50">
        <f>IFERROR(INDEX('List of Leagues'!E:E, MATCH(AC50, 'List of Leagues'!F:F, 0)), 0)</f>
        <v>0</v>
      </c>
      <c r="AE50" t="s">
        <v>762</v>
      </c>
      <c r="AF50">
        <f>IFERROR(INDEX('List of Leagues'!E:E, MATCH(AE50, 'List of Leagues'!F:F, 0)), 0)</f>
        <v>0</v>
      </c>
      <c r="AG50" t="s">
        <v>762</v>
      </c>
      <c r="AH50">
        <f>IFERROR(INDEX('List of Leagues'!E:E, MATCH(AG50, 'List of Leagues'!F:F, 0)), 0)</f>
        <v>0</v>
      </c>
      <c r="AI50">
        <f t="shared" si="4"/>
        <v>18.262499999999999</v>
      </c>
      <c r="AJ50" t="s">
        <v>203</v>
      </c>
      <c r="AK50">
        <f>IFERROR(INDEX('List of Leagues'!$E:$E, MATCH(AJ50, 'List of Leagues'!$F:$F, 0)), 0)</f>
        <v>76.8</v>
      </c>
      <c r="AL50" t="s">
        <v>178</v>
      </c>
      <c r="AM50">
        <f>IFERROR(INDEX('List of Leagues'!$E:$E, MATCH(AL50, 'List of Leagues'!$F:$F, 0)), 0)</f>
        <v>69.3</v>
      </c>
      <c r="AN50" t="s">
        <v>762</v>
      </c>
      <c r="AO50">
        <f>IFERROR(INDEX('List of Leagues'!$E:$E, MATCH(AN50, 'List of Leagues'!$F:$F, 0)), 0)</f>
        <v>0</v>
      </c>
      <c r="AP50" t="s">
        <v>762</v>
      </c>
      <c r="AQ50">
        <f>IFERROR(INDEX('List of Leagues'!$E:$E, MATCH(AP50, 'List of Leagues'!$F:$F, 0)), 0)</f>
        <v>0</v>
      </c>
      <c r="AR50" t="s">
        <v>762</v>
      </c>
      <c r="AS50">
        <f>IFERROR(INDEX('List of Leagues'!$E:$E, MATCH(AR50, 'List of Leagues'!$F:$F, 0)), 0)</f>
        <v>0</v>
      </c>
      <c r="AT50" t="s">
        <v>762</v>
      </c>
      <c r="AU50">
        <f>IFERROR(INDEX('List of Leagues'!$E:$E, MATCH(AT50, 'List of Leagues'!$F:$F, 0)), 0)</f>
        <v>0</v>
      </c>
      <c r="AV50">
        <f t="shared" si="1"/>
        <v>24.349999999999998</v>
      </c>
    </row>
    <row r="51" spans="1:48" x14ac:dyDescent="0.35">
      <c r="A51" t="s">
        <v>65</v>
      </c>
      <c r="B51">
        <v>43</v>
      </c>
      <c r="C51">
        <v>2015</v>
      </c>
      <c r="D51" t="s">
        <v>45</v>
      </c>
      <c r="E51" t="s">
        <v>10</v>
      </c>
      <c r="F51" t="s">
        <v>10</v>
      </c>
      <c r="G51" t="s">
        <v>149</v>
      </c>
      <c r="H51">
        <f t="shared" si="5"/>
        <v>81</v>
      </c>
      <c r="I51">
        <v>30</v>
      </c>
      <c r="J51">
        <v>20</v>
      </c>
      <c r="K51">
        <f>11+17+3</f>
        <v>31</v>
      </c>
      <c r="L51">
        <f t="shared" si="6"/>
        <v>110</v>
      </c>
      <c r="M51" s="1">
        <v>6885602</v>
      </c>
      <c r="N51">
        <v>3</v>
      </c>
      <c r="O51">
        <v>0</v>
      </c>
      <c r="P51">
        <v>6</v>
      </c>
      <c r="Q51">
        <f>IF(COUNTIF($A$2:A51, A51) &gt; 1, 1, 0)</f>
        <v>0</v>
      </c>
      <c r="R51" t="b">
        <v>1</v>
      </c>
      <c r="S51" t="s">
        <v>552</v>
      </c>
      <c r="T51">
        <f>IFERROR(INDEX('List of Leagues'!E:E, MATCH(S51, 'List of Leagues'!F:F, 0)), 0)</f>
        <v>58.4</v>
      </c>
      <c r="U51" t="s">
        <v>756</v>
      </c>
      <c r="V51">
        <f>IFERROR(INDEX('List of Leagues'!E:E, MATCH(U51, 'List of Leagues'!F:F, 0)), 0)</f>
        <v>76.8</v>
      </c>
      <c r="W51" t="s">
        <v>762</v>
      </c>
      <c r="X51">
        <f>IFERROR(INDEX('List of Leagues'!E:E, MATCH(W51, 'List of Leagues'!F:F, 0)), 0)</f>
        <v>0</v>
      </c>
      <c r="Y51" t="s">
        <v>762</v>
      </c>
      <c r="Z51">
        <f>IFERROR(INDEX('List of Leagues'!E:E, MATCH(Y51, 'List of Leagues'!F:F, 0)), 0)</f>
        <v>0</v>
      </c>
      <c r="AA51" t="s">
        <v>762</v>
      </c>
      <c r="AB51">
        <f>IFERROR(INDEX('List of Leagues'!E:E, MATCH(AA51, 'List of Leagues'!F:F, 0)), 0)</f>
        <v>0</v>
      </c>
      <c r="AC51" t="s">
        <v>762</v>
      </c>
      <c r="AD51">
        <f>IFERROR(INDEX('List of Leagues'!E:E, MATCH(AC51, 'List of Leagues'!F:F, 0)), 0)</f>
        <v>0</v>
      </c>
      <c r="AE51" t="s">
        <v>762</v>
      </c>
      <c r="AF51">
        <f>IFERROR(INDEX('List of Leagues'!E:E, MATCH(AE51, 'List of Leagues'!F:F, 0)), 0)</f>
        <v>0</v>
      </c>
      <c r="AG51" t="s">
        <v>762</v>
      </c>
      <c r="AH51">
        <f>IFERROR(INDEX('List of Leagues'!E:E, MATCH(AG51, 'List of Leagues'!F:F, 0)), 0)</f>
        <v>0</v>
      </c>
      <c r="AI51">
        <f t="shared" si="4"/>
        <v>16.899999999999999</v>
      </c>
      <c r="AJ51" t="s">
        <v>209</v>
      </c>
      <c r="AK51">
        <f>IFERROR(INDEX('List of Leagues'!$E:$E, MATCH(AJ51, 'List of Leagues'!$F:$F, 0)), 0)</f>
        <v>60.6</v>
      </c>
      <c r="AL51" t="s">
        <v>185</v>
      </c>
      <c r="AM51">
        <f>IFERROR(INDEX('List of Leagues'!$E:$E, MATCH(AL51, 'List of Leagues'!$F:$F, 0)), 0)</f>
        <v>75.400000000000006</v>
      </c>
      <c r="AN51" t="s">
        <v>197</v>
      </c>
      <c r="AO51">
        <f>IFERROR(INDEX('List of Leagues'!$E:$E, MATCH(AN51, 'List of Leagues'!$F:$F, 0)), 0)</f>
        <v>78.400000000000006</v>
      </c>
      <c r="AP51" t="s">
        <v>762</v>
      </c>
      <c r="AQ51">
        <f>IFERROR(INDEX('List of Leagues'!$E:$E, MATCH(AP51, 'List of Leagues'!$F:$F, 0)), 0)</f>
        <v>0</v>
      </c>
      <c r="AR51" t="s">
        <v>762</v>
      </c>
      <c r="AS51">
        <f>IFERROR(INDEX('List of Leagues'!$E:$E, MATCH(AR51, 'List of Leagues'!$F:$F, 0)), 0)</f>
        <v>0</v>
      </c>
      <c r="AT51" t="s">
        <v>762</v>
      </c>
      <c r="AU51">
        <f>IFERROR(INDEX('List of Leagues'!$E:$E, MATCH(AT51, 'List of Leagues'!$F:$F, 0)), 0)</f>
        <v>0</v>
      </c>
      <c r="AV51">
        <f t="shared" si="1"/>
        <v>35.733333333333334</v>
      </c>
    </row>
    <row r="52" spans="1:48" x14ac:dyDescent="0.35">
      <c r="A52" t="s">
        <v>63</v>
      </c>
      <c r="B52">
        <v>49</v>
      </c>
      <c r="C52">
        <v>2015</v>
      </c>
      <c r="D52" t="s">
        <v>64</v>
      </c>
      <c r="E52" t="s">
        <v>10</v>
      </c>
      <c r="F52" t="s">
        <v>10</v>
      </c>
      <c r="G52" t="s">
        <v>157</v>
      </c>
      <c r="H52">
        <f t="shared" si="5"/>
        <v>46</v>
      </c>
      <c r="I52">
        <v>14</v>
      </c>
      <c r="J52">
        <v>11</v>
      </c>
      <c r="K52">
        <v>21</v>
      </c>
      <c r="L52">
        <f t="shared" si="6"/>
        <v>53</v>
      </c>
      <c r="M52" s="2">
        <v>5598063.5</v>
      </c>
      <c r="N52">
        <v>2</v>
      </c>
      <c r="O52">
        <v>11</v>
      </c>
      <c r="P52">
        <v>1</v>
      </c>
      <c r="Q52">
        <f>IF(COUNTIF($A$2:A52, A52) &gt; 1, 1, 0)</f>
        <v>0</v>
      </c>
      <c r="R52" t="b">
        <v>1</v>
      </c>
      <c r="S52" t="s">
        <v>751</v>
      </c>
      <c r="T52">
        <f>IFERROR(INDEX('List of Leagues'!E:E, MATCH(S52, 'List of Leagues'!F:F, 0)), 0)</f>
        <v>68.400000000000006</v>
      </c>
      <c r="U52" t="s">
        <v>756</v>
      </c>
      <c r="V52">
        <f>IFERROR(INDEX('List of Leagues'!E:E, MATCH(U52, 'List of Leagues'!F:F, 0)), 0)</f>
        <v>76.8</v>
      </c>
      <c r="W52" t="s">
        <v>756</v>
      </c>
      <c r="X52">
        <f>IFERROR(INDEX('List of Leagues'!E:E, MATCH(W52, 'List of Leagues'!F:F, 0)), 0)</f>
        <v>76.8</v>
      </c>
      <c r="Y52" t="s">
        <v>762</v>
      </c>
      <c r="Z52">
        <f>IFERROR(INDEX('List of Leagues'!E:E, MATCH(Y52, 'List of Leagues'!F:F, 0)), 0)</f>
        <v>0</v>
      </c>
      <c r="AA52" t="s">
        <v>762</v>
      </c>
      <c r="AB52">
        <f>IFERROR(INDEX('List of Leagues'!E:E, MATCH(AA52, 'List of Leagues'!F:F, 0)), 0)</f>
        <v>0</v>
      </c>
      <c r="AC52" t="s">
        <v>762</v>
      </c>
      <c r="AD52">
        <f>IFERROR(INDEX('List of Leagues'!E:E, MATCH(AC52, 'List of Leagues'!F:F, 0)), 0)</f>
        <v>0</v>
      </c>
      <c r="AE52" t="s">
        <v>762</v>
      </c>
      <c r="AF52">
        <f>IFERROR(INDEX('List of Leagues'!E:E, MATCH(AE52, 'List of Leagues'!F:F, 0)), 0)</f>
        <v>0</v>
      </c>
      <c r="AG52" t="s">
        <v>762</v>
      </c>
      <c r="AH52">
        <f>IFERROR(INDEX('List of Leagues'!E:E, MATCH(AG52, 'List of Leagues'!F:F, 0)), 0)</f>
        <v>0</v>
      </c>
      <c r="AI52">
        <f t="shared" si="4"/>
        <v>27.75</v>
      </c>
      <c r="AJ52" t="s">
        <v>187</v>
      </c>
      <c r="AK52">
        <f>IFERROR(INDEX('List of Leagues'!$E:$E, MATCH(AJ52, 'List of Leagues'!$F:$F, 0)), 0)</f>
        <v>58.4</v>
      </c>
      <c r="AL52" t="s">
        <v>762</v>
      </c>
      <c r="AM52">
        <f>IFERROR(INDEX('List of Leagues'!$E:$E, MATCH(AL52, 'List of Leagues'!$F:$F, 0)), 0)</f>
        <v>0</v>
      </c>
      <c r="AN52" t="s">
        <v>762</v>
      </c>
      <c r="AO52">
        <f>IFERROR(INDEX('List of Leagues'!$E:$E, MATCH(AN52, 'List of Leagues'!$F:$F, 0)), 0)</f>
        <v>0</v>
      </c>
      <c r="AP52" t="s">
        <v>762</v>
      </c>
      <c r="AQ52">
        <f>IFERROR(INDEX('List of Leagues'!$E:$E, MATCH(AP52, 'List of Leagues'!$F:$F, 0)), 0)</f>
        <v>0</v>
      </c>
      <c r="AR52" t="s">
        <v>762</v>
      </c>
      <c r="AS52">
        <f>IFERROR(INDEX('List of Leagues'!$E:$E, MATCH(AR52, 'List of Leagues'!$F:$F, 0)), 0)</f>
        <v>0</v>
      </c>
      <c r="AT52" t="s">
        <v>762</v>
      </c>
      <c r="AU52">
        <f>IFERROR(INDEX('List of Leagues'!$E:$E, MATCH(AT52, 'List of Leagues'!$F:$F, 0)), 0)</f>
        <v>0</v>
      </c>
      <c r="AV52">
        <f t="shared" si="1"/>
        <v>9.7333333333333325</v>
      </c>
    </row>
    <row r="53" spans="1:48" x14ac:dyDescent="0.35">
      <c r="A53" t="s">
        <v>110</v>
      </c>
      <c r="B53">
        <v>54</v>
      </c>
      <c r="C53">
        <v>2016</v>
      </c>
      <c r="D53" t="s">
        <v>26</v>
      </c>
      <c r="E53" t="s">
        <v>10</v>
      </c>
      <c r="F53" t="s">
        <v>10</v>
      </c>
      <c r="G53" t="s">
        <v>136</v>
      </c>
      <c r="H53">
        <f t="shared" si="5"/>
        <v>245</v>
      </c>
      <c r="I53">
        <f>14+18+16+11+17+12+14+12</f>
        <v>114</v>
      </c>
      <c r="J53">
        <f>11+5+9+6+8+5+11+4</f>
        <v>59</v>
      </c>
      <c r="K53">
        <f>9+17+8+5+10+11+9+3</f>
        <v>72</v>
      </c>
      <c r="L53">
        <f t="shared" si="6"/>
        <v>401</v>
      </c>
      <c r="M53" s="2">
        <v>14485571.625</v>
      </c>
      <c r="N53">
        <v>7</v>
      </c>
      <c r="O53">
        <v>5</v>
      </c>
      <c r="P53">
        <v>9</v>
      </c>
      <c r="Q53">
        <f>IF(COUNTIF($A$2:A53, A53) &gt; 1, 1, 0)</f>
        <v>0</v>
      </c>
      <c r="R53" t="b">
        <v>1</v>
      </c>
      <c r="S53" t="s">
        <v>187</v>
      </c>
      <c r="T53">
        <f>IFERROR(INDEX('List of Leagues'!E:E, MATCH(S53, 'List of Leagues'!F:F, 0)), 0)</f>
        <v>58.4</v>
      </c>
      <c r="U53" t="s">
        <v>763</v>
      </c>
      <c r="V53">
        <f>IFERROR(INDEX('List of Leagues'!E:E, MATCH(U53, 'List of Leagues'!F:F, 0)), 0)</f>
        <v>0</v>
      </c>
      <c r="W53" t="s">
        <v>762</v>
      </c>
      <c r="X53">
        <f>IFERROR(INDEX('List of Leagues'!E:E, MATCH(W53, 'List of Leagues'!F:F, 0)), 0)</f>
        <v>0</v>
      </c>
      <c r="Y53" t="s">
        <v>762</v>
      </c>
      <c r="Z53">
        <f>IFERROR(INDEX('List of Leagues'!E:E, MATCH(Y53, 'List of Leagues'!F:F, 0)), 0)</f>
        <v>0</v>
      </c>
      <c r="AA53" t="s">
        <v>762</v>
      </c>
      <c r="AB53">
        <f>IFERROR(INDEX('List of Leagues'!E:E, MATCH(AA53, 'List of Leagues'!F:F, 0)), 0)</f>
        <v>0</v>
      </c>
      <c r="AC53" t="s">
        <v>762</v>
      </c>
      <c r="AD53">
        <f>IFERROR(INDEX('List of Leagues'!E:E, MATCH(AC53, 'List of Leagues'!F:F, 0)), 0)</f>
        <v>0</v>
      </c>
      <c r="AE53" t="s">
        <v>762</v>
      </c>
      <c r="AF53">
        <f>IFERROR(INDEX('List of Leagues'!E:E, MATCH(AE53, 'List of Leagues'!F:F, 0)), 0)</f>
        <v>0</v>
      </c>
      <c r="AG53" t="s">
        <v>762</v>
      </c>
      <c r="AH53">
        <f>IFERROR(INDEX('List of Leagues'!E:E, MATCH(AG53, 'List of Leagues'!F:F, 0)), 0)</f>
        <v>0</v>
      </c>
      <c r="AI53">
        <f t="shared" si="4"/>
        <v>7.3</v>
      </c>
      <c r="AJ53" t="s">
        <v>178</v>
      </c>
      <c r="AK53">
        <f>IFERROR(INDEX('List of Leagues'!$E:$E, MATCH(AJ53, 'List of Leagues'!$F:$F, 0)), 0)</f>
        <v>69.3</v>
      </c>
      <c r="AL53" t="s">
        <v>762</v>
      </c>
      <c r="AM53">
        <f>IFERROR(INDEX('List of Leagues'!$E:$E, MATCH(AL53, 'List of Leagues'!$F:$F, 0)), 0)</f>
        <v>0</v>
      </c>
      <c r="AN53" t="s">
        <v>762</v>
      </c>
      <c r="AO53">
        <f>IFERROR(INDEX('List of Leagues'!$E:$E, MATCH(AN53, 'List of Leagues'!$F:$F, 0)), 0)</f>
        <v>0</v>
      </c>
      <c r="AP53" t="s">
        <v>762</v>
      </c>
      <c r="AQ53">
        <f>IFERROR(INDEX('List of Leagues'!$E:$E, MATCH(AP53, 'List of Leagues'!$F:$F, 0)), 0)</f>
        <v>0</v>
      </c>
      <c r="AR53" t="s">
        <v>762</v>
      </c>
      <c r="AS53">
        <f>IFERROR(INDEX('List of Leagues'!$E:$E, MATCH(AR53, 'List of Leagues'!$F:$F, 0)), 0)</f>
        <v>0</v>
      </c>
      <c r="AT53" t="s">
        <v>762</v>
      </c>
      <c r="AU53">
        <f>IFERROR(INDEX('List of Leagues'!$E:$E, MATCH(AT53, 'List of Leagues'!$F:$F, 0)), 0)</f>
        <v>0</v>
      </c>
      <c r="AV53">
        <f t="shared" si="1"/>
        <v>11.549999999999999</v>
      </c>
    </row>
    <row r="54" spans="1:48" x14ac:dyDescent="0.35">
      <c r="A54" t="s">
        <v>66</v>
      </c>
      <c r="B54">
        <v>43</v>
      </c>
      <c r="C54">
        <v>2016</v>
      </c>
      <c r="D54" t="s">
        <v>68</v>
      </c>
      <c r="E54" t="s">
        <v>10</v>
      </c>
      <c r="F54" t="s">
        <v>10</v>
      </c>
      <c r="G54" t="s">
        <v>136</v>
      </c>
      <c r="H54">
        <f t="shared" si="5"/>
        <v>44</v>
      </c>
      <c r="I54">
        <v>14</v>
      </c>
      <c r="J54">
        <v>11</v>
      </c>
      <c r="K54">
        <v>19</v>
      </c>
      <c r="L54">
        <f t="shared" si="6"/>
        <v>53</v>
      </c>
      <c r="M54" s="2">
        <v>12206792.666666666</v>
      </c>
      <c r="N54">
        <v>2</v>
      </c>
      <c r="O54">
        <v>8</v>
      </c>
      <c r="P54">
        <v>0</v>
      </c>
      <c r="Q54">
        <f>IF(COUNTIF($A$2:A54, A54) &gt; 1, 1, 0)</f>
        <v>1</v>
      </c>
      <c r="R54" t="b">
        <v>1</v>
      </c>
      <c r="S54" t="s">
        <v>552</v>
      </c>
      <c r="T54">
        <f>IFERROR(INDEX('List of Leagues'!E:E, MATCH(S54, 'List of Leagues'!F:F, 0)), 0)</f>
        <v>58.4</v>
      </c>
      <c r="U54" t="s">
        <v>178</v>
      </c>
      <c r="V54">
        <f>IFERROR(INDEX('List of Leagues'!E:E, MATCH(U54, 'List of Leagues'!F:F, 0)), 0)</f>
        <v>69.3</v>
      </c>
      <c r="W54" t="s">
        <v>762</v>
      </c>
      <c r="X54">
        <f>IFERROR(INDEX('List of Leagues'!E:E, MATCH(W54, 'List of Leagues'!F:F, 0)), 0)</f>
        <v>0</v>
      </c>
      <c r="Y54" t="s">
        <v>762</v>
      </c>
      <c r="Z54">
        <f>IFERROR(INDEX('List of Leagues'!E:E, MATCH(Y54, 'List of Leagues'!F:F, 0)), 0)</f>
        <v>0</v>
      </c>
      <c r="AA54" t="s">
        <v>762</v>
      </c>
      <c r="AB54">
        <f>IFERROR(INDEX('List of Leagues'!E:E, MATCH(AA54, 'List of Leagues'!F:F, 0)), 0)</f>
        <v>0</v>
      </c>
      <c r="AC54" t="s">
        <v>762</v>
      </c>
      <c r="AD54">
        <f>IFERROR(INDEX('List of Leagues'!E:E, MATCH(AC54, 'List of Leagues'!F:F, 0)), 0)</f>
        <v>0</v>
      </c>
      <c r="AE54" t="s">
        <v>762</v>
      </c>
      <c r="AF54">
        <f>IFERROR(INDEX('List of Leagues'!E:E, MATCH(AE54, 'List of Leagues'!F:F, 0)), 0)</f>
        <v>0</v>
      </c>
      <c r="AG54" t="s">
        <v>762</v>
      </c>
      <c r="AH54">
        <f>IFERROR(INDEX('List of Leagues'!E:E, MATCH(AG54, 'List of Leagues'!F:F, 0)), 0)</f>
        <v>0</v>
      </c>
      <c r="AI54">
        <f t="shared" si="4"/>
        <v>15.962499999999999</v>
      </c>
      <c r="AJ54" t="s">
        <v>178</v>
      </c>
      <c r="AK54">
        <f>IFERROR(INDEX('List of Leagues'!$E:$E, MATCH(AJ54, 'List of Leagues'!$F:$F, 0)), 0)</f>
        <v>69.3</v>
      </c>
      <c r="AL54" t="s">
        <v>762</v>
      </c>
      <c r="AM54">
        <f>IFERROR(INDEX('List of Leagues'!$E:$E, MATCH(AL54, 'List of Leagues'!$F:$F, 0)), 0)</f>
        <v>0</v>
      </c>
      <c r="AN54" t="s">
        <v>762</v>
      </c>
      <c r="AO54">
        <f>IFERROR(INDEX('List of Leagues'!$E:$E, MATCH(AN54, 'List of Leagues'!$F:$F, 0)), 0)</f>
        <v>0</v>
      </c>
      <c r="AP54" t="s">
        <v>762</v>
      </c>
      <c r="AQ54">
        <f>IFERROR(INDEX('List of Leagues'!$E:$E, MATCH(AP54, 'List of Leagues'!$F:$F, 0)), 0)</f>
        <v>0</v>
      </c>
      <c r="AR54" t="s">
        <v>762</v>
      </c>
      <c r="AS54">
        <f>IFERROR(INDEX('List of Leagues'!$E:$E, MATCH(AR54, 'List of Leagues'!$F:$F, 0)), 0)</f>
        <v>0</v>
      </c>
      <c r="AT54" t="s">
        <v>762</v>
      </c>
      <c r="AU54">
        <f>IFERROR(INDEX('List of Leagues'!$E:$E, MATCH(AT54, 'List of Leagues'!$F:$F, 0)), 0)</f>
        <v>0</v>
      </c>
      <c r="AV54">
        <f t="shared" si="1"/>
        <v>11.549999999999999</v>
      </c>
    </row>
    <row r="55" spans="1:48" x14ac:dyDescent="0.35">
      <c r="A55" t="s">
        <v>70</v>
      </c>
      <c r="B55">
        <v>40</v>
      </c>
      <c r="C55">
        <v>2016</v>
      </c>
      <c r="D55" t="s">
        <v>195</v>
      </c>
      <c r="E55" t="s">
        <v>6</v>
      </c>
      <c r="F55" t="s">
        <v>131</v>
      </c>
      <c r="G55" t="s">
        <v>158</v>
      </c>
      <c r="H55">
        <f t="shared" si="5"/>
        <v>83</v>
      </c>
      <c r="I55">
        <v>39</v>
      </c>
      <c r="J55">
        <v>22</v>
      </c>
      <c r="K55">
        <v>22</v>
      </c>
      <c r="L55">
        <f t="shared" si="6"/>
        <v>139</v>
      </c>
      <c r="M55" s="2">
        <v>18147768</v>
      </c>
      <c r="N55">
        <v>2</v>
      </c>
      <c r="O55">
        <v>2</v>
      </c>
      <c r="P55">
        <v>0</v>
      </c>
      <c r="Q55">
        <f>IF(COUNTIF($A$2:A55, A55) &gt; 1, 1, 0)</f>
        <v>0</v>
      </c>
      <c r="R55" t="b">
        <v>1</v>
      </c>
      <c r="S55" t="s">
        <v>184</v>
      </c>
      <c r="T55">
        <f>IFERROR(INDEX('List of Leagues'!E:E, MATCH(S55, 'List of Leagues'!F:F, 0)), 0)</f>
        <v>93.8</v>
      </c>
      <c r="U55" t="s">
        <v>529</v>
      </c>
      <c r="V55">
        <f>IFERROR(INDEX('List of Leagues'!E:E, MATCH(U55, 'List of Leagues'!F:F, 0)), 0)</f>
        <v>89.5</v>
      </c>
      <c r="W55" t="s">
        <v>750</v>
      </c>
      <c r="X55">
        <f>IFERROR(INDEX('List of Leagues'!E:E, MATCH(W55, 'List of Leagues'!F:F, 0)), 0)</f>
        <v>0</v>
      </c>
      <c r="Y55" t="s">
        <v>762</v>
      </c>
      <c r="Z55">
        <f>IFERROR(INDEX('List of Leagues'!E:E, MATCH(Y55, 'List of Leagues'!F:F, 0)), 0)</f>
        <v>0</v>
      </c>
      <c r="AA55" t="s">
        <v>762</v>
      </c>
      <c r="AB55">
        <f>IFERROR(INDEX('List of Leagues'!E:E, MATCH(AA55, 'List of Leagues'!F:F, 0)), 0)</f>
        <v>0</v>
      </c>
      <c r="AC55" t="s">
        <v>762</v>
      </c>
      <c r="AD55">
        <f>IFERROR(INDEX('List of Leagues'!E:E, MATCH(AC55, 'List of Leagues'!F:F, 0)), 0)</f>
        <v>0</v>
      </c>
      <c r="AE55" t="s">
        <v>762</v>
      </c>
      <c r="AF55">
        <f>IFERROR(INDEX('List of Leagues'!E:E, MATCH(AE55, 'List of Leagues'!F:F, 0)), 0)</f>
        <v>0</v>
      </c>
      <c r="AG55" t="s">
        <v>762</v>
      </c>
      <c r="AH55">
        <f>IFERROR(INDEX('List of Leagues'!E:E, MATCH(AG55, 'List of Leagues'!F:F, 0)), 0)</f>
        <v>0</v>
      </c>
      <c r="AI55">
        <f t="shared" si="4"/>
        <v>22.912500000000001</v>
      </c>
      <c r="AJ55" t="s">
        <v>177</v>
      </c>
      <c r="AK55">
        <f>IFERROR(INDEX('List of Leagues'!$E:$E, MATCH(AJ55, 'List of Leagues'!$F:$F, 0)), 0)</f>
        <v>0</v>
      </c>
      <c r="AL55" t="s">
        <v>762</v>
      </c>
      <c r="AM55">
        <f>IFERROR(INDEX('List of Leagues'!$E:$E, MATCH(AL55, 'List of Leagues'!$F:$F, 0)), 0)</f>
        <v>0</v>
      </c>
      <c r="AN55" t="s">
        <v>762</v>
      </c>
      <c r="AO55">
        <f>IFERROR(INDEX('List of Leagues'!$E:$E, MATCH(AN55, 'List of Leagues'!$F:$F, 0)), 0)</f>
        <v>0</v>
      </c>
      <c r="AP55" t="s">
        <v>762</v>
      </c>
      <c r="AQ55">
        <f>IFERROR(INDEX('List of Leagues'!$E:$E, MATCH(AP55, 'List of Leagues'!$F:$F, 0)), 0)</f>
        <v>0</v>
      </c>
      <c r="AR55" t="s">
        <v>762</v>
      </c>
      <c r="AS55">
        <f>IFERROR(INDEX('List of Leagues'!$E:$E, MATCH(AR55, 'List of Leagues'!$F:$F, 0)), 0)</f>
        <v>0</v>
      </c>
      <c r="AT55" t="s">
        <v>762</v>
      </c>
      <c r="AU55">
        <f>IFERROR(INDEX('List of Leagues'!$E:$E, MATCH(AT55, 'List of Leagues'!$F:$F, 0)), 0)</f>
        <v>0</v>
      </c>
      <c r="AV55">
        <f t="shared" si="1"/>
        <v>0</v>
      </c>
    </row>
    <row r="56" spans="1:48" x14ac:dyDescent="0.35">
      <c r="A56" t="s">
        <v>111</v>
      </c>
      <c r="B56">
        <v>39</v>
      </c>
      <c r="C56">
        <v>2016</v>
      </c>
      <c r="D56" t="s">
        <v>5</v>
      </c>
      <c r="E56" t="s">
        <v>10</v>
      </c>
      <c r="F56" t="s">
        <v>10</v>
      </c>
      <c r="G56" t="s">
        <v>143</v>
      </c>
      <c r="H56">
        <f t="shared" si="5"/>
        <v>170</v>
      </c>
      <c r="I56">
        <f>8+7+16+8+10</f>
        <v>49</v>
      </c>
      <c r="J56">
        <f>12+8+7+10+6</f>
        <v>43</v>
      </c>
      <c r="K56">
        <f>12+18+11+17+20</f>
        <v>78</v>
      </c>
      <c r="L56">
        <f t="shared" si="6"/>
        <v>190</v>
      </c>
      <c r="M56" s="2">
        <f>AVERAGE(6350568, 13089574, 16250404)</f>
        <v>11896848.666666666</v>
      </c>
      <c r="N56">
        <v>4</v>
      </c>
      <c r="O56">
        <v>4</v>
      </c>
      <c r="P56">
        <v>0</v>
      </c>
      <c r="Q56">
        <f>IF(COUNTIF($A$2:A56, A56) &gt; 1, 1, 0)</f>
        <v>0</v>
      </c>
      <c r="R56" t="b">
        <v>1</v>
      </c>
      <c r="S56" t="s">
        <v>551</v>
      </c>
      <c r="T56">
        <f>IFERROR(INDEX('List of Leagues'!E:E, MATCH(S56, 'List of Leagues'!F:F, 0)), 0)</f>
        <v>70.900000000000006</v>
      </c>
      <c r="U56" t="s">
        <v>538</v>
      </c>
      <c r="V56">
        <f>IFERROR(INDEX('List of Leagues'!E:E, MATCH(U56, 'List of Leagues'!F:F, 0)), 0)</f>
        <v>77.3</v>
      </c>
      <c r="W56" t="s">
        <v>756</v>
      </c>
      <c r="X56">
        <f>IFERROR(INDEX('List of Leagues'!E:E, MATCH(W56, 'List of Leagues'!F:F, 0)), 0)</f>
        <v>76.8</v>
      </c>
      <c r="Y56" t="s">
        <v>178</v>
      </c>
      <c r="Z56">
        <f>IFERROR(INDEX('List of Leagues'!E:E, MATCH(Y56, 'List of Leagues'!F:F, 0)), 0)</f>
        <v>69.3</v>
      </c>
      <c r="AA56" t="s">
        <v>535</v>
      </c>
      <c r="AB56">
        <f>IFERROR(INDEX('List of Leagues'!E:E, MATCH(AA56, 'List of Leagues'!F:F, 0)), 0)</f>
        <v>79.8</v>
      </c>
      <c r="AC56" t="s">
        <v>756</v>
      </c>
      <c r="AD56">
        <f>IFERROR(INDEX('List of Leagues'!E:E, MATCH(AC56, 'List of Leagues'!F:F, 0)), 0)</f>
        <v>76.8</v>
      </c>
      <c r="AE56" t="s">
        <v>762</v>
      </c>
      <c r="AF56">
        <f>IFERROR(INDEX('List of Leagues'!E:E, MATCH(AE56, 'List of Leagues'!F:F, 0)), 0)</f>
        <v>0</v>
      </c>
      <c r="AG56" t="s">
        <v>762</v>
      </c>
      <c r="AH56">
        <f>IFERROR(INDEX('List of Leagues'!E:E, MATCH(AG56, 'List of Leagues'!F:F, 0)), 0)</f>
        <v>0</v>
      </c>
      <c r="AI56">
        <f t="shared" si="4"/>
        <v>56.362500000000004</v>
      </c>
      <c r="AJ56" t="s">
        <v>177</v>
      </c>
      <c r="AK56">
        <f>IFERROR(INDEX('List of Leagues'!$E:$E, MATCH(AJ56, 'List of Leagues'!$F:$F, 0)), 0)</f>
        <v>0</v>
      </c>
      <c r="AL56" t="s">
        <v>762</v>
      </c>
      <c r="AM56">
        <f>IFERROR(INDEX('List of Leagues'!$E:$E, MATCH(AL56, 'List of Leagues'!$F:$F, 0)), 0)</f>
        <v>0</v>
      </c>
      <c r="AN56" t="s">
        <v>762</v>
      </c>
      <c r="AO56">
        <f>IFERROR(INDEX('List of Leagues'!$E:$E, MATCH(AN56, 'List of Leagues'!$F:$F, 0)), 0)</f>
        <v>0</v>
      </c>
      <c r="AP56" t="s">
        <v>762</v>
      </c>
      <c r="AQ56">
        <f>IFERROR(INDEX('List of Leagues'!$E:$E, MATCH(AP56, 'List of Leagues'!$F:$F, 0)), 0)</f>
        <v>0</v>
      </c>
      <c r="AR56" t="s">
        <v>762</v>
      </c>
      <c r="AS56">
        <f>IFERROR(INDEX('List of Leagues'!$E:$E, MATCH(AR56, 'List of Leagues'!$F:$F, 0)), 0)</f>
        <v>0</v>
      </c>
      <c r="AT56" t="s">
        <v>762</v>
      </c>
      <c r="AU56">
        <f>IFERROR(INDEX('List of Leagues'!$E:$E, MATCH(AT56, 'List of Leagues'!$F:$F, 0)), 0)</f>
        <v>0</v>
      </c>
      <c r="AV56">
        <f t="shared" si="1"/>
        <v>0</v>
      </c>
    </row>
    <row r="57" spans="1:48" x14ac:dyDescent="0.35">
      <c r="A57" t="s">
        <v>67</v>
      </c>
      <c r="B57">
        <v>56</v>
      </c>
      <c r="C57">
        <v>2017</v>
      </c>
      <c r="D57" t="s">
        <v>74</v>
      </c>
      <c r="E57" t="s">
        <v>10</v>
      </c>
      <c r="F57" t="s">
        <v>10</v>
      </c>
      <c r="G57" t="s">
        <v>147</v>
      </c>
      <c r="H57">
        <f t="shared" si="5"/>
        <v>225</v>
      </c>
      <c r="I57">
        <f>10+11+15+9+13+14+10</f>
        <v>82</v>
      </c>
      <c r="J57">
        <f>6+3+8+7+10+6+11</f>
        <v>51</v>
      </c>
      <c r="K57">
        <f>13+14+11+5+11+20+18</f>
        <v>92</v>
      </c>
      <c r="L57">
        <f t="shared" si="6"/>
        <v>297</v>
      </c>
      <c r="M57" s="2">
        <v>11603216.285714285</v>
      </c>
      <c r="N57">
        <v>7</v>
      </c>
      <c r="O57">
        <v>11</v>
      </c>
      <c r="P57">
        <v>4</v>
      </c>
      <c r="Q57">
        <f>IF(COUNTIF($A$2:A57, A57) &gt; 1, 1, 0)</f>
        <v>1</v>
      </c>
      <c r="R57" t="b">
        <v>1</v>
      </c>
      <c r="S57" t="s">
        <v>185</v>
      </c>
      <c r="T57">
        <f>IFERROR(INDEX('List of Leagues'!E:E, MATCH(S57, 'List of Leagues'!F:F, 0)), 0)</f>
        <v>75.400000000000006</v>
      </c>
      <c r="U57" t="s">
        <v>538</v>
      </c>
      <c r="V57">
        <f>IFERROR(INDEX('List of Leagues'!E:E, MATCH(U57, 'List of Leagues'!F:F, 0)), 0)</f>
        <v>77.3</v>
      </c>
      <c r="W57" t="s">
        <v>670</v>
      </c>
      <c r="X57">
        <f>IFERROR(INDEX('List of Leagues'!E:E, MATCH(W57, 'List of Leagues'!F:F, 0)), 0)</f>
        <v>62.4</v>
      </c>
      <c r="Y57" t="s">
        <v>762</v>
      </c>
      <c r="Z57">
        <f>IFERROR(INDEX('List of Leagues'!E:E, MATCH(Y57, 'List of Leagues'!F:F, 0)), 0)</f>
        <v>0</v>
      </c>
      <c r="AA57" t="s">
        <v>762</v>
      </c>
      <c r="AB57">
        <f>IFERROR(INDEX('List of Leagues'!E:E, MATCH(AA57, 'List of Leagues'!F:F, 0)), 0)</f>
        <v>0</v>
      </c>
      <c r="AC57" t="s">
        <v>762</v>
      </c>
      <c r="AD57">
        <f>IFERROR(INDEX('List of Leagues'!E:E, MATCH(AC57, 'List of Leagues'!F:F, 0)), 0)</f>
        <v>0</v>
      </c>
      <c r="AE57" t="s">
        <v>762</v>
      </c>
      <c r="AF57">
        <f>IFERROR(INDEX('List of Leagues'!E:E, MATCH(AE57, 'List of Leagues'!F:F, 0)), 0)</f>
        <v>0</v>
      </c>
      <c r="AG57" t="s">
        <v>762</v>
      </c>
      <c r="AH57">
        <f>IFERROR(INDEX('List of Leagues'!E:E, MATCH(AG57, 'List of Leagues'!F:F, 0)), 0)</f>
        <v>0</v>
      </c>
      <c r="AI57">
        <f t="shared" si="4"/>
        <v>26.887499999999999</v>
      </c>
      <c r="AJ57" t="s">
        <v>177</v>
      </c>
      <c r="AK57">
        <f>IFERROR(INDEX('List of Leagues'!$E:$E, MATCH(AJ57, 'List of Leagues'!$F:$F, 0)), 0)</f>
        <v>0</v>
      </c>
      <c r="AL57" t="s">
        <v>762</v>
      </c>
      <c r="AM57">
        <f>IFERROR(INDEX('List of Leagues'!$E:$E, MATCH(AL57, 'List of Leagues'!$F:$F, 0)), 0)</f>
        <v>0</v>
      </c>
      <c r="AN57" t="s">
        <v>762</v>
      </c>
      <c r="AO57">
        <f>IFERROR(INDEX('List of Leagues'!$E:$E, MATCH(AN57, 'List of Leagues'!$F:$F, 0)), 0)</f>
        <v>0</v>
      </c>
      <c r="AP57" t="s">
        <v>762</v>
      </c>
      <c r="AQ57">
        <f>IFERROR(INDEX('List of Leagues'!$E:$E, MATCH(AP57, 'List of Leagues'!$F:$F, 0)), 0)</f>
        <v>0</v>
      </c>
      <c r="AR57" t="s">
        <v>762</v>
      </c>
      <c r="AS57">
        <f>IFERROR(INDEX('List of Leagues'!$E:$E, MATCH(AR57, 'List of Leagues'!$F:$F, 0)), 0)</f>
        <v>0</v>
      </c>
      <c r="AT57" t="s">
        <v>762</v>
      </c>
      <c r="AU57">
        <f>IFERROR(INDEX('List of Leagues'!$E:$E, MATCH(AT57, 'List of Leagues'!$F:$F, 0)), 0)</f>
        <v>0</v>
      </c>
      <c r="AV57">
        <f t="shared" si="1"/>
        <v>0</v>
      </c>
    </row>
    <row r="58" spans="1:48" x14ac:dyDescent="0.35">
      <c r="A58" t="s">
        <v>76</v>
      </c>
      <c r="B58">
        <v>46</v>
      </c>
      <c r="C58">
        <v>2017</v>
      </c>
      <c r="D58" t="s">
        <v>197</v>
      </c>
      <c r="E58" t="s">
        <v>10</v>
      </c>
      <c r="F58" t="s">
        <v>10</v>
      </c>
      <c r="G58" t="s">
        <v>136</v>
      </c>
      <c r="H58">
        <f t="shared" si="5"/>
        <v>46</v>
      </c>
      <c r="I58">
        <v>12</v>
      </c>
      <c r="J58">
        <v>13</v>
      </c>
      <c r="K58">
        <v>21</v>
      </c>
      <c r="L58">
        <f t="shared" si="6"/>
        <v>49</v>
      </c>
      <c r="M58" s="2">
        <f>AVERAGE(8479336, 7496217, 11083217)</f>
        <v>9019590</v>
      </c>
      <c r="N58">
        <v>2</v>
      </c>
      <c r="O58">
        <v>2</v>
      </c>
      <c r="P58">
        <v>0</v>
      </c>
      <c r="Q58">
        <f>IF(COUNTIF($A$2:A58, A58) &gt; 1, 1, 0)</f>
        <v>0</v>
      </c>
      <c r="R58" t="b">
        <v>1</v>
      </c>
      <c r="S58" t="s">
        <v>185</v>
      </c>
      <c r="T58">
        <f>IFERROR(INDEX('List of Leagues'!E:E, MATCH(S58, 'List of Leagues'!F:F, 0)), 0)</f>
        <v>75.400000000000006</v>
      </c>
      <c r="U58" t="s">
        <v>184</v>
      </c>
      <c r="V58">
        <f>IFERROR(INDEX('List of Leagues'!E:E, MATCH(U58, 'List of Leagues'!F:F, 0)), 0)</f>
        <v>93.8</v>
      </c>
      <c r="W58" t="s">
        <v>542</v>
      </c>
      <c r="X58">
        <f>IFERROR(INDEX('List of Leagues'!E:E, MATCH(W58, 'List of Leagues'!F:F, 0)), 0)</f>
        <v>90.3</v>
      </c>
      <c r="Y58" t="s">
        <v>178</v>
      </c>
      <c r="Z58">
        <f>IFERROR(INDEX('List of Leagues'!E:E, MATCH(Y58, 'List of Leagues'!F:F, 0)), 0)</f>
        <v>69.3</v>
      </c>
      <c r="AA58" t="s">
        <v>756</v>
      </c>
      <c r="AB58">
        <f>IFERROR(INDEX('List of Leagues'!E:E, MATCH(AA58, 'List of Leagues'!F:F, 0)), 0)</f>
        <v>76.8</v>
      </c>
      <c r="AC58" t="s">
        <v>762</v>
      </c>
      <c r="AD58">
        <f>IFERROR(INDEX('List of Leagues'!E:E, MATCH(AC58, 'List of Leagues'!F:F, 0)), 0)</f>
        <v>0</v>
      </c>
      <c r="AE58" t="s">
        <v>762</v>
      </c>
      <c r="AF58">
        <f>IFERROR(INDEX('List of Leagues'!E:E, MATCH(AE58, 'List of Leagues'!F:F, 0)), 0)</f>
        <v>0</v>
      </c>
      <c r="AG58" t="s">
        <v>762</v>
      </c>
      <c r="AH58">
        <f>IFERROR(INDEX('List of Leagues'!E:E, MATCH(AG58, 'List of Leagues'!F:F, 0)), 0)</f>
        <v>0</v>
      </c>
      <c r="AI58">
        <f t="shared" si="4"/>
        <v>50.7</v>
      </c>
      <c r="AJ58" t="s">
        <v>178</v>
      </c>
      <c r="AK58">
        <f>IFERROR(INDEX('List of Leagues'!$E:$E, MATCH(AJ58, 'List of Leagues'!$F:$F, 0)), 0)</f>
        <v>69.3</v>
      </c>
      <c r="AL58" t="s">
        <v>762</v>
      </c>
      <c r="AM58">
        <f>IFERROR(INDEX('List of Leagues'!$E:$E, MATCH(AL58, 'List of Leagues'!$F:$F, 0)), 0)</f>
        <v>0</v>
      </c>
      <c r="AN58" t="s">
        <v>762</v>
      </c>
      <c r="AO58">
        <f>IFERROR(INDEX('List of Leagues'!$E:$E, MATCH(AN58, 'List of Leagues'!$F:$F, 0)), 0)</f>
        <v>0</v>
      </c>
      <c r="AP58" t="s">
        <v>762</v>
      </c>
      <c r="AQ58">
        <f>IFERROR(INDEX('List of Leagues'!$E:$E, MATCH(AP58, 'List of Leagues'!$F:$F, 0)), 0)</f>
        <v>0</v>
      </c>
      <c r="AR58" t="s">
        <v>762</v>
      </c>
      <c r="AS58">
        <f>IFERROR(INDEX('List of Leagues'!$E:$E, MATCH(AR58, 'List of Leagues'!$F:$F, 0)), 0)</f>
        <v>0</v>
      </c>
      <c r="AT58" t="s">
        <v>762</v>
      </c>
      <c r="AU58">
        <f>IFERROR(INDEX('List of Leagues'!$E:$E, MATCH(AT58, 'List of Leagues'!$F:$F, 0)), 0)</f>
        <v>0</v>
      </c>
      <c r="AV58">
        <f t="shared" si="1"/>
        <v>11.549999999999999</v>
      </c>
    </row>
    <row r="59" spans="1:48" x14ac:dyDescent="0.35">
      <c r="A59" t="s">
        <v>30</v>
      </c>
      <c r="B59">
        <v>48</v>
      </c>
      <c r="C59">
        <v>2017</v>
      </c>
      <c r="D59" t="s">
        <v>14</v>
      </c>
      <c r="E59" t="s">
        <v>10</v>
      </c>
      <c r="F59" t="s">
        <v>10</v>
      </c>
      <c r="G59" t="s">
        <v>141</v>
      </c>
      <c r="H59">
        <f t="shared" si="5"/>
        <v>20</v>
      </c>
      <c r="I59">
        <v>6</v>
      </c>
      <c r="J59">
        <v>4</v>
      </c>
      <c r="K59">
        <v>10</v>
      </c>
      <c r="L59">
        <f t="shared" si="6"/>
        <v>22</v>
      </c>
      <c r="M59" s="1">
        <v>15021392</v>
      </c>
      <c r="N59">
        <v>1</v>
      </c>
      <c r="O59">
        <v>7</v>
      </c>
      <c r="P59">
        <v>14</v>
      </c>
      <c r="Q59">
        <f>IF(COUNTIF($A$2:A59, A59) &gt; 1, 1, 0)</f>
        <v>1</v>
      </c>
      <c r="R59" t="b">
        <v>1</v>
      </c>
      <c r="S59" t="s">
        <v>212</v>
      </c>
      <c r="T59">
        <f>IFERROR(INDEX('List of Leagues'!E:E, MATCH(S59, 'List of Leagues'!F:F, 0)), 0)</f>
        <v>0</v>
      </c>
      <c r="U59" t="s">
        <v>763</v>
      </c>
      <c r="V59">
        <f>IFERROR(INDEX('List of Leagues'!E:E, MATCH(U59, 'List of Leagues'!F:F, 0)), 0)</f>
        <v>0</v>
      </c>
      <c r="W59" t="s">
        <v>774</v>
      </c>
      <c r="X59">
        <f>IFERROR(INDEX('List of Leagues'!E:E, MATCH(W59, 'List of Leagues'!F:F, 0)), 0)</f>
        <v>0</v>
      </c>
      <c r="Y59" t="s">
        <v>656</v>
      </c>
      <c r="Z59">
        <f>IFERROR(INDEX('List of Leagues'!E:E, MATCH(Y59, 'List of Leagues'!F:F, 0)), 0)</f>
        <v>72.2</v>
      </c>
      <c r="AA59" t="s">
        <v>187</v>
      </c>
      <c r="AB59">
        <f>IFERROR(INDEX('List of Leagues'!E:E, MATCH(AA59, 'List of Leagues'!F:F, 0)), 0)</f>
        <v>58.4</v>
      </c>
      <c r="AC59" t="s">
        <v>756</v>
      </c>
      <c r="AD59">
        <f>IFERROR(INDEX('List of Leagues'!E:E, MATCH(AC59, 'List of Leagues'!F:F, 0)), 0)</f>
        <v>76.8</v>
      </c>
      <c r="AE59" t="s">
        <v>762</v>
      </c>
      <c r="AF59">
        <f>IFERROR(INDEX('List of Leagues'!E:E, MATCH(AE59, 'List of Leagues'!F:F, 0)), 0)</f>
        <v>0</v>
      </c>
      <c r="AG59" t="s">
        <v>762</v>
      </c>
      <c r="AH59">
        <f>IFERROR(INDEX('List of Leagues'!E:E, MATCH(AG59, 'List of Leagues'!F:F, 0)), 0)</f>
        <v>0</v>
      </c>
      <c r="AI59">
        <f t="shared" si="4"/>
        <v>25.924999999999997</v>
      </c>
      <c r="AJ59" t="s">
        <v>177</v>
      </c>
      <c r="AK59">
        <f>IFERROR(INDEX('List of Leagues'!$E:$E, MATCH(AJ59, 'List of Leagues'!$F:$F, 0)), 0)</f>
        <v>0</v>
      </c>
      <c r="AL59" t="s">
        <v>762</v>
      </c>
      <c r="AM59">
        <f>IFERROR(INDEX('List of Leagues'!$E:$E, MATCH(AL59, 'List of Leagues'!$F:$F, 0)), 0)</f>
        <v>0</v>
      </c>
      <c r="AN59" t="s">
        <v>762</v>
      </c>
      <c r="AO59">
        <f>IFERROR(INDEX('List of Leagues'!$E:$E, MATCH(AN59, 'List of Leagues'!$F:$F, 0)), 0)</f>
        <v>0</v>
      </c>
      <c r="AP59" t="s">
        <v>762</v>
      </c>
      <c r="AQ59">
        <f>IFERROR(INDEX('List of Leagues'!$E:$E, MATCH(AP59, 'List of Leagues'!$F:$F, 0)), 0)</f>
        <v>0</v>
      </c>
      <c r="AR59" t="s">
        <v>762</v>
      </c>
      <c r="AS59">
        <f>IFERROR(INDEX('List of Leagues'!$E:$E, MATCH(AR59, 'List of Leagues'!$F:$F, 0)), 0)</f>
        <v>0</v>
      </c>
      <c r="AT59" t="s">
        <v>762</v>
      </c>
      <c r="AU59">
        <f>IFERROR(INDEX('List of Leagues'!$E:$E, MATCH(AT59, 'List of Leagues'!$F:$F, 0)), 0)</f>
        <v>0</v>
      </c>
      <c r="AV59">
        <f t="shared" si="1"/>
        <v>0</v>
      </c>
    </row>
    <row r="60" spans="1:48" x14ac:dyDescent="0.35">
      <c r="A60" t="s">
        <v>71</v>
      </c>
      <c r="B60">
        <v>55</v>
      </c>
      <c r="C60">
        <v>2017</v>
      </c>
      <c r="D60" t="s">
        <v>72</v>
      </c>
      <c r="E60" t="s">
        <v>10</v>
      </c>
      <c r="F60" t="s">
        <v>10</v>
      </c>
      <c r="G60" t="s">
        <v>155</v>
      </c>
      <c r="H60">
        <f t="shared" si="5"/>
        <v>68</v>
      </c>
      <c r="I60">
        <f>15+21</f>
        <v>36</v>
      </c>
      <c r="J60">
        <v>16</v>
      </c>
      <c r="K60">
        <f>9+7</f>
        <v>16</v>
      </c>
      <c r="L60">
        <f t="shared" si="6"/>
        <v>124</v>
      </c>
      <c r="M60" s="2">
        <f>AVERAGE(9675016, 11606330)</f>
        <v>10640673</v>
      </c>
      <c r="N60">
        <v>3</v>
      </c>
      <c r="O60">
        <v>17</v>
      </c>
      <c r="P60">
        <v>0</v>
      </c>
      <c r="Q60">
        <f>IF(COUNTIF($A$2:A60, A60) &gt; 1, 1, 0)</f>
        <v>0</v>
      </c>
      <c r="R60" t="b">
        <v>1</v>
      </c>
      <c r="S60" t="s">
        <v>532</v>
      </c>
      <c r="T60">
        <f>IFERROR(INDEX('List of Leagues'!E:E, MATCH(S60, 'List of Leagues'!F:F, 0)), 0)</f>
        <v>80.8</v>
      </c>
      <c r="U60" t="s">
        <v>538</v>
      </c>
      <c r="V60">
        <f>IFERROR(INDEX('List of Leagues'!E:E, MATCH(U60, 'List of Leagues'!F:F, 0)), 0)</f>
        <v>77.3</v>
      </c>
      <c r="W60" t="s">
        <v>545</v>
      </c>
      <c r="X60">
        <f>IFERROR(INDEX('List of Leagues'!E:E, MATCH(W60, 'List of Leagues'!F:F, 0)), 0)</f>
        <v>76.599999999999994</v>
      </c>
      <c r="Y60" t="s">
        <v>555</v>
      </c>
      <c r="Z60">
        <f>IFERROR(INDEX('List of Leagues'!E:E, MATCH(Y60, 'List of Leagues'!F:F, 0)), 0)</f>
        <v>71.400000000000006</v>
      </c>
      <c r="AA60" t="s">
        <v>762</v>
      </c>
      <c r="AB60">
        <f>IFERROR(INDEX('List of Leagues'!E:E, MATCH(AA60, 'List of Leagues'!F:F, 0)), 0)</f>
        <v>0</v>
      </c>
      <c r="AC60" t="s">
        <v>762</v>
      </c>
      <c r="AD60">
        <f>IFERROR(INDEX('List of Leagues'!E:E, MATCH(AC60, 'List of Leagues'!F:F, 0)), 0)</f>
        <v>0</v>
      </c>
      <c r="AE60" t="s">
        <v>762</v>
      </c>
      <c r="AF60">
        <f>IFERROR(INDEX('List of Leagues'!E:E, MATCH(AE60, 'List of Leagues'!F:F, 0)), 0)</f>
        <v>0</v>
      </c>
      <c r="AG60" t="s">
        <v>762</v>
      </c>
      <c r="AH60">
        <f>IFERROR(INDEX('List of Leagues'!E:E, MATCH(AG60, 'List of Leagues'!F:F, 0)), 0)</f>
        <v>0</v>
      </c>
      <c r="AI60">
        <f t="shared" si="4"/>
        <v>38.262500000000003</v>
      </c>
      <c r="AJ60" t="s">
        <v>184</v>
      </c>
      <c r="AK60">
        <f>IFERROR(INDEX('List of Leagues'!$E:$E, MATCH(AJ60, 'List of Leagues'!$F:$F, 0)), 0)</f>
        <v>93.8</v>
      </c>
      <c r="AL60" t="s">
        <v>762</v>
      </c>
      <c r="AM60">
        <f>IFERROR(INDEX('List of Leagues'!$E:$E, MATCH(AL60, 'List of Leagues'!$F:$F, 0)), 0)</f>
        <v>0</v>
      </c>
      <c r="AN60" t="s">
        <v>762</v>
      </c>
      <c r="AO60">
        <f>IFERROR(INDEX('List of Leagues'!$E:$E, MATCH(AN60, 'List of Leagues'!$F:$F, 0)), 0)</f>
        <v>0</v>
      </c>
      <c r="AP60" t="s">
        <v>762</v>
      </c>
      <c r="AQ60">
        <f>IFERROR(INDEX('List of Leagues'!$E:$E, MATCH(AP60, 'List of Leagues'!$F:$F, 0)), 0)</f>
        <v>0</v>
      </c>
      <c r="AR60" t="s">
        <v>762</v>
      </c>
      <c r="AS60">
        <f>IFERROR(INDEX('List of Leagues'!$E:$E, MATCH(AR60, 'List of Leagues'!$F:$F, 0)), 0)</f>
        <v>0</v>
      </c>
      <c r="AT60" t="s">
        <v>762</v>
      </c>
      <c r="AU60">
        <f>IFERROR(INDEX('List of Leagues'!$E:$E, MATCH(AT60, 'List of Leagues'!$F:$F, 0)), 0)</f>
        <v>0</v>
      </c>
      <c r="AV60">
        <f t="shared" si="1"/>
        <v>15.633333333333333</v>
      </c>
    </row>
    <row r="61" spans="1:48" x14ac:dyDescent="0.35">
      <c r="A61" t="s">
        <v>77</v>
      </c>
      <c r="B61">
        <v>42</v>
      </c>
      <c r="C61">
        <v>2017</v>
      </c>
      <c r="D61" t="s">
        <v>19</v>
      </c>
      <c r="E61" t="s">
        <v>10</v>
      </c>
      <c r="F61" t="s">
        <v>10</v>
      </c>
      <c r="G61" t="s">
        <v>142</v>
      </c>
      <c r="H61">
        <f t="shared" si="5"/>
        <v>28</v>
      </c>
      <c r="I61">
        <v>4</v>
      </c>
      <c r="J61">
        <v>8</v>
      </c>
      <c r="K61">
        <v>16</v>
      </c>
      <c r="L61">
        <f t="shared" si="6"/>
        <v>20</v>
      </c>
      <c r="M61" s="2">
        <v>8721753</v>
      </c>
      <c r="N61">
        <v>1</v>
      </c>
      <c r="O61">
        <v>10</v>
      </c>
      <c r="P61">
        <v>2</v>
      </c>
      <c r="Q61">
        <f>IF(COUNTIF($A$2:A61, A61) &gt; 1, 1, 0)</f>
        <v>0</v>
      </c>
      <c r="R61" t="b">
        <v>0</v>
      </c>
      <c r="S61" t="s">
        <v>179</v>
      </c>
      <c r="T61">
        <f>IFERROR(INDEX('List of Leagues'!E:E, MATCH(S61, 'List of Leagues'!F:F, 0)), 0)</f>
        <v>0</v>
      </c>
      <c r="U61" t="s">
        <v>762</v>
      </c>
      <c r="V61">
        <f>IFERROR(INDEX('List of Leagues'!E:E, MATCH(U61, 'List of Leagues'!F:F, 0)), 0)</f>
        <v>0</v>
      </c>
      <c r="W61" t="s">
        <v>762</v>
      </c>
      <c r="X61">
        <f>IFERROR(INDEX('List of Leagues'!E:E, MATCH(W61, 'List of Leagues'!F:F, 0)), 0)</f>
        <v>0</v>
      </c>
      <c r="Y61" t="s">
        <v>762</v>
      </c>
      <c r="Z61">
        <f>IFERROR(INDEX('List of Leagues'!E:E, MATCH(Y61, 'List of Leagues'!F:F, 0)), 0)</f>
        <v>0</v>
      </c>
      <c r="AA61" t="s">
        <v>762</v>
      </c>
      <c r="AB61">
        <f>IFERROR(INDEX('List of Leagues'!E:E, MATCH(AA61, 'List of Leagues'!F:F, 0)), 0)</f>
        <v>0</v>
      </c>
      <c r="AC61" t="s">
        <v>762</v>
      </c>
      <c r="AD61">
        <f>IFERROR(INDEX('List of Leagues'!E:E, MATCH(AC61, 'List of Leagues'!F:F, 0)), 0)</f>
        <v>0</v>
      </c>
      <c r="AE61" t="s">
        <v>762</v>
      </c>
      <c r="AF61">
        <f>IFERROR(INDEX('List of Leagues'!E:E, MATCH(AE61, 'List of Leagues'!F:F, 0)), 0)</f>
        <v>0</v>
      </c>
      <c r="AG61" t="s">
        <v>762</v>
      </c>
      <c r="AH61">
        <f>IFERROR(INDEX('List of Leagues'!E:E, MATCH(AG61, 'List of Leagues'!F:F, 0)), 0)</f>
        <v>0</v>
      </c>
      <c r="AI61">
        <f t="shared" si="4"/>
        <v>0</v>
      </c>
      <c r="AJ61" t="s">
        <v>171</v>
      </c>
      <c r="AK61">
        <f>IFERROR(INDEX('List of Leagues'!$E:$E, MATCH(AJ61, 'List of Leagues'!$F:$F, 0)), 0)</f>
        <v>0</v>
      </c>
      <c r="AL61" t="s">
        <v>772</v>
      </c>
      <c r="AM61">
        <f>IFERROR(INDEX('List of Leagues'!$E:$E, MATCH(AL61, 'List of Leagues'!$F:$F, 0)), 0)</f>
        <v>43.8</v>
      </c>
      <c r="AN61" t="s">
        <v>762</v>
      </c>
      <c r="AO61">
        <f>IFERROR(INDEX('List of Leagues'!$E:$E, MATCH(AN61, 'List of Leagues'!$F:$F, 0)), 0)</f>
        <v>0</v>
      </c>
      <c r="AP61" t="s">
        <v>762</v>
      </c>
      <c r="AQ61">
        <f>IFERROR(INDEX('List of Leagues'!$E:$E, MATCH(AP61, 'List of Leagues'!$F:$F, 0)), 0)</f>
        <v>0</v>
      </c>
      <c r="AR61" t="s">
        <v>762</v>
      </c>
      <c r="AS61">
        <f>IFERROR(INDEX('List of Leagues'!$E:$E, MATCH(AR61, 'List of Leagues'!$F:$F, 0)), 0)</f>
        <v>0</v>
      </c>
      <c r="AT61" t="s">
        <v>762</v>
      </c>
      <c r="AU61">
        <f>IFERROR(INDEX('List of Leagues'!$E:$E, MATCH(AT61, 'List of Leagues'!$F:$F, 0)), 0)</f>
        <v>0</v>
      </c>
      <c r="AV61">
        <f t="shared" si="1"/>
        <v>7.3</v>
      </c>
    </row>
    <row r="62" spans="1:48" x14ac:dyDescent="0.35">
      <c r="A62" t="s">
        <v>52</v>
      </c>
      <c r="B62">
        <v>41</v>
      </c>
      <c r="C62">
        <v>2017</v>
      </c>
      <c r="D62" t="s">
        <v>60</v>
      </c>
      <c r="E62" t="s">
        <v>10</v>
      </c>
      <c r="F62" t="s">
        <v>10</v>
      </c>
      <c r="G62" t="s">
        <v>136</v>
      </c>
      <c r="H62">
        <f t="shared" si="5"/>
        <v>85</v>
      </c>
      <c r="I62">
        <f>14+13+9</f>
        <v>36</v>
      </c>
      <c r="J62">
        <f>7+7</f>
        <v>14</v>
      </c>
      <c r="K62">
        <f>13+13+9</f>
        <v>35</v>
      </c>
      <c r="L62">
        <f t="shared" si="6"/>
        <v>122</v>
      </c>
      <c r="M62" s="2">
        <v>9905764.333333334</v>
      </c>
      <c r="N62">
        <v>3</v>
      </c>
      <c r="O62">
        <v>2</v>
      </c>
      <c r="P62">
        <v>2</v>
      </c>
      <c r="Q62">
        <f>IF(COUNTIF($A$2:A62, A62) &gt; 1, 1, 0)</f>
        <v>1</v>
      </c>
      <c r="R62" t="b">
        <v>1</v>
      </c>
      <c r="S62" t="s">
        <v>178</v>
      </c>
      <c r="T62">
        <f>IFERROR(INDEX('List of Leagues'!E:E, MATCH(S62, 'List of Leagues'!F:F, 0)), 0)</f>
        <v>69.3</v>
      </c>
      <c r="U62" t="s">
        <v>756</v>
      </c>
      <c r="V62">
        <f>IFERROR(INDEX('List of Leagues'!E:E, MATCH(U62, 'List of Leagues'!F:F, 0)), 0)</f>
        <v>76.8</v>
      </c>
      <c r="W62" t="s">
        <v>762</v>
      </c>
      <c r="X62">
        <f>IFERROR(INDEX('List of Leagues'!E:E, MATCH(W62, 'List of Leagues'!F:F, 0)), 0)</f>
        <v>0</v>
      </c>
      <c r="Y62" t="s">
        <v>762</v>
      </c>
      <c r="Z62">
        <f>IFERROR(INDEX('List of Leagues'!E:E, MATCH(Y62, 'List of Leagues'!F:F, 0)), 0)</f>
        <v>0</v>
      </c>
      <c r="AA62" t="s">
        <v>762</v>
      </c>
      <c r="AB62">
        <f>IFERROR(INDEX('List of Leagues'!E:E, MATCH(AA62, 'List of Leagues'!F:F, 0)), 0)</f>
        <v>0</v>
      </c>
      <c r="AC62" t="s">
        <v>762</v>
      </c>
      <c r="AD62">
        <f>IFERROR(INDEX('List of Leagues'!E:E, MATCH(AC62, 'List of Leagues'!F:F, 0)), 0)</f>
        <v>0</v>
      </c>
      <c r="AE62" t="s">
        <v>762</v>
      </c>
      <c r="AF62">
        <f>IFERROR(INDEX('List of Leagues'!E:E, MATCH(AE62, 'List of Leagues'!F:F, 0)), 0)</f>
        <v>0</v>
      </c>
      <c r="AG62" t="s">
        <v>762</v>
      </c>
      <c r="AH62">
        <f>IFERROR(INDEX('List of Leagues'!E:E, MATCH(AG62, 'List of Leagues'!F:F, 0)), 0)</f>
        <v>0</v>
      </c>
      <c r="AI62">
        <f t="shared" si="4"/>
        <v>18.262499999999999</v>
      </c>
      <c r="AJ62" t="s">
        <v>213</v>
      </c>
      <c r="AK62">
        <f>IFERROR(INDEX('List of Leagues'!$E:$E, MATCH(AJ62, 'List of Leagues'!$F:$F, 0)), 0)</f>
        <v>0</v>
      </c>
      <c r="AL62" t="s">
        <v>762</v>
      </c>
      <c r="AM62">
        <f>IFERROR(INDEX('List of Leagues'!$E:$E, MATCH(AL62, 'List of Leagues'!$F:$F, 0)), 0)</f>
        <v>0</v>
      </c>
      <c r="AN62" t="s">
        <v>762</v>
      </c>
      <c r="AO62">
        <f>IFERROR(INDEX('List of Leagues'!$E:$E, MATCH(AN62, 'List of Leagues'!$F:$F, 0)), 0)</f>
        <v>0</v>
      </c>
      <c r="AP62" t="s">
        <v>762</v>
      </c>
      <c r="AQ62">
        <f>IFERROR(INDEX('List of Leagues'!$E:$E, MATCH(AP62, 'List of Leagues'!$F:$F, 0)), 0)</f>
        <v>0</v>
      </c>
      <c r="AR62" t="s">
        <v>762</v>
      </c>
      <c r="AS62">
        <f>IFERROR(INDEX('List of Leagues'!$E:$E, MATCH(AR62, 'List of Leagues'!$F:$F, 0)), 0)</f>
        <v>0</v>
      </c>
      <c r="AT62" t="s">
        <v>762</v>
      </c>
      <c r="AU62">
        <f>IFERROR(INDEX('List of Leagues'!$E:$E, MATCH(AT62, 'List of Leagues'!$F:$F, 0)), 0)</f>
        <v>0</v>
      </c>
      <c r="AV62">
        <f t="shared" si="1"/>
        <v>0</v>
      </c>
    </row>
    <row r="63" spans="1:48" x14ac:dyDescent="0.35">
      <c r="A63" t="s">
        <v>25</v>
      </c>
      <c r="B63">
        <v>64</v>
      </c>
      <c r="C63">
        <v>2017</v>
      </c>
      <c r="D63" t="s">
        <v>14</v>
      </c>
      <c r="E63" t="s">
        <v>10</v>
      </c>
      <c r="F63" t="s">
        <v>10</v>
      </c>
      <c r="G63" t="s">
        <v>139</v>
      </c>
      <c r="H63">
        <f t="shared" si="5"/>
        <v>48</v>
      </c>
      <c r="I63">
        <v>15</v>
      </c>
      <c r="J63">
        <v>13</v>
      </c>
      <c r="K63">
        <v>20</v>
      </c>
      <c r="L63">
        <f t="shared" si="6"/>
        <v>58</v>
      </c>
      <c r="M63" s="2">
        <v>16297950</v>
      </c>
      <c r="N63">
        <v>1</v>
      </c>
      <c r="O63">
        <v>41</v>
      </c>
      <c r="P63">
        <v>11</v>
      </c>
      <c r="Q63">
        <f>IF(COUNTIF($A$2:A63, A63) &gt; 1, 1, 0)</f>
        <v>1</v>
      </c>
      <c r="R63" t="b">
        <v>0</v>
      </c>
      <c r="S63" t="s">
        <v>179</v>
      </c>
      <c r="T63">
        <f>IFERROR(INDEX('List of Leagues'!E:E, MATCH(S63, 'List of Leagues'!F:F, 0)), 0)</f>
        <v>0</v>
      </c>
      <c r="U63" t="s">
        <v>762</v>
      </c>
      <c r="V63">
        <f>IFERROR(INDEX('List of Leagues'!E:E, MATCH(U63, 'List of Leagues'!F:F, 0)), 0)</f>
        <v>0</v>
      </c>
      <c r="W63" t="s">
        <v>762</v>
      </c>
      <c r="X63">
        <f>IFERROR(INDEX('List of Leagues'!E:E, MATCH(W63, 'List of Leagues'!F:F, 0)), 0)</f>
        <v>0</v>
      </c>
      <c r="Y63" t="s">
        <v>762</v>
      </c>
      <c r="Z63">
        <f>IFERROR(INDEX('List of Leagues'!E:E, MATCH(Y63, 'List of Leagues'!F:F, 0)), 0)</f>
        <v>0</v>
      </c>
      <c r="AA63" t="s">
        <v>762</v>
      </c>
      <c r="AB63">
        <f>IFERROR(INDEX('List of Leagues'!E:E, MATCH(AA63, 'List of Leagues'!F:F, 0)), 0)</f>
        <v>0</v>
      </c>
      <c r="AC63" t="s">
        <v>762</v>
      </c>
      <c r="AD63">
        <f>IFERROR(INDEX('List of Leagues'!E:E, MATCH(AC63, 'List of Leagues'!F:F, 0)), 0)</f>
        <v>0</v>
      </c>
      <c r="AE63" t="s">
        <v>762</v>
      </c>
      <c r="AF63">
        <f>IFERROR(INDEX('List of Leagues'!E:E, MATCH(AE63, 'List of Leagues'!F:F, 0)), 0)</f>
        <v>0</v>
      </c>
      <c r="AG63" t="s">
        <v>762</v>
      </c>
      <c r="AH63">
        <f>IFERROR(INDEX('List of Leagues'!E:E, MATCH(AG63, 'List of Leagues'!F:F, 0)), 0)</f>
        <v>0</v>
      </c>
      <c r="AI63">
        <f t="shared" si="4"/>
        <v>0</v>
      </c>
      <c r="AJ63" t="s">
        <v>201</v>
      </c>
      <c r="AK63">
        <f>IFERROR(INDEX('List of Leagues'!$E:$E, MATCH(AJ63, 'List of Leagues'!$F:$F, 0)), 0)</f>
        <v>80</v>
      </c>
      <c r="AL63" t="s">
        <v>762</v>
      </c>
      <c r="AM63">
        <f>IFERROR(INDEX('List of Leagues'!$E:$E, MATCH(AL63, 'List of Leagues'!$F:$F, 0)), 0)</f>
        <v>0</v>
      </c>
      <c r="AN63" t="s">
        <v>762</v>
      </c>
      <c r="AO63">
        <f>IFERROR(INDEX('List of Leagues'!$E:$E, MATCH(AN63, 'List of Leagues'!$F:$F, 0)), 0)</f>
        <v>0</v>
      </c>
      <c r="AP63" t="s">
        <v>762</v>
      </c>
      <c r="AQ63">
        <f>IFERROR(INDEX('List of Leagues'!$E:$E, MATCH(AP63, 'List of Leagues'!$F:$F, 0)), 0)</f>
        <v>0</v>
      </c>
      <c r="AR63" t="s">
        <v>762</v>
      </c>
      <c r="AS63">
        <f>IFERROR(INDEX('List of Leagues'!$E:$E, MATCH(AR63, 'List of Leagues'!$F:$F, 0)), 0)</f>
        <v>0</v>
      </c>
      <c r="AT63" t="s">
        <v>762</v>
      </c>
      <c r="AU63">
        <f>IFERROR(INDEX('List of Leagues'!$E:$E, MATCH(AT63, 'List of Leagues'!$F:$F, 0)), 0)</f>
        <v>0</v>
      </c>
      <c r="AV63">
        <f t="shared" si="1"/>
        <v>13.333333333333334</v>
      </c>
    </row>
    <row r="64" spans="1:48" x14ac:dyDescent="0.35">
      <c r="A64" t="s">
        <v>56</v>
      </c>
      <c r="B64">
        <v>50</v>
      </c>
      <c r="C64">
        <v>2017</v>
      </c>
      <c r="D64" t="s">
        <v>64</v>
      </c>
      <c r="E64" t="s">
        <v>6</v>
      </c>
      <c r="F64" t="s">
        <v>132</v>
      </c>
      <c r="G64" t="s">
        <v>137</v>
      </c>
      <c r="H64">
        <f t="shared" si="5"/>
        <v>102</v>
      </c>
      <c r="I64">
        <v>35</v>
      </c>
      <c r="J64">
        <v>23</v>
      </c>
      <c r="K64">
        <f>18+26</f>
        <v>44</v>
      </c>
      <c r="L64">
        <f t="shared" si="6"/>
        <v>128</v>
      </c>
      <c r="M64" s="2">
        <v>6946655.666666667</v>
      </c>
      <c r="N64">
        <v>3</v>
      </c>
      <c r="O64">
        <v>7</v>
      </c>
      <c r="P64">
        <v>4</v>
      </c>
      <c r="Q64">
        <f>IF(COUNTIF($A$2:A64, A64) &gt; 1, 1, 0)</f>
        <v>1</v>
      </c>
      <c r="R64" t="b">
        <v>1</v>
      </c>
      <c r="S64" t="s">
        <v>185</v>
      </c>
      <c r="T64">
        <f>IFERROR(INDEX('List of Leagues'!E:E, MATCH(S64, 'List of Leagues'!F:F, 0)), 0)</f>
        <v>75.400000000000006</v>
      </c>
      <c r="U64" t="s">
        <v>184</v>
      </c>
      <c r="V64">
        <f>IFERROR(INDEX('List of Leagues'!E:E, MATCH(U64, 'List of Leagues'!F:F, 0)), 0)</f>
        <v>93.8</v>
      </c>
      <c r="W64" t="s">
        <v>762</v>
      </c>
      <c r="X64">
        <f>IFERROR(INDEX('List of Leagues'!E:E, MATCH(W64, 'List of Leagues'!F:F, 0)), 0)</f>
        <v>0</v>
      </c>
      <c r="Y64" t="s">
        <v>756</v>
      </c>
      <c r="Z64">
        <f>IFERROR(INDEX('List of Leagues'!E:E, MATCH(Y64, 'List of Leagues'!F:F, 0)), 0)</f>
        <v>76.8</v>
      </c>
      <c r="AA64" t="s">
        <v>762</v>
      </c>
      <c r="AB64">
        <f>IFERROR(INDEX('List of Leagues'!E:E, MATCH(AA64, 'List of Leagues'!F:F, 0)), 0)</f>
        <v>0</v>
      </c>
      <c r="AC64" t="s">
        <v>762</v>
      </c>
      <c r="AD64">
        <f>IFERROR(INDEX('List of Leagues'!E:E, MATCH(AC64, 'List of Leagues'!F:F, 0)), 0)</f>
        <v>0</v>
      </c>
      <c r="AE64" t="s">
        <v>762</v>
      </c>
      <c r="AF64">
        <f>IFERROR(INDEX('List of Leagues'!E:E, MATCH(AE64, 'List of Leagues'!F:F, 0)), 0)</f>
        <v>0</v>
      </c>
      <c r="AG64" t="s">
        <v>762</v>
      </c>
      <c r="AH64">
        <f>IFERROR(INDEX('List of Leagues'!E:E, MATCH(AG64, 'List of Leagues'!F:F, 0)), 0)</f>
        <v>0</v>
      </c>
      <c r="AI64">
        <f t="shared" si="4"/>
        <v>30.75</v>
      </c>
      <c r="AJ64" t="s">
        <v>177</v>
      </c>
      <c r="AK64">
        <f>IFERROR(INDEX('List of Leagues'!$E:$E, MATCH(AJ64, 'List of Leagues'!$F:$F, 0)), 0)</f>
        <v>0</v>
      </c>
      <c r="AL64" t="s">
        <v>762</v>
      </c>
      <c r="AM64">
        <f>IFERROR(INDEX('List of Leagues'!$E:$E, MATCH(AL64, 'List of Leagues'!$F:$F, 0)), 0)</f>
        <v>0</v>
      </c>
      <c r="AN64" t="s">
        <v>762</v>
      </c>
      <c r="AO64">
        <f>IFERROR(INDEX('List of Leagues'!$E:$E, MATCH(AN64, 'List of Leagues'!$F:$F, 0)), 0)</f>
        <v>0</v>
      </c>
      <c r="AP64" t="s">
        <v>762</v>
      </c>
      <c r="AQ64">
        <f>IFERROR(INDEX('List of Leagues'!$E:$E, MATCH(AP64, 'List of Leagues'!$F:$F, 0)), 0)</f>
        <v>0</v>
      </c>
      <c r="AR64" t="s">
        <v>762</v>
      </c>
      <c r="AS64">
        <f>IFERROR(INDEX('List of Leagues'!$E:$E, MATCH(AR64, 'List of Leagues'!$F:$F, 0)), 0)</f>
        <v>0</v>
      </c>
      <c r="AT64" t="s">
        <v>762</v>
      </c>
      <c r="AU64">
        <f>IFERROR(INDEX('List of Leagues'!$E:$E, MATCH(AT64, 'List of Leagues'!$F:$F, 0)), 0)</f>
        <v>0</v>
      </c>
      <c r="AV64">
        <f t="shared" si="1"/>
        <v>0</v>
      </c>
    </row>
    <row r="65" spans="1:48" x14ac:dyDescent="0.35">
      <c r="A65" t="s">
        <v>73</v>
      </c>
      <c r="B65">
        <v>36</v>
      </c>
      <c r="C65">
        <v>2018</v>
      </c>
      <c r="D65" t="s">
        <v>9</v>
      </c>
      <c r="E65" t="s">
        <v>10</v>
      </c>
      <c r="F65" t="s">
        <v>10</v>
      </c>
      <c r="G65" t="s">
        <v>147</v>
      </c>
      <c r="H65">
        <f t="shared" si="5"/>
        <v>43</v>
      </c>
      <c r="I65">
        <v>8</v>
      </c>
      <c r="J65">
        <v>9</v>
      </c>
      <c r="K65">
        <v>26</v>
      </c>
      <c r="L65">
        <f t="shared" si="6"/>
        <v>33</v>
      </c>
      <c r="M65" s="2">
        <v>10125918</v>
      </c>
      <c r="N65">
        <v>2</v>
      </c>
      <c r="O65">
        <v>9</v>
      </c>
      <c r="P65">
        <v>3</v>
      </c>
      <c r="Q65">
        <f>IF(COUNTIF($A$2:A65, A65) &gt; 1, 1, 0)</f>
        <v>0</v>
      </c>
      <c r="R65" t="b">
        <v>1</v>
      </c>
      <c r="S65" t="s">
        <v>552</v>
      </c>
      <c r="T65">
        <f>IFERROR(INDEX('List of Leagues'!E:E, MATCH(S65, 'List of Leagues'!F:F, 0)), 0)</f>
        <v>58.4</v>
      </c>
      <c r="U65" t="s">
        <v>197</v>
      </c>
      <c r="V65">
        <f>IFERROR(INDEX('List of Leagues'!E:E, MATCH(U65, 'List of Leagues'!F:F, 0)), 0)</f>
        <v>78.400000000000006</v>
      </c>
      <c r="W65" t="s">
        <v>756</v>
      </c>
      <c r="X65">
        <f>IFERROR(INDEX('List of Leagues'!E:E, MATCH(W65, 'List of Leagues'!F:F, 0)), 0)</f>
        <v>76.8</v>
      </c>
      <c r="Y65" t="s">
        <v>762</v>
      </c>
      <c r="Z65">
        <f>IFERROR(INDEX('List of Leagues'!E:E, MATCH(Y65, 'List of Leagues'!F:F, 0)), 0)</f>
        <v>0</v>
      </c>
      <c r="AA65" t="s">
        <v>762</v>
      </c>
      <c r="AB65">
        <f>IFERROR(INDEX('List of Leagues'!E:E, MATCH(AA65, 'List of Leagues'!F:F, 0)), 0)</f>
        <v>0</v>
      </c>
      <c r="AC65" t="s">
        <v>762</v>
      </c>
      <c r="AD65">
        <f>IFERROR(INDEX('List of Leagues'!E:E, MATCH(AC65, 'List of Leagues'!F:F, 0)), 0)</f>
        <v>0</v>
      </c>
      <c r="AE65" t="s">
        <v>762</v>
      </c>
      <c r="AF65">
        <f>IFERROR(INDEX('List of Leagues'!E:E, MATCH(AE65, 'List of Leagues'!F:F, 0)), 0)</f>
        <v>0</v>
      </c>
      <c r="AG65" t="s">
        <v>762</v>
      </c>
      <c r="AH65">
        <f>IFERROR(INDEX('List of Leagues'!E:E, MATCH(AG65, 'List of Leagues'!F:F, 0)), 0)</f>
        <v>0</v>
      </c>
      <c r="AI65">
        <f t="shared" si="4"/>
        <v>26.700000000000003</v>
      </c>
      <c r="AJ65" t="s">
        <v>536</v>
      </c>
      <c r="AK65">
        <f>IFERROR(INDEX('List of Leagues'!$E:$E, MATCH(AJ65, 'List of Leagues'!$F:$F, 0)), 0)</f>
        <v>78.099999999999994</v>
      </c>
      <c r="AL65" t="s">
        <v>178</v>
      </c>
      <c r="AM65">
        <f>IFERROR(INDEX('List of Leagues'!$E:$E, MATCH(AL65, 'List of Leagues'!$F:$F, 0)), 0)</f>
        <v>69.3</v>
      </c>
      <c r="AN65" t="s">
        <v>762</v>
      </c>
      <c r="AO65">
        <f>IFERROR(INDEX('List of Leagues'!$E:$E, MATCH(AN65, 'List of Leagues'!$F:$F, 0)), 0)</f>
        <v>0</v>
      </c>
      <c r="AP65" t="s">
        <v>762</v>
      </c>
      <c r="AQ65">
        <f>IFERROR(INDEX('List of Leagues'!$E:$E, MATCH(AP65, 'List of Leagues'!$F:$F, 0)), 0)</f>
        <v>0</v>
      </c>
      <c r="AR65" t="s">
        <v>762</v>
      </c>
      <c r="AS65">
        <f>IFERROR(INDEX('List of Leagues'!$E:$E, MATCH(AR65, 'List of Leagues'!$F:$F, 0)), 0)</f>
        <v>0</v>
      </c>
      <c r="AT65" t="s">
        <v>762</v>
      </c>
      <c r="AU65">
        <f>IFERROR(INDEX('List of Leagues'!$E:$E, MATCH(AT65, 'List of Leagues'!$F:$F, 0)), 0)</f>
        <v>0</v>
      </c>
      <c r="AV65">
        <f t="shared" si="1"/>
        <v>24.566666666666663</v>
      </c>
    </row>
    <row r="66" spans="1:48" x14ac:dyDescent="0.35">
      <c r="A66" t="s">
        <v>78</v>
      </c>
      <c r="B66">
        <v>60</v>
      </c>
      <c r="C66">
        <v>2018</v>
      </c>
      <c r="D66" t="s">
        <v>79</v>
      </c>
      <c r="E66" t="s">
        <v>10</v>
      </c>
      <c r="F66" t="s">
        <v>10</v>
      </c>
      <c r="G66" t="s">
        <v>136</v>
      </c>
      <c r="H66">
        <f t="shared" si="5"/>
        <v>124</v>
      </c>
      <c r="I66">
        <f>16+21+9+12</f>
        <v>58</v>
      </c>
      <c r="J66">
        <f>9+9+5+9</f>
        <v>32</v>
      </c>
      <c r="K66">
        <f>13+8+4+9</f>
        <v>34</v>
      </c>
      <c r="L66">
        <f t="shared" si="6"/>
        <v>206</v>
      </c>
      <c r="M66" s="2">
        <v>15601732.25</v>
      </c>
      <c r="N66">
        <v>4</v>
      </c>
      <c r="O66">
        <v>17</v>
      </c>
      <c r="P66">
        <v>4</v>
      </c>
      <c r="Q66">
        <v>1</v>
      </c>
      <c r="R66" t="b">
        <v>0</v>
      </c>
      <c r="S66" t="s">
        <v>179</v>
      </c>
      <c r="T66">
        <f>IFERROR(INDEX('List of Leagues'!E:E, MATCH(S66, 'List of Leagues'!F:F, 0)), 0)</f>
        <v>0</v>
      </c>
      <c r="U66" t="s">
        <v>762</v>
      </c>
      <c r="V66">
        <f>IFERROR(INDEX('List of Leagues'!E:E, MATCH(U66, 'List of Leagues'!F:F, 0)), 0)</f>
        <v>0</v>
      </c>
      <c r="W66" t="s">
        <v>762</v>
      </c>
      <c r="X66">
        <f>IFERROR(INDEX('List of Leagues'!E:E, MATCH(W66, 'List of Leagues'!F:F, 0)), 0)</f>
        <v>0</v>
      </c>
      <c r="Y66" t="s">
        <v>762</v>
      </c>
      <c r="Z66">
        <f>IFERROR(INDEX('List of Leagues'!E:E, MATCH(Y66, 'List of Leagues'!F:F, 0)), 0)</f>
        <v>0</v>
      </c>
      <c r="AA66" t="s">
        <v>762</v>
      </c>
      <c r="AB66">
        <f>IFERROR(INDEX('List of Leagues'!E:E, MATCH(AA66, 'List of Leagues'!F:F, 0)), 0)</f>
        <v>0</v>
      </c>
      <c r="AC66" t="s">
        <v>762</v>
      </c>
      <c r="AD66">
        <f>IFERROR(INDEX('List of Leagues'!E:E, MATCH(AC66, 'List of Leagues'!F:F, 0)), 0)</f>
        <v>0</v>
      </c>
      <c r="AE66" t="s">
        <v>762</v>
      </c>
      <c r="AF66">
        <f>IFERROR(INDEX('List of Leagues'!E:E, MATCH(AE66, 'List of Leagues'!F:F, 0)), 0)</f>
        <v>0</v>
      </c>
      <c r="AG66" t="s">
        <v>762</v>
      </c>
      <c r="AH66">
        <f>IFERROR(INDEX('List of Leagues'!E:E, MATCH(AG66, 'List of Leagues'!F:F, 0)), 0)</f>
        <v>0</v>
      </c>
      <c r="AI66">
        <f t="shared" ref="AI66:AI97" si="7">AVERAGE(T66, V66, X66, Z66, AB66, AD66, AF66, AH66)</f>
        <v>0</v>
      </c>
      <c r="AJ66" t="s">
        <v>177</v>
      </c>
      <c r="AK66">
        <f>IFERROR(INDEX('List of Leagues'!$E:$E, MATCH(AJ66, 'List of Leagues'!$F:$F, 0)), 0)</f>
        <v>0</v>
      </c>
      <c r="AL66" t="s">
        <v>762</v>
      </c>
      <c r="AM66">
        <f>IFERROR(INDEX('List of Leagues'!$E:$E, MATCH(AL66, 'List of Leagues'!$F:$F, 0)), 0)</f>
        <v>0</v>
      </c>
      <c r="AN66" t="s">
        <v>762</v>
      </c>
      <c r="AO66">
        <f>IFERROR(INDEX('List of Leagues'!$E:$E, MATCH(AN66, 'List of Leagues'!$F:$F, 0)), 0)</f>
        <v>0</v>
      </c>
      <c r="AP66" t="s">
        <v>762</v>
      </c>
      <c r="AQ66">
        <f>IFERROR(INDEX('List of Leagues'!$E:$E, MATCH(AP66, 'List of Leagues'!$F:$F, 0)), 0)</f>
        <v>0</v>
      </c>
      <c r="AR66" t="s">
        <v>762</v>
      </c>
      <c r="AS66">
        <f>IFERROR(INDEX('List of Leagues'!$E:$E, MATCH(AR66, 'List of Leagues'!$F:$F, 0)), 0)</f>
        <v>0</v>
      </c>
      <c r="AT66" t="s">
        <v>762</v>
      </c>
      <c r="AU66">
        <f>IFERROR(INDEX('List of Leagues'!$E:$E, MATCH(AT66, 'List of Leagues'!$F:$F, 0)), 0)</f>
        <v>0</v>
      </c>
      <c r="AV66">
        <f t="shared" si="1"/>
        <v>0</v>
      </c>
    </row>
    <row r="67" spans="1:48" x14ac:dyDescent="0.35">
      <c r="A67" t="s">
        <v>81</v>
      </c>
      <c r="B67">
        <v>46</v>
      </c>
      <c r="C67">
        <v>2018</v>
      </c>
      <c r="D67" t="s">
        <v>17</v>
      </c>
      <c r="E67" t="s">
        <v>6</v>
      </c>
      <c r="F67" t="s">
        <v>132</v>
      </c>
      <c r="G67" t="s">
        <v>136</v>
      </c>
      <c r="H67">
        <f t="shared" si="5"/>
        <v>71</v>
      </c>
      <c r="I67">
        <v>33</v>
      </c>
      <c r="J67">
        <v>11</v>
      </c>
      <c r="K67">
        <v>27</v>
      </c>
      <c r="L67">
        <f t="shared" si="6"/>
        <v>110</v>
      </c>
      <c r="M67" s="2">
        <v>8505591</v>
      </c>
      <c r="N67">
        <v>3</v>
      </c>
      <c r="O67">
        <v>4</v>
      </c>
      <c r="P67">
        <v>4</v>
      </c>
      <c r="Q67">
        <f>IF(COUNTIF($A$2:A67, A67) &gt; 1, 1, 0)</f>
        <v>0</v>
      </c>
      <c r="R67" t="b">
        <v>1</v>
      </c>
      <c r="S67" t="s">
        <v>187</v>
      </c>
      <c r="T67">
        <f>IFERROR(INDEX('List of Leagues'!E:E, MATCH(S67, 'List of Leagues'!F:F, 0)), 0)</f>
        <v>58.4</v>
      </c>
      <c r="U67" t="s">
        <v>178</v>
      </c>
      <c r="V67">
        <f>IFERROR(INDEX('List of Leagues'!E:E, MATCH(U67, 'List of Leagues'!F:F, 0)), 0)</f>
        <v>69.3</v>
      </c>
      <c r="W67" t="s">
        <v>756</v>
      </c>
      <c r="X67">
        <f>IFERROR(INDEX('List of Leagues'!E:E, MATCH(W67, 'List of Leagues'!F:F, 0)), 0)</f>
        <v>76.8</v>
      </c>
      <c r="Y67" t="s">
        <v>762</v>
      </c>
      <c r="Z67">
        <f>IFERROR(INDEX('List of Leagues'!E:E, MATCH(Y67, 'List of Leagues'!F:F, 0)), 0)</f>
        <v>0</v>
      </c>
      <c r="AA67" t="s">
        <v>762</v>
      </c>
      <c r="AB67">
        <f>IFERROR(INDEX('List of Leagues'!E:E, MATCH(AA67, 'List of Leagues'!F:F, 0)), 0)</f>
        <v>0</v>
      </c>
      <c r="AC67" t="s">
        <v>762</v>
      </c>
      <c r="AD67">
        <f>IFERROR(INDEX('List of Leagues'!E:E, MATCH(AC67, 'List of Leagues'!F:F, 0)), 0)</f>
        <v>0</v>
      </c>
      <c r="AE67" t="s">
        <v>762</v>
      </c>
      <c r="AF67">
        <f>IFERROR(INDEX('List of Leagues'!E:E, MATCH(AE67, 'List of Leagues'!F:F, 0)), 0)</f>
        <v>0</v>
      </c>
      <c r="AG67" t="s">
        <v>762</v>
      </c>
      <c r="AH67">
        <f>IFERROR(INDEX('List of Leagues'!E:E, MATCH(AG67, 'List of Leagues'!F:F, 0)), 0)</f>
        <v>0</v>
      </c>
      <c r="AI67">
        <f t="shared" si="7"/>
        <v>25.5625</v>
      </c>
      <c r="AJ67" t="s">
        <v>178</v>
      </c>
      <c r="AK67">
        <f>IFERROR(INDEX('List of Leagues'!$E:$E, MATCH(AJ67, 'List of Leagues'!$F:$F, 0)), 0)</f>
        <v>69.3</v>
      </c>
      <c r="AL67" t="s">
        <v>762</v>
      </c>
      <c r="AM67">
        <f>IFERROR(INDEX('List of Leagues'!$E:$E, MATCH(AL67, 'List of Leagues'!$F:$F, 0)), 0)</f>
        <v>0</v>
      </c>
      <c r="AN67" t="s">
        <v>762</v>
      </c>
      <c r="AO67">
        <f>IFERROR(INDEX('List of Leagues'!$E:$E, MATCH(AN67, 'List of Leagues'!$F:$F, 0)), 0)</f>
        <v>0</v>
      </c>
      <c r="AP67" t="s">
        <v>762</v>
      </c>
      <c r="AQ67">
        <f>IFERROR(INDEX('List of Leagues'!$E:$E, MATCH(AP67, 'List of Leagues'!$F:$F, 0)), 0)</f>
        <v>0</v>
      </c>
      <c r="AR67" t="s">
        <v>762</v>
      </c>
      <c r="AS67">
        <f>IFERROR(INDEX('List of Leagues'!$E:$E, MATCH(AR67, 'List of Leagues'!$F:$F, 0)), 0)</f>
        <v>0</v>
      </c>
      <c r="AT67" t="s">
        <v>762</v>
      </c>
      <c r="AU67">
        <f>IFERROR(INDEX('List of Leagues'!$E:$E, MATCH(AT67, 'List of Leagues'!$F:$F, 0)), 0)</f>
        <v>0</v>
      </c>
      <c r="AV67">
        <f t="shared" ref="AV67:AV118" si="8">AVERAGE(AK67, AM67, AO67, AQ67, AS67, AU67)</f>
        <v>11.549999999999999</v>
      </c>
    </row>
    <row r="68" spans="1:48" x14ac:dyDescent="0.35">
      <c r="A68" t="s">
        <v>80</v>
      </c>
      <c r="B68">
        <v>56</v>
      </c>
      <c r="C68">
        <v>2018</v>
      </c>
      <c r="D68" t="s">
        <v>195</v>
      </c>
      <c r="E68" t="s">
        <v>10</v>
      </c>
      <c r="F68" t="s">
        <v>10</v>
      </c>
      <c r="G68" t="s">
        <v>159</v>
      </c>
      <c r="H68">
        <f t="shared" si="5"/>
        <v>53</v>
      </c>
      <c r="I68">
        <v>26</v>
      </c>
      <c r="J68">
        <v>14</v>
      </c>
      <c r="K68">
        <v>13</v>
      </c>
      <c r="L68">
        <f t="shared" si="6"/>
        <v>92</v>
      </c>
      <c r="M68" s="2">
        <v>12619989</v>
      </c>
      <c r="N68">
        <v>1</v>
      </c>
      <c r="O68">
        <v>15</v>
      </c>
      <c r="P68">
        <v>11</v>
      </c>
      <c r="Q68">
        <f>IF(COUNTIF($A$2:A68, A68) &gt; 1, 1, 0)</f>
        <v>0</v>
      </c>
      <c r="R68" t="b">
        <v>1</v>
      </c>
      <c r="S68" t="s">
        <v>217</v>
      </c>
      <c r="T68">
        <f>IFERROR(INDEX('List of Leagues'!E:E, MATCH(S68, 'List of Leagues'!F:F, 0)), 0)</f>
        <v>0</v>
      </c>
      <c r="U68" t="s">
        <v>762</v>
      </c>
      <c r="V68">
        <f>IFERROR(INDEX('List of Leagues'!E:E, MATCH(U68, 'List of Leagues'!F:F, 0)), 0)</f>
        <v>0</v>
      </c>
      <c r="W68" t="s">
        <v>750</v>
      </c>
      <c r="X68">
        <f>IFERROR(INDEX('List of Leagues'!E:E, MATCH(W68, 'List of Leagues'!F:F, 0)), 0)</f>
        <v>0</v>
      </c>
      <c r="Y68" t="s">
        <v>762</v>
      </c>
      <c r="Z68">
        <f>IFERROR(INDEX('List of Leagues'!E:E, MATCH(Y68, 'List of Leagues'!F:F, 0)), 0)</f>
        <v>0</v>
      </c>
      <c r="AA68" t="s">
        <v>762</v>
      </c>
      <c r="AB68">
        <f>IFERROR(INDEX('List of Leagues'!E:E, MATCH(AA68, 'List of Leagues'!F:F, 0)), 0)</f>
        <v>0</v>
      </c>
      <c r="AC68" t="s">
        <v>762</v>
      </c>
      <c r="AD68">
        <f>IFERROR(INDEX('List of Leagues'!E:E, MATCH(AC68, 'List of Leagues'!F:F, 0)), 0)</f>
        <v>0</v>
      </c>
      <c r="AE68" t="s">
        <v>762</v>
      </c>
      <c r="AF68">
        <f>IFERROR(INDEX('List of Leagues'!E:E, MATCH(AE68, 'List of Leagues'!F:F, 0)), 0)</f>
        <v>0</v>
      </c>
      <c r="AG68" t="s">
        <v>762</v>
      </c>
      <c r="AH68">
        <f>IFERROR(INDEX('List of Leagues'!E:E, MATCH(AG68, 'List of Leagues'!F:F, 0)), 0)</f>
        <v>0</v>
      </c>
      <c r="AI68">
        <f t="shared" si="7"/>
        <v>0</v>
      </c>
      <c r="AJ68" t="s">
        <v>757</v>
      </c>
      <c r="AK68">
        <f>IFERROR(INDEX('List of Leagues'!$E:$E, MATCH(AJ68, 'List of Leagues'!$F:$F, 0)), 0)</f>
        <v>0</v>
      </c>
      <c r="AL68" t="s">
        <v>187</v>
      </c>
      <c r="AM68">
        <f>IFERROR(INDEX('List of Leagues'!$E:$E, MATCH(AL68, 'List of Leagues'!$F:$F, 0)), 0)</f>
        <v>58.4</v>
      </c>
      <c r="AN68" t="s">
        <v>777</v>
      </c>
      <c r="AO68">
        <f>IFERROR(INDEX('List of Leagues'!$E:$E, MATCH(AN68, 'List of Leagues'!$F:$F, 0)), 0)</f>
        <v>0</v>
      </c>
      <c r="AP68" t="s">
        <v>762</v>
      </c>
      <c r="AQ68">
        <f>IFERROR(INDEX('List of Leagues'!$E:$E, MATCH(AP68, 'List of Leagues'!$F:$F, 0)), 0)</f>
        <v>0</v>
      </c>
      <c r="AR68" t="s">
        <v>762</v>
      </c>
      <c r="AS68">
        <f>IFERROR(INDEX('List of Leagues'!$E:$E, MATCH(AR68, 'List of Leagues'!$F:$F, 0)), 0)</f>
        <v>0</v>
      </c>
      <c r="AT68" t="s">
        <v>762</v>
      </c>
      <c r="AU68">
        <f>IFERROR(INDEX('List of Leagues'!$E:$E, MATCH(AT68, 'List of Leagues'!$F:$F, 0)), 0)</f>
        <v>0</v>
      </c>
      <c r="AV68">
        <f t="shared" si="8"/>
        <v>9.7333333333333325</v>
      </c>
    </row>
    <row r="69" spans="1:48" x14ac:dyDescent="0.35">
      <c r="A69" t="s">
        <v>83</v>
      </c>
      <c r="B69">
        <v>47</v>
      </c>
      <c r="C69">
        <v>2018</v>
      </c>
      <c r="D69" t="s">
        <v>39</v>
      </c>
      <c r="E69" t="s">
        <v>10</v>
      </c>
      <c r="F69" t="s">
        <v>10</v>
      </c>
      <c r="G69" t="s">
        <v>160</v>
      </c>
      <c r="H69">
        <f t="shared" si="5"/>
        <v>183</v>
      </c>
      <c r="I69">
        <f>15+14+11+17+11+6</f>
        <v>74</v>
      </c>
      <c r="J69">
        <f>9+7+6+4+13+8</f>
        <v>47</v>
      </c>
      <c r="K69">
        <f>10+13+6+13+10+10</f>
        <v>62</v>
      </c>
      <c r="L69">
        <f t="shared" si="6"/>
        <v>269</v>
      </c>
      <c r="M69" s="2">
        <v>13170610.5</v>
      </c>
      <c r="N69">
        <v>5</v>
      </c>
      <c r="O69">
        <v>5</v>
      </c>
      <c r="P69">
        <v>0</v>
      </c>
      <c r="Q69">
        <f>IF(COUNTIF($A$2:A69, A69) &gt; 1, 1, 0)</f>
        <v>0</v>
      </c>
      <c r="R69" t="b">
        <v>1</v>
      </c>
      <c r="S69" t="s">
        <v>569</v>
      </c>
      <c r="T69">
        <f>IFERROR(INDEX('List of Leagues'!E:E, MATCH(S69, 'List of Leagues'!F:F, 0)), 0)</f>
        <v>66.599999999999994</v>
      </c>
      <c r="U69" t="s">
        <v>185</v>
      </c>
      <c r="V69">
        <f>IFERROR(INDEX('List of Leagues'!E:E, MATCH(U69, 'List of Leagues'!F:F, 0)), 0)</f>
        <v>75.400000000000006</v>
      </c>
      <c r="W69" t="s">
        <v>762</v>
      </c>
      <c r="X69">
        <f>IFERROR(INDEX('List of Leagues'!E:E, MATCH(W69, 'List of Leagues'!F:F, 0)), 0)</f>
        <v>0</v>
      </c>
      <c r="Y69" t="s">
        <v>187</v>
      </c>
      <c r="Z69">
        <f>IFERROR(INDEX('List of Leagues'!E:E, MATCH(Y69, 'List of Leagues'!F:F, 0)), 0)</f>
        <v>58.4</v>
      </c>
      <c r="AA69" t="s">
        <v>571</v>
      </c>
      <c r="AB69">
        <f>IFERROR(INDEX('List of Leagues'!E:E, MATCH(AA69, 'List of Leagues'!F:F, 0)), 0)</f>
        <v>66.3</v>
      </c>
      <c r="AC69" t="s">
        <v>756</v>
      </c>
      <c r="AD69">
        <f>IFERROR(INDEX('List of Leagues'!E:E, MATCH(AC69, 'List of Leagues'!F:F, 0)), 0)</f>
        <v>76.8</v>
      </c>
      <c r="AE69" t="s">
        <v>762</v>
      </c>
      <c r="AF69">
        <f>IFERROR(INDEX('List of Leagues'!E:E, MATCH(AE69, 'List of Leagues'!F:F, 0)), 0)</f>
        <v>0</v>
      </c>
      <c r="AG69" t="s">
        <v>762</v>
      </c>
      <c r="AH69">
        <f>IFERROR(INDEX('List of Leagues'!E:E, MATCH(AG69, 'List of Leagues'!F:F, 0)), 0)</f>
        <v>0</v>
      </c>
      <c r="AI69">
        <f t="shared" si="7"/>
        <v>42.9375</v>
      </c>
      <c r="AJ69" t="s">
        <v>539</v>
      </c>
      <c r="AK69">
        <f>IFERROR(INDEX('List of Leagues'!$E:$E, MATCH(AJ69, 'List of Leagues'!$F:$F, 0)), 0)</f>
        <v>77.400000000000006</v>
      </c>
      <c r="AL69" t="s">
        <v>574</v>
      </c>
      <c r="AM69">
        <f>IFERROR(INDEX('List of Leagues'!$E:$E, MATCH(AL69, 'List of Leagues'!$F:$F, 0)), 0)</f>
        <v>66</v>
      </c>
      <c r="AN69" t="s">
        <v>762</v>
      </c>
      <c r="AO69">
        <f>IFERROR(INDEX('List of Leagues'!$E:$E, MATCH(AN69, 'List of Leagues'!$F:$F, 0)), 0)</f>
        <v>0</v>
      </c>
      <c r="AP69" t="s">
        <v>762</v>
      </c>
      <c r="AQ69">
        <f>IFERROR(INDEX('List of Leagues'!$E:$E, MATCH(AP69, 'List of Leagues'!$F:$F, 0)), 0)</f>
        <v>0</v>
      </c>
      <c r="AR69" t="s">
        <v>762</v>
      </c>
      <c r="AS69">
        <f>IFERROR(INDEX('List of Leagues'!$E:$E, MATCH(AR69, 'List of Leagues'!$F:$F, 0)), 0)</f>
        <v>0</v>
      </c>
      <c r="AT69" t="s">
        <v>762</v>
      </c>
      <c r="AU69">
        <f>IFERROR(INDEX('List of Leagues'!$E:$E, MATCH(AT69, 'List of Leagues'!$F:$F, 0)), 0)</f>
        <v>0</v>
      </c>
      <c r="AV69">
        <f t="shared" si="8"/>
        <v>23.900000000000002</v>
      </c>
    </row>
    <row r="70" spans="1:48" x14ac:dyDescent="0.35">
      <c r="A70" t="s">
        <v>82</v>
      </c>
      <c r="B70">
        <v>39</v>
      </c>
      <c r="C70">
        <v>2018</v>
      </c>
      <c r="D70" t="s">
        <v>68</v>
      </c>
      <c r="E70" t="s">
        <v>10</v>
      </c>
      <c r="F70" t="s">
        <v>10</v>
      </c>
      <c r="G70" t="s">
        <v>157</v>
      </c>
      <c r="H70">
        <f t="shared" ref="H70:H101" si="9">I70+J70+K70</f>
        <v>56</v>
      </c>
      <c r="I70">
        <v>13</v>
      </c>
      <c r="J70">
        <v>14</v>
      </c>
      <c r="K70">
        <v>29</v>
      </c>
      <c r="L70">
        <f t="shared" ref="L70:L101" si="10">I70*3 + J70</f>
        <v>53</v>
      </c>
      <c r="M70" s="2">
        <v>11048066</v>
      </c>
      <c r="N70">
        <v>2</v>
      </c>
      <c r="O70">
        <v>4</v>
      </c>
      <c r="P70">
        <v>1</v>
      </c>
      <c r="Q70">
        <f>IF(COUNTIF($A$2:A70, A70) &gt; 1, 1, 0)</f>
        <v>0</v>
      </c>
      <c r="R70" t="b">
        <v>1</v>
      </c>
      <c r="S70" t="s">
        <v>187</v>
      </c>
      <c r="T70">
        <f>IFERROR(INDEX('List of Leagues'!E:E, MATCH(S70, 'List of Leagues'!F:F, 0)), 0)</f>
        <v>58.4</v>
      </c>
      <c r="U70" t="s">
        <v>185</v>
      </c>
      <c r="V70">
        <f>IFERROR(INDEX('List of Leagues'!E:E, MATCH(U70, 'List of Leagues'!F:F, 0)), 0)</f>
        <v>75.400000000000006</v>
      </c>
      <c r="W70" t="s">
        <v>756</v>
      </c>
      <c r="X70">
        <f>IFERROR(INDEX('List of Leagues'!E:E, MATCH(W70, 'List of Leagues'!F:F, 0)), 0)</f>
        <v>76.8</v>
      </c>
      <c r="Y70" t="s">
        <v>762</v>
      </c>
      <c r="Z70">
        <f>IFERROR(INDEX('List of Leagues'!E:E, MATCH(Y70, 'List of Leagues'!F:F, 0)), 0)</f>
        <v>0</v>
      </c>
      <c r="AA70" t="s">
        <v>762</v>
      </c>
      <c r="AB70">
        <f>IFERROR(INDEX('List of Leagues'!E:E, MATCH(AA70, 'List of Leagues'!F:F, 0)), 0)</f>
        <v>0</v>
      </c>
      <c r="AC70" t="s">
        <v>762</v>
      </c>
      <c r="AD70">
        <f>IFERROR(INDEX('List of Leagues'!E:E, MATCH(AC70, 'List of Leagues'!F:F, 0)), 0)</f>
        <v>0</v>
      </c>
      <c r="AE70" t="s">
        <v>762</v>
      </c>
      <c r="AF70">
        <f>IFERROR(INDEX('List of Leagues'!E:E, MATCH(AE70, 'List of Leagues'!F:F, 0)), 0)</f>
        <v>0</v>
      </c>
      <c r="AG70" t="s">
        <v>762</v>
      </c>
      <c r="AH70">
        <f>IFERROR(INDEX('List of Leagues'!E:E, MATCH(AG70, 'List of Leagues'!F:F, 0)), 0)</f>
        <v>0</v>
      </c>
      <c r="AI70">
        <f t="shared" si="7"/>
        <v>26.325000000000003</v>
      </c>
      <c r="AJ70" t="s">
        <v>177</v>
      </c>
      <c r="AK70">
        <f>IFERROR(INDEX('List of Leagues'!$E:$E, MATCH(AJ70, 'List of Leagues'!$F:$F, 0)), 0)</f>
        <v>0</v>
      </c>
      <c r="AL70" t="s">
        <v>762</v>
      </c>
      <c r="AM70">
        <f>IFERROR(INDEX('List of Leagues'!$E:$E, MATCH(AL70, 'List of Leagues'!$F:$F, 0)), 0)</f>
        <v>0</v>
      </c>
      <c r="AN70" t="s">
        <v>762</v>
      </c>
      <c r="AO70">
        <f>IFERROR(INDEX('List of Leagues'!$E:$E, MATCH(AN70, 'List of Leagues'!$F:$F, 0)), 0)</f>
        <v>0</v>
      </c>
      <c r="AP70" t="s">
        <v>762</v>
      </c>
      <c r="AQ70">
        <f>IFERROR(INDEX('List of Leagues'!$E:$E, MATCH(AP70, 'List of Leagues'!$F:$F, 0)), 0)</f>
        <v>0</v>
      </c>
      <c r="AR70" t="s">
        <v>762</v>
      </c>
      <c r="AS70">
        <f>IFERROR(INDEX('List of Leagues'!$E:$E, MATCH(AR70, 'List of Leagues'!$F:$F, 0)), 0)</f>
        <v>0</v>
      </c>
      <c r="AT70" t="s">
        <v>762</v>
      </c>
      <c r="AU70">
        <f>IFERROR(INDEX('List of Leagues'!$E:$E, MATCH(AT70, 'List of Leagues'!$F:$F, 0)), 0)</f>
        <v>0</v>
      </c>
      <c r="AV70">
        <f t="shared" si="8"/>
        <v>0</v>
      </c>
    </row>
    <row r="71" spans="1:48" x14ac:dyDescent="0.35">
      <c r="A71" t="s">
        <v>75</v>
      </c>
      <c r="B71">
        <v>51</v>
      </c>
      <c r="C71">
        <v>2018</v>
      </c>
      <c r="D71" t="s">
        <v>45</v>
      </c>
      <c r="E71" t="s">
        <v>10</v>
      </c>
      <c r="F71" t="s">
        <v>10</v>
      </c>
      <c r="G71" t="s">
        <v>158</v>
      </c>
      <c r="H71">
        <f t="shared" si="9"/>
        <v>61</v>
      </c>
      <c r="I71">
        <v>24</v>
      </c>
      <c r="J71">
        <v>8</v>
      </c>
      <c r="K71">
        <f>16+13</f>
        <v>29</v>
      </c>
      <c r="L71">
        <f t="shared" si="10"/>
        <v>80</v>
      </c>
      <c r="M71" s="2">
        <v>13878685</v>
      </c>
      <c r="N71">
        <v>2</v>
      </c>
      <c r="O71">
        <v>4</v>
      </c>
      <c r="P71">
        <v>2</v>
      </c>
      <c r="Q71">
        <f>IF(COUNTIF($A$2:A71, A71) &gt; 1, 1, 0)</f>
        <v>0</v>
      </c>
      <c r="R71" t="b">
        <v>1</v>
      </c>
      <c r="S71" t="s">
        <v>208</v>
      </c>
      <c r="T71">
        <f>IFERROR(INDEX('List of Leagues'!E:E, MATCH(S71, 'List of Leagues'!F:F, 0)), 0)</f>
        <v>85.1</v>
      </c>
      <c r="U71" t="s">
        <v>184</v>
      </c>
      <c r="V71">
        <f>IFERROR(INDEX('List of Leagues'!E:E, MATCH(U71, 'List of Leagues'!F:F, 0)), 0)</f>
        <v>93.8</v>
      </c>
      <c r="W71" t="s">
        <v>178</v>
      </c>
      <c r="X71">
        <f>IFERROR(INDEX('List of Leagues'!E:E, MATCH(W71, 'List of Leagues'!F:F, 0)), 0)</f>
        <v>69.3</v>
      </c>
      <c r="Y71" t="s">
        <v>762</v>
      </c>
      <c r="Z71">
        <f>IFERROR(INDEX('List of Leagues'!E:E, MATCH(Y71, 'List of Leagues'!F:F, 0)), 0)</f>
        <v>0</v>
      </c>
      <c r="AA71" t="s">
        <v>762</v>
      </c>
      <c r="AB71">
        <f>IFERROR(INDEX('List of Leagues'!E:E, MATCH(AA71, 'List of Leagues'!F:F, 0)), 0)</f>
        <v>0</v>
      </c>
      <c r="AC71" t="s">
        <v>762</v>
      </c>
      <c r="AD71">
        <f>IFERROR(INDEX('List of Leagues'!E:E, MATCH(AC71, 'List of Leagues'!F:F, 0)), 0)</f>
        <v>0</v>
      </c>
      <c r="AE71" t="s">
        <v>762</v>
      </c>
      <c r="AF71">
        <f>IFERROR(INDEX('List of Leagues'!E:E, MATCH(AE71, 'List of Leagues'!F:F, 0)), 0)</f>
        <v>0</v>
      </c>
      <c r="AG71" t="s">
        <v>762</v>
      </c>
      <c r="AH71">
        <f>IFERROR(INDEX('List of Leagues'!E:E, MATCH(AG71, 'List of Leagues'!F:F, 0)), 0)</f>
        <v>0</v>
      </c>
      <c r="AI71">
        <f t="shared" si="7"/>
        <v>31.024999999999999</v>
      </c>
      <c r="AJ71" t="s">
        <v>758</v>
      </c>
      <c r="AK71">
        <f>IFERROR(INDEX('List of Leagues'!$E:$E, MATCH(AJ71, 'List of Leagues'!$F:$F, 0)), 0)</f>
        <v>0</v>
      </c>
      <c r="AL71" t="s">
        <v>704</v>
      </c>
      <c r="AM71">
        <f>IFERROR(INDEX('List of Leagues'!$E:$E, MATCH(AL71, 'List of Leagues'!$F:$F, 0)), 0)</f>
        <v>45.9</v>
      </c>
      <c r="AN71" t="s">
        <v>187</v>
      </c>
      <c r="AO71">
        <f>IFERROR(INDEX('List of Leagues'!$E:$E, MATCH(AN71, 'List of Leagues'!$F:$F, 0)), 0)</f>
        <v>58.4</v>
      </c>
      <c r="AP71" t="s">
        <v>762</v>
      </c>
      <c r="AQ71">
        <f>IFERROR(INDEX('List of Leagues'!$E:$E, MATCH(AP71, 'List of Leagues'!$F:$F, 0)), 0)</f>
        <v>0</v>
      </c>
      <c r="AR71" t="s">
        <v>762</v>
      </c>
      <c r="AS71">
        <f>IFERROR(INDEX('List of Leagues'!$E:$E, MATCH(AR71, 'List of Leagues'!$F:$F, 0)), 0)</f>
        <v>0</v>
      </c>
      <c r="AT71" t="s">
        <v>762</v>
      </c>
      <c r="AU71">
        <f>IFERROR(INDEX('List of Leagues'!$E:$E, MATCH(AT71, 'List of Leagues'!$F:$F, 0)), 0)</f>
        <v>0</v>
      </c>
      <c r="AV71">
        <f t="shared" si="8"/>
        <v>17.383333333333333</v>
      </c>
    </row>
    <row r="72" spans="1:48" x14ac:dyDescent="0.35">
      <c r="A72" t="s">
        <v>85</v>
      </c>
      <c r="B72">
        <v>44</v>
      </c>
      <c r="C72">
        <v>2019</v>
      </c>
      <c r="D72" t="s">
        <v>196</v>
      </c>
      <c r="E72" t="s">
        <v>10</v>
      </c>
      <c r="F72" t="s">
        <v>10</v>
      </c>
      <c r="G72" t="s">
        <v>161</v>
      </c>
      <c r="H72">
        <f t="shared" si="9"/>
        <v>11</v>
      </c>
      <c r="I72">
        <v>2</v>
      </c>
      <c r="J72">
        <v>2</v>
      </c>
      <c r="K72">
        <v>7</v>
      </c>
      <c r="L72">
        <f t="shared" si="10"/>
        <v>8</v>
      </c>
      <c r="M72" s="1">
        <v>11420531</v>
      </c>
      <c r="N72">
        <v>1</v>
      </c>
      <c r="O72">
        <v>10</v>
      </c>
      <c r="P72">
        <v>3</v>
      </c>
      <c r="Q72">
        <f>IF(COUNTIF($A$2:A72, A72) &gt; 1, 1, 0)</f>
        <v>0</v>
      </c>
      <c r="R72" t="b">
        <v>1</v>
      </c>
      <c r="S72" t="s">
        <v>749</v>
      </c>
      <c r="T72">
        <f>IFERROR(INDEX('List of Leagues'!E:E, MATCH(S72, 'List of Leagues'!F:F, 0)), 0)</f>
        <v>0</v>
      </c>
      <c r="U72" t="s">
        <v>761</v>
      </c>
      <c r="V72">
        <f>IFERROR(INDEX('List of Leagues'!E:E, MATCH(U72, 'List of Leagues'!F:F, 0)), 0)</f>
        <v>66.3</v>
      </c>
      <c r="W72" t="s">
        <v>762</v>
      </c>
      <c r="X72">
        <f>IFERROR(INDEX('List of Leagues'!E:E, MATCH(W72, 'List of Leagues'!F:F, 0)), 0)</f>
        <v>0</v>
      </c>
      <c r="Y72" t="s">
        <v>762</v>
      </c>
      <c r="Z72">
        <f>IFERROR(INDEX('List of Leagues'!E:E, MATCH(Y72, 'List of Leagues'!F:F, 0)), 0)</f>
        <v>0</v>
      </c>
      <c r="AA72" t="s">
        <v>762</v>
      </c>
      <c r="AB72">
        <f>IFERROR(INDEX('List of Leagues'!E:E, MATCH(AA72, 'List of Leagues'!F:F, 0)), 0)</f>
        <v>0</v>
      </c>
      <c r="AC72" t="s">
        <v>762</v>
      </c>
      <c r="AD72">
        <f>IFERROR(INDEX('List of Leagues'!E:E, MATCH(AC72, 'List of Leagues'!F:F, 0)), 0)</f>
        <v>0</v>
      </c>
      <c r="AE72" t="s">
        <v>762</v>
      </c>
      <c r="AF72">
        <f>IFERROR(INDEX('List of Leagues'!E:E, MATCH(AE72, 'List of Leagues'!F:F, 0)), 0)</f>
        <v>0</v>
      </c>
      <c r="AG72" t="s">
        <v>762</v>
      </c>
      <c r="AH72">
        <f>IFERROR(INDEX('List of Leagues'!E:E, MATCH(AG72, 'List of Leagues'!F:F, 0)), 0)</f>
        <v>0</v>
      </c>
      <c r="AI72">
        <f t="shared" si="7"/>
        <v>8.2874999999999996</v>
      </c>
      <c r="AJ72" t="s">
        <v>177</v>
      </c>
      <c r="AK72">
        <f>IFERROR(INDEX('List of Leagues'!$E:$E, MATCH(AJ72, 'List of Leagues'!$F:$F, 0)), 0)</f>
        <v>0</v>
      </c>
      <c r="AL72" t="s">
        <v>762</v>
      </c>
      <c r="AM72">
        <f>IFERROR(INDEX('List of Leagues'!$E:$E, MATCH(AL72, 'List of Leagues'!$F:$F, 0)), 0)</f>
        <v>0</v>
      </c>
      <c r="AN72" t="s">
        <v>762</v>
      </c>
      <c r="AO72">
        <f>IFERROR(INDEX('List of Leagues'!$E:$E, MATCH(AN72, 'List of Leagues'!$F:$F, 0)), 0)</f>
        <v>0</v>
      </c>
      <c r="AP72" t="s">
        <v>762</v>
      </c>
      <c r="AQ72">
        <f>IFERROR(INDEX('List of Leagues'!$E:$E, MATCH(AP72, 'List of Leagues'!$F:$F, 0)), 0)</f>
        <v>0</v>
      </c>
      <c r="AR72" t="s">
        <v>762</v>
      </c>
      <c r="AS72">
        <f>IFERROR(INDEX('List of Leagues'!$E:$E, MATCH(AR72, 'List of Leagues'!$F:$F, 0)), 0)</f>
        <v>0</v>
      </c>
      <c r="AT72" t="s">
        <v>762</v>
      </c>
      <c r="AU72">
        <f>IFERROR(INDEX('List of Leagues'!$E:$E, MATCH(AT72, 'List of Leagues'!$F:$F, 0)), 0)</f>
        <v>0</v>
      </c>
      <c r="AV72">
        <f t="shared" si="8"/>
        <v>0</v>
      </c>
    </row>
    <row r="73" spans="1:48" x14ac:dyDescent="0.35">
      <c r="A73" t="s">
        <v>15</v>
      </c>
      <c r="B73">
        <v>68</v>
      </c>
      <c r="C73">
        <v>2019</v>
      </c>
      <c r="D73" t="s">
        <v>197</v>
      </c>
      <c r="E73" t="s">
        <v>10</v>
      </c>
      <c r="F73" t="s">
        <v>10</v>
      </c>
      <c r="G73" t="s">
        <v>136</v>
      </c>
      <c r="H73">
        <f t="shared" si="9"/>
        <v>147</v>
      </c>
      <c r="I73">
        <f>8+22+19+13+8</f>
        <v>70</v>
      </c>
      <c r="J73">
        <f>8+7+12+9+10</f>
        <v>46</v>
      </c>
      <c r="K73">
        <f>9+12+5+5</f>
        <v>31</v>
      </c>
      <c r="L73">
        <f t="shared" si="10"/>
        <v>256</v>
      </c>
      <c r="M73" s="2">
        <v>15627522</v>
      </c>
      <c r="N73">
        <v>3</v>
      </c>
      <c r="O73">
        <v>45</v>
      </c>
      <c r="P73">
        <v>8</v>
      </c>
      <c r="Q73">
        <f>IF(COUNTIF($A$2:A73, A73) &gt; 1, 1, 0)</f>
        <v>1</v>
      </c>
      <c r="R73" t="b">
        <v>1</v>
      </c>
      <c r="S73" t="s">
        <v>176</v>
      </c>
      <c r="T73">
        <f>IFERROR(INDEX('List of Leagues'!E:E, MATCH(S73, 'List of Leagues'!F:F, 0)), 0)</f>
        <v>0</v>
      </c>
      <c r="U73" t="s">
        <v>762</v>
      </c>
      <c r="V73">
        <f>IFERROR(INDEX('List of Leagues'!E:E, MATCH(U73, 'List of Leagues'!F:F, 0)), 0)</f>
        <v>0</v>
      </c>
      <c r="W73" t="s">
        <v>762</v>
      </c>
      <c r="X73">
        <f>IFERROR(INDEX('List of Leagues'!E:E, MATCH(W73, 'List of Leagues'!F:F, 0)), 0)</f>
        <v>0</v>
      </c>
      <c r="Y73" t="s">
        <v>762</v>
      </c>
      <c r="Z73">
        <f>IFERROR(INDEX('List of Leagues'!E:E, MATCH(Y73, 'List of Leagues'!F:F, 0)), 0)</f>
        <v>0</v>
      </c>
      <c r="AA73" t="s">
        <v>762</v>
      </c>
      <c r="AB73">
        <f>IFERROR(INDEX('List of Leagues'!E:E, MATCH(AA73, 'List of Leagues'!F:F, 0)), 0)</f>
        <v>0</v>
      </c>
      <c r="AC73" t="s">
        <v>762</v>
      </c>
      <c r="AD73">
        <f>IFERROR(INDEX('List of Leagues'!E:E, MATCH(AC73, 'List of Leagues'!F:F, 0)), 0)</f>
        <v>0</v>
      </c>
      <c r="AE73" t="s">
        <v>762</v>
      </c>
      <c r="AF73">
        <f>IFERROR(INDEX('List of Leagues'!E:E, MATCH(AE73, 'List of Leagues'!F:F, 0)), 0)</f>
        <v>0</v>
      </c>
      <c r="AG73" t="s">
        <v>762</v>
      </c>
      <c r="AH73">
        <f>IFERROR(INDEX('List of Leagues'!E:E, MATCH(AG73, 'List of Leagues'!F:F, 0)), 0)</f>
        <v>0</v>
      </c>
      <c r="AI73">
        <f t="shared" si="7"/>
        <v>0</v>
      </c>
      <c r="AJ73" t="s">
        <v>201</v>
      </c>
      <c r="AK73">
        <f>IFERROR(INDEX('List of Leagues'!$E:$E, MATCH(AJ73, 'List of Leagues'!$F:$F, 0)), 0)</f>
        <v>80</v>
      </c>
      <c r="AL73" t="s">
        <v>532</v>
      </c>
      <c r="AM73">
        <f>IFERROR(INDEX('List of Leagues'!$E:$E, MATCH(AL73, 'List of Leagues'!$F:$F, 0)), 0)</f>
        <v>80.8</v>
      </c>
      <c r="AN73" t="s">
        <v>762</v>
      </c>
      <c r="AO73">
        <f>IFERROR(INDEX('List of Leagues'!$E:$E, MATCH(AN73, 'List of Leagues'!$F:$F, 0)), 0)</f>
        <v>0</v>
      </c>
      <c r="AP73" t="s">
        <v>762</v>
      </c>
      <c r="AQ73">
        <f>IFERROR(INDEX('List of Leagues'!$E:$E, MATCH(AP73, 'List of Leagues'!$F:$F, 0)), 0)</f>
        <v>0</v>
      </c>
      <c r="AR73" t="s">
        <v>762</v>
      </c>
      <c r="AS73">
        <f>IFERROR(INDEX('List of Leagues'!$E:$E, MATCH(AR73, 'List of Leagues'!$F:$F, 0)), 0)</f>
        <v>0</v>
      </c>
      <c r="AT73" t="s">
        <v>762</v>
      </c>
      <c r="AU73">
        <f>IFERROR(INDEX('List of Leagues'!$E:$E, MATCH(AT73, 'List of Leagues'!$F:$F, 0)), 0)</f>
        <v>0</v>
      </c>
      <c r="AV73">
        <f t="shared" si="8"/>
        <v>26.8</v>
      </c>
    </row>
    <row r="74" spans="1:48" x14ac:dyDescent="0.35">
      <c r="A74" t="s">
        <v>53</v>
      </c>
      <c r="B74">
        <v>44</v>
      </c>
      <c r="C74">
        <v>2019</v>
      </c>
      <c r="D74" t="s">
        <v>23</v>
      </c>
      <c r="E74" t="s">
        <v>10</v>
      </c>
      <c r="F74" t="s">
        <v>10</v>
      </c>
      <c r="G74" t="s">
        <v>136</v>
      </c>
      <c r="H74">
        <f t="shared" si="9"/>
        <v>124</v>
      </c>
      <c r="I74">
        <f>10+12+13+10</f>
        <v>45</v>
      </c>
      <c r="J74">
        <f>16+8+5+8</f>
        <v>37</v>
      </c>
      <c r="K74">
        <f>15+6+13+8</f>
        <v>42</v>
      </c>
      <c r="L74">
        <f t="shared" si="10"/>
        <v>172</v>
      </c>
      <c r="M74" s="2">
        <v>14607040.5</v>
      </c>
      <c r="N74">
        <v>2</v>
      </c>
      <c r="O74">
        <v>10</v>
      </c>
      <c r="P74">
        <v>5</v>
      </c>
      <c r="Q74">
        <f>IF(COUNTIF($A$2:A74, A74) &gt; 1, 1, 0)</f>
        <v>1</v>
      </c>
      <c r="R74" t="b">
        <v>1</v>
      </c>
      <c r="S74" t="s">
        <v>178</v>
      </c>
      <c r="T74">
        <f>IFERROR(INDEX('List of Leagues'!E:E, MATCH(S74, 'List of Leagues'!F:F, 0)), 0)</f>
        <v>69.3</v>
      </c>
      <c r="U74" t="s">
        <v>187</v>
      </c>
      <c r="V74">
        <f>IFERROR(INDEX('List of Leagues'!E:E, MATCH(U74, 'List of Leagues'!F:F, 0)), 0)</f>
        <v>58.4</v>
      </c>
      <c r="W74" t="s">
        <v>178</v>
      </c>
      <c r="X74">
        <f>IFERROR(INDEX('List of Leagues'!E:E, MATCH(W74, 'List of Leagues'!F:F, 0)), 0)</f>
        <v>69.3</v>
      </c>
      <c r="Y74" t="s">
        <v>762</v>
      </c>
      <c r="Z74">
        <f>IFERROR(INDEX('List of Leagues'!E:E, MATCH(Y74, 'List of Leagues'!F:F, 0)), 0)</f>
        <v>0</v>
      </c>
      <c r="AA74" t="s">
        <v>762</v>
      </c>
      <c r="AB74">
        <f>IFERROR(INDEX('List of Leagues'!E:E, MATCH(AA74, 'List of Leagues'!F:F, 0)), 0)</f>
        <v>0</v>
      </c>
      <c r="AC74" t="s">
        <v>762</v>
      </c>
      <c r="AD74">
        <f>IFERROR(INDEX('List of Leagues'!E:E, MATCH(AC74, 'List of Leagues'!F:F, 0)), 0)</f>
        <v>0</v>
      </c>
      <c r="AE74" t="s">
        <v>762</v>
      </c>
      <c r="AF74">
        <f>IFERROR(INDEX('List of Leagues'!E:E, MATCH(AE74, 'List of Leagues'!F:F, 0)), 0)</f>
        <v>0</v>
      </c>
      <c r="AG74" t="s">
        <v>762</v>
      </c>
      <c r="AH74">
        <f>IFERROR(INDEX('List of Leagues'!E:E, MATCH(AG74, 'List of Leagues'!F:F, 0)), 0)</f>
        <v>0</v>
      </c>
      <c r="AI74">
        <f t="shared" si="7"/>
        <v>24.625</v>
      </c>
      <c r="AJ74" t="s">
        <v>177</v>
      </c>
      <c r="AK74">
        <f>IFERROR(INDEX('List of Leagues'!$E:$E, MATCH(AJ74, 'List of Leagues'!$F:$F, 0)), 0)</f>
        <v>0</v>
      </c>
      <c r="AL74" t="s">
        <v>762</v>
      </c>
      <c r="AM74">
        <f>IFERROR(INDEX('List of Leagues'!$E:$E, MATCH(AL74, 'List of Leagues'!$F:$F, 0)), 0)</f>
        <v>0</v>
      </c>
      <c r="AN74" t="s">
        <v>762</v>
      </c>
      <c r="AO74">
        <f>IFERROR(INDEX('List of Leagues'!$E:$E, MATCH(AN74, 'List of Leagues'!$F:$F, 0)), 0)</f>
        <v>0</v>
      </c>
      <c r="AP74" t="s">
        <v>762</v>
      </c>
      <c r="AQ74">
        <f>IFERROR(INDEX('List of Leagues'!$E:$E, MATCH(AP74, 'List of Leagues'!$F:$F, 0)), 0)</f>
        <v>0</v>
      </c>
      <c r="AR74" t="s">
        <v>762</v>
      </c>
      <c r="AS74">
        <f>IFERROR(INDEX('List of Leagues'!$E:$E, MATCH(AR74, 'List of Leagues'!$F:$F, 0)), 0)</f>
        <v>0</v>
      </c>
      <c r="AT74" t="s">
        <v>762</v>
      </c>
      <c r="AU74">
        <f>IFERROR(INDEX('List of Leagues'!$E:$E, MATCH(AT74, 'List of Leagues'!$F:$F, 0)), 0)</f>
        <v>0</v>
      </c>
      <c r="AV74">
        <f t="shared" si="8"/>
        <v>0</v>
      </c>
    </row>
    <row r="75" spans="1:48" x14ac:dyDescent="0.35">
      <c r="A75" t="s">
        <v>84</v>
      </c>
      <c r="B75">
        <v>49</v>
      </c>
      <c r="C75">
        <v>2019</v>
      </c>
      <c r="D75" t="s">
        <v>72</v>
      </c>
      <c r="E75" t="s">
        <v>10</v>
      </c>
      <c r="F75" t="s">
        <v>10</v>
      </c>
      <c r="G75" t="s">
        <v>135</v>
      </c>
      <c r="H75">
        <f t="shared" si="9"/>
        <v>55</v>
      </c>
      <c r="I75">
        <v>31</v>
      </c>
      <c r="J75">
        <v>5</v>
      </c>
      <c r="K75">
        <v>19</v>
      </c>
      <c r="L75">
        <f t="shared" si="10"/>
        <v>98</v>
      </c>
      <c r="M75" s="2">
        <f>AVERAGE(13222019, 14047996)</f>
        <v>13635007.5</v>
      </c>
      <c r="N75">
        <v>2</v>
      </c>
      <c r="O75">
        <v>12</v>
      </c>
      <c r="P75">
        <v>3</v>
      </c>
      <c r="Q75">
        <f>IF(COUNTIF($A$2:A75, A75) &gt; 1, 1, 0)</f>
        <v>0</v>
      </c>
      <c r="R75" t="b">
        <v>1</v>
      </c>
      <c r="S75" t="s">
        <v>197</v>
      </c>
      <c r="T75">
        <f>IFERROR(INDEX('List of Leagues'!E:E, MATCH(S75, 'List of Leagues'!F:F, 0)), 0)</f>
        <v>78.400000000000006</v>
      </c>
      <c r="U75" t="s">
        <v>537</v>
      </c>
      <c r="V75">
        <f>IFERROR(INDEX('List of Leagues'!E:E, MATCH(U75, 'List of Leagues'!F:F, 0)), 0)</f>
        <v>71</v>
      </c>
      <c r="W75" t="s">
        <v>178</v>
      </c>
      <c r="X75">
        <f>IFERROR(INDEX('List of Leagues'!E:E, MATCH(W75, 'List of Leagues'!F:F, 0)), 0)</f>
        <v>69.3</v>
      </c>
      <c r="Y75" t="s">
        <v>751</v>
      </c>
      <c r="Z75">
        <f>IFERROR(INDEX('List of Leagues'!E:E, MATCH(Y75, 'List of Leagues'!F:F, 0)), 0)</f>
        <v>68.400000000000006</v>
      </c>
      <c r="AA75" t="s">
        <v>586</v>
      </c>
      <c r="AB75">
        <f>IFERROR(INDEX('List of Leagues'!E:E, MATCH(AA75, 'List of Leagues'!F:F, 0)), 0)</f>
        <v>62.6</v>
      </c>
      <c r="AC75" t="s">
        <v>756</v>
      </c>
      <c r="AD75">
        <f>IFERROR(INDEX('List of Leagues'!E:E, MATCH(AC75, 'List of Leagues'!F:F, 0)), 0)</f>
        <v>76.8</v>
      </c>
      <c r="AE75" t="s">
        <v>762</v>
      </c>
      <c r="AF75">
        <f>IFERROR(INDEX('List of Leagues'!E:E, MATCH(AE75, 'List of Leagues'!F:F, 0)), 0)</f>
        <v>0</v>
      </c>
      <c r="AG75" t="s">
        <v>762</v>
      </c>
      <c r="AH75">
        <f>IFERROR(INDEX('List of Leagues'!E:E, MATCH(AG75, 'List of Leagues'!F:F, 0)), 0)</f>
        <v>0</v>
      </c>
      <c r="AI75">
        <f t="shared" si="7"/>
        <v>53.312500000000007</v>
      </c>
      <c r="AJ75" t="s">
        <v>216</v>
      </c>
      <c r="AK75">
        <f>IFERROR(INDEX('List of Leagues'!$E:$E, MATCH(AJ75, 'List of Leagues'!$F:$F, 0)), 0)</f>
        <v>0</v>
      </c>
      <c r="AL75" t="s">
        <v>545</v>
      </c>
      <c r="AM75">
        <f>IFERROR(INDEX('List of Leagues'!$E:$E, MATCH(AL75, 'List of Leagues'!$F:$F, 0)), 0)</f>
        <v>76.599999999999994</v>
      </c>
      <c r="AN75" t="s">
        <v>762</v>
      </c>
      <c r="AO75">
        <f>IFERROR(INDEX('List of Leagues'!$E:$E, MATCH(AN75, 'List of Leagues'!$F:$F, 0)), 0)</f>
        <v>0</v>
      </c>
      <c r="AP75" t="s">
        <v>762</v>
      </c>
      <c r="AQ75">
        <f>IFERROR(INDEX('List of Leagues'!$E:$E, MATCH(AP75, 'List of Leagues'!$F:$F, 0)), 0)</f>
        <v>0</v>
      </c>
      <c r="AR75" t="s">
        <v>762</v>
      </c>
      <c r="AS75">
        <f>IFERROR(INDEX('List of Leagues'!$E:$E, MATCH(AR75, 'List of Leagues'!$F:$F, 0)), 0)</f>
        <v>0</v>
      </c>
      <c r="AT75" t="s">
        <v>762</v>
      </c>
      <c r="AU75">
        <f>IFERROR(INDEX('List of Leagues'!$E:$E, MATCH(AT75, 'List of Leagues'!$F:$F, 0)), 0)</f>
        <v>0</v>
      </c>
      <c r="AV75">
        <f t="shared" si="8"/>
        <v>12.766666666666666</v>
      </c>
    </row>
    <row r="76" spans="1:48" x14ac:dyDescent="0.35">
      <c r="A76" t="s">
        <v>87</v>
      </c>
      <c r="B76">
        <v>41</v>
      </c>
      <c r="C76">
        <v>2019</v>
      </c>
      <c r="D76" t="s">
        <v>60</v>
      </c>
      <c r="E76" t="s">
        <v>6</v>
      </c>
      <c r="F76" t="s">
        <v>132</v>
      </c>
      <c r="G76" t="s">
        <v>136</v>
      </c>
      <c r="H76">
        <f t="shared" si="9"/>
        <v>57</v>
      </c>
      <c r="I76">
        <f>7+8+5</f>
        <v>20</v>
      </c>
      <c r="J76">
        <f>6+2+7</f>
        <v>15</v>
      </c>
      <c r="K76">
        <f>7+5+10</f>
        <v>22</v>
      </c>
      <c r="L76">
        <f t="shared" si="10"/>
        <v>75</v>
      </c>
      <c r="M76" s="2">
        <v>11377747</v>
      </c>
      <c r="N76">
        <v>2</v>
      </c>
      <c r="O76">
        <v>2</v>
      </c>
      <c r="P76">
        <v>3</v>
      </c>
      <c r="Q76">
        <f>IF(COUNTIF($A$2:A76, A76) &gt; 1, 1, 0)</f>
        <v>0</v>
      </c>
      <c r="R76" t="b">
        <v>1</v>
      </c>
      <c r="S76" t="s">
        <v>187</v>
      </c>
      <c r="T76">
        <f>IFERROR(INDEX('List of Leagues'!E:E, MATCH(S76, 'List of Leagues'!F:F, 0)), 0)</f>
        <v>58.4</v>
      </c>
      <c r="U76" t="s">
        <v>182</v>
      </c>
      <c r="V76">
        <f>IFERROR(INDEX('List of Leagues'!E:E, MATCH(U76, 'List of Leagues'!F:F, 0)), 0)</f>
        <v>0</v>
      </c>
      <c r="W76" t="s">
        <v>547</v>
      </c>
      <c r="X76">
        <f>IFERROR(INDEX('List of Leagues'!E:E, MATCH(W76, 'List of Leagues'!F:F, 0)), 0)</f>
        <v>74.8</v>
      </c>
      <c r="Y76" t="s">
        <v>762</v>
      </c>
      <c r="Z76">
        <f>IFERROR(INDEX('List of Leagues'!E:E, MATCH(Y76, 'List of Leagues'!F:F, 0)), 0)</f>
        <v>0</v>
      </c>
      <c r="AA76" t="s">
        <v>762</v>
      </c>
      <c r="AB76">
        <f>IFERROR(INDEX('List of Leagues'!E:E, MATCH(AA76, 'List of Leagues'!F:F, 0)), 0)</f>
        <v>0</v>
      </c>
      <c r="AC76" t="s">
        <v>762</v>
      </c>
      <c r="AD76">
        <f>IFERROR(INDEX('List of Leagues'!E:E, MATCH(AC76, 'List of Leagues'!F:F, 0)), 0)</f>
        <v>0</v>
      </c>
      <c r="AE76" t="s">
        <v>762</v>
      </c>
      <c r="AF76">
        <f>IFERROR(INDEX('List of Leagues'!E:E, MATCH(AE76, 'List of Leagues'!F:F, 0)), 0)</f>
        <v>0</v>
      </c>
      <c r="AG76" t="s">
        <v>762</v>
      </c>
      <c r="AH76">
        <f>IFERROR(INDEX('List of Leagues'!E:E, MATCH(AG76, 'List of Leagues'!F:F, 0)), 0)</f>
        <v>0</v>
      </c>
      <c r="AI76">
        <f t="shared" si="7"/>
        <v>16.649999999999999</v>
      </c>
      <c r="AJ76" t="s">
        <v>202</v>
      </c>
      <c r="AK76">
        <f>IFERROR(INDEX('List of Leagues'!$E:$E, MATCH(AJ76, 'List of Leagues'!$F:$F, 0)), 0)</f>
        <v>51</v>
      </c>
      <c r="AL76" t="s">
        <v>769</v>
      </c>
      <c r="AM76">
        <f>IFERROR(INDEX('List of Leagues'!$E:$E, MATCH(AL76, 'List of Leagues'!$F:$F, 0)), 0)</f>
        <v>74.2</v>
      </c>
      <c r="AN76" t="s">
        <v>778</v>
      </c>
      <c r="AO76">
        <f>IFERROR(INDEX('List of Leagues'!$E:$E, MATCH(AN76, 'List of Leagues'!$F:$F, 0)), 0)</f>
        <v>52.4</v>
      </c>
      <c r="AP76" t="s">
        <v>534</v>
      </c>
      <c r="AQ76">
        <f>IFERROR(INDEX('List of Leagues'!$E:$E, MATCH(AP76, 'List of Leagues'!$F:$F, 0)), 0)</f>
        <v>80.7</v>
      </c>
      <c r="AR76" t="s">
        <v>762</v>
      </c>
      <c r="AS76">
        <f>IFERROR(INDEX('List of Leagues'!$E:$E, MATCH(AR76, 'List of Leagues'!$F:$F, 0)), 0)</f>
        <v>0</v>
      </c>
      <c r="AT76" t="s">
        <v>762</v>
      </c>
      <c r="AU76">
        <f>IFERROR(INDEX('List of Leagues'!$E:$E, MATCH(AT76, 'List of Leagues'!$F:$F, 0)), 0)</f>
        <v>0</v>
      </c>
      <c r="AV76">
        <f t="shared" si="8"/>
        <v>43.050000000000004</v>
      </c>
    </row>
    <row r="77" spans="1:48" x14ac:dyDescent="0.35">
      <c r="A77" t="s">
        <v>229</v>
      </c>
      <c r="B77">
        <v>46</v>
      </c>
      <c r="C77">
        <v>2019</v>
      </c>
      <c r="D77" t="s">
        <v>14</v>
      </c>
      <c r="E77" t="s">
        <v>10</v>
      </c>
      <c r="F77" t="s">
        <v>10</v>
      </c>
      <c r="G77" t="s">
        <v>155</v>
      </c>
      <c r="H77">
        <f t="shared" si="9"/>
        <v>53</v>
      </c>
      <c r="I77">
        <f>16+5</f>
        <v>21</v>
      </c>
      <c r="J77">
        <f>3+3</f>
        <v>6</v>
      </c>
      <c r="K77">
        <f>12+14</f>
        <v>26</v>
      </c>
      <c r="L77">
        <f t="shared" si="10"/>
        <v>69</v>
      </c>
      <c r="M77" s="2">
        <v>18958240.5</v>
      </c>
      <c r="N77">
        <v>2</v>
      </c>
      <c r="O77">
        <v>6</v>
      </c>
      <c r="P77">
        <v>0</v>
      </c>
      <c r="Q77">
        <f>IF(COUNTIF($A$2:A77, A77) &gt; 1, 1, 0)</f>
        <v>0</v>
      </c>
      <c r="R77" t="b">
        <v>1</v>
      </c>
      <c r="S77" t="s">
        <v>532</v>
      </c>
      <c r="T77">
        <f>IFERROR(INDEX('List of Leagues'!E:E, MATCH(S77, 'List of Leagues'!F:F, 0)), 0)</f>
        <v>80.8</v>
      </c>
      <c r="U77" t="s">
        <v>178</v>
      </c>
      <c r="V77">
        <f>IFERROR(INDEX('List of Leagues'!E:E, MATCH(U77, 'List of Leagues'!F:F, 0)), 0)</f>
        <v>69.3</v>
      </c>
      <c r="W77" t="s">
        <v>762</v>
      </c>
      <c r="X77">
        <f>IFERROR(INDEX('List of Leagues'!E:E, MATCH(W77, 'List of Leagues'!F:F, 0)), 0)</f>
        <v>0</v>
      </c>
      <c r="Y77" t="s">
        <v>762</v>
      </c>
      <c r="Z77">
        <f>IFERROR(INDEX('List of Leagues'!E:E, MATCH(Y77, 'List of Leagues'!F:F, 0)), 0)</f>
        <v>0</v>
      </c>
      <c r="AA77" t="s">
        <v>762</v>
      </c>
      <c r="AB77">
        <f>IFERROR(INDEX('List of Leagues'!E:E, MATCH(AA77, 'List of Leagues'!F:F, 0)), 0)</f>
        <v>0</v>
      </c>
      <c r="AC77" t="s">
        <v>762</v>
      </c>
      <c r="AD77">
        <f>IFERROR(INDEX('List of Leagues'!E:E, MATCH(AC77, 'List of Leagues'!F:F, 0)), 0)</f>
        <v>0</v>
      </c>
      <c r="AE77" t="s">
        <v>762</v>
      </c>
      <c r="AF77">
        <f>IFERROR(INDEX('List of Leagues'!E:E, MATCH(AE77, 'List of Leagues'!F:F, 0)), 0)</f>
        <v>0</v>
      </c>
      <c r="AG77" t="s">
        <v>762</v>
      </c>
      <c r="AH77">
        <f>IFERROR(INDEX('List of Leagues'!E:E, MATCH(AG77, 'List of Leagues'!F:F, 0)), 0)</f>
        <v>0</v>
      </c>
      <c r="AI77">
        <f t="shared" si="7"/>
        <v>18.762499999999999</v>
      </c>
      <c r="AJ77" t="s">
        <v>177</v>
      </c>
      <c r="AK77">
        <f>IFERROR(INDEX('List of Leagues'!$E:$E, MATCH(AJ77, 'List of Leagues'!$F:$F, 0)), 0)</f>
        <v>0</v>
      </c>
      <c r="AL77" t="s">
        <v>762</v>
      </c>
      <c r="AM77">
        <f>IFERROR(INDEX('List of Leagues'!$E:$E, MATCH(AL77, 'List of Leagues'!$F:$F, 0)), 0)</f>
        <v>0</v>
      </c>
      <c r="AN77" t="s">
        <v>762</v>
      </c>
      <c r="AO77">
        <f>IFERROR(INDEX('List of Leagues'!$E:$E, MATCH(AN77, 'List of Leagues'!$F:$F, 0)), 0)</f>
        <v>0</v>
      </c>
      <c r="AP77" t="s">
        <v>762</v>
      </c>
      <c r="AQ77">
        <f>IFERROR(INDEX('List of Leagues'!$E:$E, MATCH(AP77, 'List of Leagues'!$F:$F, 0)), 0)</f>
        <v>0</v>
      </c>
      <c r="AR77" t="s">
        <v>762</v>
      </c>
      <c r="AS77">
        <f>IFERROR(INDEX('List of Leagues'!$E:$E, MATCH(AR77, 'List of Leagues'!$F:$F, 0)), 0)</f>
        <v>0</v>
      </c>
      <c r="AT77" t="s">
        <v>762</v>
      </c>
      <c r="AU77">
        <f>IFERROR(INDEX('List of Leagues'!$E:$E, MATCH(AT77, 'List of Leagues'!$F:$F, 0)), 0)</f>
        <v>0</v>
      </c>
      <c r="AV77">
        <f t="shared" si="8"/>
        <v>0</v>
      </c>
    </row>
    <row r="78" spans="1:48" x14ac:dyDescent="0.35">
      <c r="A78" t="s">
        <v>86</v>
      </c>
      <c r="B78">
        <v>39</v>
      </c>
      <c r="C78">
        <v>2019</v>
      </c>
      <c r="D78" t="s">
        <v>11</v>
      </c>
      <c r="E78" t="s">
        <v>10</v>
      </c>
      <c r="F78" t="s">
        <v>10</v>
      </c>
      <c r="G78" t="s">
        <v>136</v>
      </c>
      <c r="H78">
        <f t="shared" si="9"/>
        <v>82</v>
      </c>
      <c r="I78">
        <f>13+9+6</f>
        <v>28</v>
      </c>
      <c r="J78">
        <f>9+7+9</f>
        <v>25</v>
      </c>
      <c r="K78">
        <f>12+15+2</f>
        <v>29</v>
      </c>
      <c r="L78">
        <f t="shared" si="10"/>
        <v>109</v>
      </c>
      <c r="M78" s="2">
        <v>11531934</v>
      </c>
      <c r="N78">
        <v>3</v>
      </c>
      <c r="O78">
        <v>0</v>
      </c>
      <c r="P78">
        <v>0</v>
      </c>
      <c r="Q78">
        <f>IF(COUNTIF($A$2:A78, A78) &gt; 1, 1, 0)</f>
        <v>0</v>
      </c>
      <c r="R78" t="b">
        <v>1</v>
      </c>
      <c r="S78" t="s">
        <v>178</v>
      </c>
      <c r="T78">
        <f>IFERROR(INDEX('List of Leagues'!E:E, MATCH(S78, 'List of Leagues'!F:F, 0)), 0)</f>
        <v>69.3</v>
      </c>
      <c r="U78" t="s">
        <v>187</v>
      </c>
      <c r="V78">
        <f>IFERROR(INDEX('List of Leagues'!E:E, MATCH(U78, 'List of Leagues'!F:F, 0)), 0)</f>
        <v>58.4</v>
      </c>
      <c r="W78" t="s">
        <v>202</v>
      </c>
      <c r="X78">
        <f>IFERROR(INDEX('List of Leagues'!E:E, MATCH(W78, 'List of Leagues'!F:F, 0)), 0)</f>
        <v>51</v>
      </c>
      <c r="Y78" t="s">
        <v>553</v>
      </c>
      <c r="Z78">
        <f>IFERROR(INDEX('List of Leagues'!E:E, MATCH(Y78, 'List of Leagues'!F:F, 0)), 0)</f>
        <v>69.400000000000006</v>
      </c>
      <c r="AA78" t="s">
        <v>772</v>
      </c>
      <c r="AB78">
        <f>IFERROR(INDEX('List of Leagues'!E:E, MATCH(AA78, 'List of Leagues'!F:F, 0)), 0)</f>
        <v>43.8</v>
      </c>
      <c r="AC78" t="s">
        <v>762</v>
      </c>
      <c r="AD78">
        <f>IFERROR(INDEX('List of Leagues'!E:E, MATCH(AC78, 'List of Leagues'!F:F, 0)), 0)</f>
        <v>0</v>
      </c>
      <c r="AE78" t="s">
        <v>762</v>
      </c>
      <c r="AF78">
        <f>IFERROR(INDEX('List of Leagues'!E:E, MATCH(AE78, 'List of Leagues'!F:F, 0)), 0)</f>
        <v>0</v>
      </c>
      <c r="AG78" t="s">
        <v>762</v>
      </c>
      <c r="AH78">
        <f>IFERROR(INDEX('List of Leagues'!E:E, MATCH(AG78, 'List of Leagues'!F:F, 0)), 0)</f>
        <v>0</v>
      </c>
      <c r="AI78">
        <f t="shared" si="7"/>
        <v>36.487499999999997</v>
      </c>
      <c r="AJ78" t="s">
        <v>178</v>
      </c>
      <c r="AK78">
        <f>IFERROR(INDEX('List of Leagues'!$E:$E, MATCH(AJ78, 'List of Leagues'!$F:$F, 0)), 0)</f>
        <v>69.3</v>
      </c>
      <c r="AL78" t="s">
        <v>762</v>
      </c>
      <c r="AM78">
        <f>IFERROR(INDEX('List of Leagues'!$E:$E, MATCH(AL78, 'List of Leagues'!$F:$F, 0)), 0)</f>
        <v>0</v>
      </c>
      <c r="AN78" t="s">
        <v>762</v>
      </c>
      <c r="AO78">
        <f>IFERROR(INDEX('List of Leagues'!$E:$E, MATCH(AN78, 'List of Leagues'!$F:$F, 0)), 0)</f>
        <v>0</v>
      </c>
      <c r="AP78" t="s">
        <v>762</v>
      </c>
      <c r="AQ78">
        <f>IFERROR(INDEX('List of Leagues'!$E:$E, MATCH(AP78, 'List of Leagues'!$F:$F, 0)), 0)</f>
        <v>0</v>
      </c>
      <c r="AR78" t="s">
        <v>762</v>
      </c>
      <c r="AS78">
        <f>IFERROR(INDEX('List of Leagues'!$E:$E, MATCH(AR78, 'List of Leagues'!$F:$F, 0)), 0)</f>
        <v>0</v>
      </c>
      <c r="AT78" t="s">
        <v>762</v>
      </c>
      <c r="AU78">
        <f>IFERROR(INDEX('List of Leagues'!$E:$E, MATCH(AT78, 'List of Leagues'!$F:$F, 0)), 0)</f>
        <v>0</v>
      </c>
      <c r="AV78">
        <f t="shared" si="8"/>
        <v>11.549999999999999</v>
      </c>
    </row>
    <row r="79" spans="1:48" x14ac:dyDescent="0.35">
      <c r="A79" t="s">
        <v>89</v>
      </c>
      <c r="B79">
        <v>42</v>
      </c>
      <c r="C79">
        <v>2019</v>
      </c>
      <c r="D79" t="s">
        <v>42</v>
      </c>
      <c r="E79" t="s">
        <v>10</v>
      </c>
      <c r="F79" t="s">
        <v>10</v>
      </c>
      <c r="G79" t="s">
        <v>149</v>
      </c>
      <c r="H79">
        <f t="shared" si="9"/>
        <v>76</v>
      </c>
      <c r="I79">
        <f>8+9+5</f>
        <v>22</v>
      </c>
      <c r="J79">
        <f>10+8</f>
        <v>18</v>
      </c>
      <c r="K79">
        <f>16+14+6</f>
        <v>36</v>
      </c>
      <c r="L79">
        <f t="shared" si="10"/>
        <v>84</v>
      </c>
      <c r="M79" s="2">
        <v>9991673.333333334</v>
      </c>
      <c r="N79">
        <v>2</v>
      </c>
      <c r="O79">
        <v>10</v>
      </c>
      <c r="P79">
        <v>2</v>
      </c>
      <c r="Q79">
        <f>IF(COUNTIF($A$2:A79, A79) &gt; 1, 1, 0)</f>
        <v>0</v>
      </c>
      <c r="R79" t="b">
        <v>0</v>
      </c>
      <c r="S79" t="s">
        <v>179</v>
      </c>
      <c r="T79">
        <f>IFERROR(INDEX('List of Leagues'!E:E, MATCH(S79, 'List of Leagues'!F:F, 0)), 0)</f>
        <v>0</v>
      </c>
      <c r="U79" t="s">
        <v>762</v>
      </c>
      <c r="V79">
        <f>IFERROR(INDEX('List of Leagues'!E:E, MATCH(U79, 'List of Leagues'!F:F, 0)), 0)</f>
        <v>0</v>
      </c>
      <c r="W79" t="s">
        <v>762</v>
      </c>
      <c r="X79">
        <f>IFERROR(INDEX('List of Leagues'!E:E, MATCH(W79, 'List of Leagues'!F:F, 0)), 0)</f>
        <v>0</v>
      </c>
      <c r="Y79" t="s">
        <v>762</v>
      </c>
      <c r="Z79">
        <f>IFERROR(INDEX('List of Leagues'!E:E, MATCH(Y79, 'List of Leagues'!F:F, 0)), 0)</f>
        <v>0</v>
      </c>
      <c r="AA79" t="s">
        <v>762</v>
      </c>
      <c r="AB79">
        <f>IFERROR(INDEX('List of Leagues'!E:E, MATCH(AA79, 'List of Leagues'!F:F, 0)), 0)</f>
        <v>0</v>
      </c>
      <c r="AC79" t="s">
        <v>762</v>
      </c>
      <c r="AD79">
        <f>IFERROR(INDEX('List of Leagues'!E:E, MATCH(AC79, 'List of Leagues'!F:F, 0)), 0)</f>
        <v>0</v>
      </c>
      <c r="AE79" t="s">
        <v>762</v>
      </c>
      <c r="AF79">
        <f>IFERROR(INDEX('List of Leagues'!E:E, MATCH(AE79, 'List of Leagues'!F:F, 0)), 0)</f>
        <v>0</v>
      </c>
      <c r="AG79" t="s">
        <v>762</v>
      </c>
      <c r="AH79">
        <f>IFERROR(INDEX('List of Leagues'!E:E, MATCH(AG79, 'List of Leagues'!F:F, 0)), 0)</f>
        <v>0</v>
      </c>
      <c r="AI79">
        <f t="shared" si="7"/>
        <v>0</v>
      </c>
      <c r="AJ79" t="s">
        <v>192</v>
      </c>
      <c r="AK79">
        <f>IFERROR(INDEX('List of Leagues'!$E:$E, MATCH(AJ79, 'List of Leagues'!$F:$F, 0)), 0)</f>
        <v>0</v>
      </c>
      <c r="AL79" t="s">
        <v>762</v>
      </c>
      <c r="AM79">
        <f>IFERROR(INDEX('List of Leagues'!$E:$E, MATCH(AL79, 'List of Leagues'!$F:$F, 0)), 0)</f>
        <v>0</v>
      </c>
      <c r="AN79" t="s">
        <v>762</v>
      </c>
      <c r="AO79">
        <f>IFERROR(INDEX('List of Leagues'!$E:$E, MATCH(AN79, 'List of Leagues'!$F:$F, 0)), 0)</f>
        <v>0</v>
      </c>
      <c r="AP79" t="s">
        <v>762</v>
      </c>
      <c r="AQ79">
        <f>IFERROR(INDEX('List of Leagues'!$E:$E, MATCH(AP79, 'List of Leagues'!$F:$F, 0)), 0)</f>
        <v>0</v>
      </c>
      <c r="AR79" t="s">
        <v>762</v>
      </c>
      <c r="AS79">
        <f>IFERROR(INDEX('List of Leagues'!$E:$E, MATCH(AR79, 'List of Leagues'!$F:$F, 0)), 0)</f>
        <v>0</v>
      </c>
      <c r="AT79" t="s">
        <v>762</v>
      </c>
      <c r="AU79">
        <f>IFERROR(INDEX('List of Leagues'!$E:$E, MATCH(AT79, 'List of Leagues'!$F:$F, 0)), 0)</f>
        <v>0</v>
      </c>
      <c r="AV79">
        <f t="shared" si="8"/>
        <v>0</v>
      </c>
    </row>
    <row r="80" spans="1:48" x14ac:dyDescent="0.35">
      <c r="A80" t="s">
        <v>88</v>
      </c>
      <c r="B80">
        <v>46</v>
      </c>
      <c r="C80">
        <v>2019</v>
      </c>
      <c r="D80" t="s">
        <v>19</v>
      </c>
      <c r="E80" t="s">
        <v>10</v>
      </c>
      <c r="F80" t="s">
        <v>10</v>
      </c>
      <c r="G80" t="s">
        <v>155</v>
      </c>
      <c r="H80">
        <f t="shared" si="9"/>
        <v>98</v>
      </c>
      <c r="I80">
        <f>13+8+10</f>
        <v>31</v>
      </c>
      <c r="J80">
        <f>3+11+6+5</f>
        <v>25</v>
      </c>
      <c r="K80">
        <f>4+13+9+16</f>
        <v>42</v>
      </c>
      <c r="L80">
        <f t="shared" si="10"/>
        <v>118</v>
      </c>
      <c r="M80" s="2">
        <v>11522281.75</v>
      </c>
      <c r="N80">
        <v>3</v>
      </c>
      <c r="O80">
        <f>2+2+3</f>
        <v>7</v>
      </c>
      <c r="P80">
        <v>0</v>
      </c>
      <c r="Q80">
        <f>IF(COUNTIF($A$2:A80, A80) &gt; 1, 1, 0)</f>
        <v>0</v>
      </c>
      <c r="R80" t="b">
        <v>1</v>
      </c>
      <c r="S80" t="s">
        <v>532</v>
      </c>
      <c r="T80">
        <f>IFERROR(INDEX('List of Leagues'!E:E, MATCH(S80, 'List of Leagues'!F:F, 0)), 0)</f>
        <v>80.8</v>
      </c>
      <c r="U80" t="s">
        <v>529</v>
      </c>
      <c r="V80">
        <f>IFERROR(INDEX('List of Leagues'!E:E, MATCH(U80, 'List of Leagues'!F:F, 0)), 0)</f>
        <v>89.5</v>
      </c>
      <c r="W80" t="s">
        <v>762</v>
      </c>
      <c r="X80">
        <f>IFERROR(INDEX('List of Leagues'!E:E, MATCH(W80, 'List of Leagues'!F:F, 0)), 0)</f>
        <v>0</v>
      </c>
      <c r="Y80" t="s">
        <v>762</v>
      </c>
      <c r="Z80">
        <f>IFERROR(INDEX('List of Leagues'!E:E, MATCH(Y80, 'List of Leagues'!F:F, 0)), 0)</f>
        <v>0</v>
      </c>
      <c r="AA80" t="s">
        <v>762</v>
      </c>
      <c r="AB80">
        <f>IFERROR(INDEX('List of Leagues'!E:E, MATCH(AA80, 'List of Leagues'!F:F, 0)), 0)</f>
        <v>0</v>
      </c>
      <c r="AC80" t="s">
        <v>762</v>
      </c>
      <c r="AD80">
        <f>IFERROR(INDEX('List of Leagues'!E:E, MATCH(AC80, 'List of Leagues'!F:F, 0)), 0)</f>
        <v>0</v>
      </c>
      <c r="AE80" t="s">
        <v>762</v>
      </c>
      <c r="AF80">
        <f>IFERROR(INDEX('List of Leagues'!E:E, MATCH(AE80, 'List of Leagues'!F:F, 0)), 0)</f>
        <v>0</v>
      </c>
      <c r="AG80" t="s">
        <v>762</v>
      </c>
      <c r="AH80">
        <f>IFERROR(INDEX('List of Leagues'!E:E, MATCH(AG80, 'List of Leagues'!F:F, 0)), 0)</f>
        <v>0</v>
      </c>
      <c r="AI80">
        <f t="shared" si="7"/>
        <v>21.287500000000001</v>
      </c>
      <c r="AJ80" t="s">
        <v>214</v>
      </c>
      <c r="AK80">
        <f>IFERROR(INDEX('List of Leagues'!$E:$E, MATCH(AJ80, 'List of Leagues'!$F:$F, 0)), 0)</f>
        <v>68.7</v>
      </c>
      <c r="AL80" t="s">
        <v>762</v>
      </c>
      <c r="AM80">
        <f>IFERROR(INDEX('List of Leagues'!$E:$E, MATCH(AL80, 'List of Leagues'!$F:$F, 0)), 0)</f>
        <v>0</v>
      </c>
      <c r="AN80" t="s">
        <v>762</v>
      </c>
      <c r="AO80">
        <f>IFERROR(INDEX('List of Leagues'!$E:$E, MATCH(AN80, 'List of Leagues'!$F:$F, 0)), 0)</f>
        <v>0</v>
      </c>
      <c r="AP80" t="s">
        <v>762</v>
      </c>
      <c r="AQ80">
        <f>IFERROR(INDEX('List of Leagues'!$E:$E, MATCH(AP80, 'List of Leagues'!$F:$F, 0)), 0)</f>
        <v>0</v>
      </c>
      <c r="AR80" t="s">
        <v>762</v>
      </c>
      <c r="AS80">
        <f>IFERROR(INDEX('List of Leagues'!$E:$E, MATCH(AR80, 'List of Leagues'!$F:$F, 0)), 0)</f>
        <v>0</v>
      </c>
      <c r="AT80" t="s">
        <v>762</v>
      </c>
      <c r="AU80">
        <f>IFERROR(INDEX('List of Leagues'!$E:$E, MATCH(AT80, 'List of Leagues'!$F:$F, 0)), 0)</f>
        <v>0</v>
      </c>
      <c r="AV80">
        <f t="shared" si="8"/>
        <v>11.450000000000001</v>
      </c>
    </row>
    <row r="81" spans="1:48" x14ac:dyDescent="0.35">
      <c r="A81" t="s">
        <v>37</v>
      </c>
      <c r="B81">
        <v>52</v>
      </c>
      <c r="C81">
        <v>2019</v>
      </c>
      <c r="D81" t="s">
        <v>9</v>
      </c>
      <c r="E81" t="s">
        <v>6</v>
      </c>
      <c r="F81" t="s">
        <v>131</v>
      </c>
      <c r="G81" t="s">
        <v>145</v>
      </c>
      <c r="H81">
        <f t="shared" si="9"/>
        <v>137</v>
      </c>
      <c r="I81">
        <f>8+17+11+5+3</f>
        <v>44</v>
      </c>
      <c r="J81">
        <f>4+19+19+10</f>
        <v>52</v>
      </c>
      <c r="K81">
        <f>6+7+13+2+13</f>
        <v>41</v>
      </c>
      <c r="L81">
        <f t="shared" si="10"/>
        <v>184</v>
      </c>
      <c r="M81" s="2">
        <v>11300972.199999999</v>
      </c>
      <c r="N81">
        <v>3</v>
      </c>
      <c r="O81">
        <v>2</v>
      </c>
      <c r="P81">
        <v>10</v>
      </c>
      <c r="Q81">
        <f>IF(COUNTIF($A$2:A81, A81) &gt; 1, 1, 0)</f>
        <v>1</v>
      </c>
      <c r="R81" t="b">
        <v>1</v>
      </c>
      <c r="S81" t="s">
        <v>176</v>
      </c>
      <c r="T81">
        <f>IFERROR(INDEX('List of Leagues'!E:E, MATCH(S81, 'List of Leagues'!F:F, 0)), 0)</f>
        <v>0</v>
      </c>
      <c r="U81" t="s">
        <v>750</v>
      </c>
      <c r="V81">
        <f>IFERROR(INDEX('List of Leagues'!E:E, MATCH(U81, 'List of Leagues'!F:F, 0)), 0)</f>
        <v>0</v>
      </c>
      <c r="W81" t="s">
        <v>762</v>
      </c>
      <c r="X81">
        <f>IFERROR(INDEX('List of Leagues'!E:E, MATCH(W81, 'List of Leagues'!F:F, 0)), 0)</f>
        <v>0</v>
      </c>
      <c r="Y81" t="s">
        <v>756</v>
      </c>
      <c r="Z81">
        <f>IFERROR(INDEX('List of Leagues'!E:E, MATCH(Y81, 'List of Leagues'!F:F, 0)), 0)</f>
        <v>76.8</v>
      </c>
      <c r="AA81" t="s">
        <v>762</v>
      </c>
      <c r="AB81">
        <f>IFERROR(INDEX('List of Leagues'!E:E, MATCH(AA81, 'List of Leagues'!F:F, 0)), 0)</f>
        <v>0</v>
      </c>
      <c r="AC81" t="s">
        <v>762</v>
      </c>
      <c r="AD81">
        <f>IFERROR(INDEX('List of Leagues'!E:E, MATCH(AC81, 'List of Leagues'!F:F, 0)), 0)</f>
        <v>0</v>
      </c>
      <c r="AE81" t="s">
        <v>762</v>
      </c>
      <c r="AF81">
        <f>IFERROR(INDEX('List of Leagues'!E:E, MATCH(AE81, 'List of Leagues'!F:F, 0)), 0)</f>
        <v>0</v>
      </c>
      <c r="AG81" t="s">
        <v>762</v>
      </c>
      <c r="AH81">
        <f>IFERROR(INDEX('List of Leagues'!E:E, MATCH(AG81, 'List of Leagues'!F:F, 0)), 0)</f>
        <v>0</v>
      </c>
      <c r="AI81">
        <f t="shared" si="7"/>
        <v>9.6</v>
      </c>
      <c r="AJ81" t="s">
        <v>177</v>
      </c>
      <c r="AK81">
        <f>IFERROR(INDEX('List of Leagues'!$E:$E, MATCH(AJ81, 'List of Leagues'!$F:$F, 0)), 0)</f>
        <v>0</v>
      </c>
      <c r="AL81" t="s">
        <v>762</v>
      </c>
      <c r="AM81">
        <f>IFERROR(INDEX('List of Leagues'!$E:$E, MATCH(AL81, 'List of Leagues'!$F:$F, 0)), 0)</f>
        <v>0</v>
      </c>
      <c r="AN81" t="s">
        <v>762</v>
      </c>
      <c r="AO81">
        <f>IFERROR(INDEX('List of Leagues'!$E:$E, MATCH(AN81, 'List of Leagues'!$F:$F, 0)), 0)</f>
        <v>0</v>
      </c>
      <c r="AP81" t="s">
        <v>762</v>
      </c>
      <c r="AQ81">
        <f>IFERROR(INDEX('List of Leagues'!$E:$E, MATCH(AP81, 'List of Leagues'!$F:$F, 0)), 0)</f>
        <v>0</v>
      </c>
      <c r="AR81" t="s">
        <v>762</v>
      </c>
      <c r="AS81">
        <f>IFERROR(INDEX('List of Leagues'!$E:$E, MATCH(AR81, 'List of Leagues'!$F:$F, 0)), 0)</f>
        <v>0</v>
      </c>
      <c r="AT81" t="s">
        <v>762</v>
      </c>
      <c r="AU81">
        <f>IFERROR(INDEX('List of Leagues'!$E:$E, MATCH(AT81, 'List of Leagues'!$F:$F, 0)), 0)</f>
        <v>0</v>
      </c>
      <c r="AV81">
        <f t="shared" si="8"/>
        <v>0</v>
      </c>
    </row>
    <row r="82" spans="1:48" x14ac:dyDescent="0.35">
      <c r="A82" t="s">
        <v>162</v>
      </c>
      <c r="B82">
        <v>61</v>
      </c>
      <c r="C82">
        <v>2019</v>
      </c>
      <c r="D82" t="s">
        <v>196</v>
      </c>
      <c r="E82" t="s">
        <v>10</v>
      </c>
      <c r="F82" t="s">
        <v>10</v>
      </c>
      <c r="G82" t="s">
        <v>135</v>
      </c>
      <c r="H82">
        <f t="shared" si="9"/>
        <v>10</v>
      </c>
      <c r="I82">
        <v>1</v>
      </c>
      <c r="J82">
        <v>4</v>
      </c>
      <c r="K82">
        <v>5</v>
      </c>
      <c r="L82">
        <f t="shared" si="10"/>
        <v>7</v>
      </c>
      <c r="M82" s="1">
        <v>11420531</v>
      </c>
      <c r="N82">
        <v>1</v>
      </c>
      <c r="O82">
        <v>26</v>
      </c>
      <c r="P82">
        <v>2</v>
      </c>
      <c r="Q82">
        <f>IF(COUNTIF($A$2:A82, A82) &gt; 1, 1, 0)</f>
        <v>0</v>
      </c>
      <c r="R82" t="b">
        <v>1</v>
      </c>
      <c r="S82" t="s">
        <v>209</v>
      </c>
      <c r="T82">
        <f>IFERROR(INDEX('List of Leagues'!E:E, MATCH(S82, 'List of Leagues'!F:F, 0)), 0)</f>
        <v>60.6</v>
      </c>
      <c r="U82" t="s">
        <v>565</v>
      </c>
      <c r="V82">
        <f>IFERROR(INDEX('List of Leagues'!E:E, MATCH(U82, 'List of Leagues'!F:F, 0)), 0)</f>
        <v>68.5</v>
      </c>
      <c r="W82" t="s">
        <v>762</v>
      </c>
      <c r="X82">
        <f>IFERROR(INDEX('List of Leagues'!E:E, MATCH(W82, 'List of Leagues'!F:F, 0)), 0)</f>
        <v>0</v>
      </c>
      <c r="Y82" t="s">
        <v>762</v>
      </c>
      <c r="Z82">
        <f>IFERROR(INDEX('List of Leagues'!E:E, MATCH(Y82, 'List of Leagues'!F:F, 0)), 0)</f>
        <v>0</v>
      </c>
      <c r="AA82" t="s">
        <v>762</v>
      </c>
      <c r="AB82">
        <f>IFERROR(INDEX('List of Leagues'!E:E, MATCH(AA82, 'List of Leagues'!F:F, 0)), 0)</f>
        <v>0</v>
      </c>
      <c r="AC82" t="s">
        <v>762</v>
      </c>
      <c r="AD82">
        <f>IFERROR(INDEX('List of Leagues'!E:E, MATCH(AC82, 'List of Leagues'!F:F, 0)), 0)</f>
        <v>0</v>
      </c>
      <c r="AE82" t="s">
        <v>762</v>
      </c>
      <c r="AF82">
        <f>IFERROR(INDEX('List of Leagues'!E:E, MATCH(AE82, 'List of Leagues'!F:F, 0)), 0)</f>
        <v>0</v>
      </c>
      <c r="AG82" t="s">
        <v>762</v>
      </c>
      <c r="AH82">
        <f>IFERROR(INDEX('List of Leagues'!E:E, MATCH(AG82, 'List of Leagues'!F:F, 0)), 0)</f>
        <v>0</v>
      </c>
      <c r="AI82">
        <f t="shared" si="7"/>
        <v>16.137499999999999</v>
      </c>
      <c r="AJ82" t="s">
        <v>178</v>
      </c>
      <c r="AK82">
        <f>IFERROR(INDEX('List of Leagues'!$E:$E, MATCH(AJ82, 'List of Leagues'!$F:$F, 0)), 0)</f>
        <v>69.3</v>
      </c>
      <c r="AL82" t="s">
        <v>762</v>
      </c>
      <c r="AM82">
        <f>IFERROR(INDEX('List of Leagues'!$E:$E, MATCH(AL82, 'List of Leagues'!$F:$F, 0)), 0)</f>
        <v>0</v>
      </c>
      <c r="AN82" t="s">
        <v>762</v>
      </c>
      <c r="AO82">
        <f>IFERROR(INDEX('List of Leagues'!$E:$E, MATCH(AN82, 'List of Leagues'!$F:$F, 0)), 0)</f>
        <v>0</v>
      </c>
      <c r="AP82" t="s">
        <v>762</v>
      </c>
      <c r="AQ82">
        <f>IFERROR(INDEX('List of Leagues'!$E:$E, MATCH(AP82, 'List of Leagues'!$F:$F, 0)), 0)</f>
        <v>0</v>
      </c>
      <c r="AR82" t="s">
        <v>762</v>
      </c>
      <c r="AS82">
        <f>IFERROR(INDEX('List of Leagues'!$E:$E, MATCH(AR82, 'List of Leagues'!$F:$F, 0)), 0)</f>
        <v>0</v>
      </c>
      <c r="AT82" t="s">
        <v>762</v>
      </c>
      <c r="AU82">
        <f>IFERROR(INDEX('List of Leagues'!$E:$E, MATCH(AT82, 'List of Leagues'!$F:$F, 0)), 0)</f>
        <v>0</v>
      </c>
      <c r="AV82">
        <f t="shared" si="8"/>
        <v>11.549999999999999</v>
      </c>
    </row>
    <row r="83" spans="1:48" x14ac:dyDescent="0.35">
      <c r="A83" t="s">
        <v>93</v>
      </c>
      <c r="B83">
        <v>45</v>
      </c>
      <c r="C83">
        <v>2020</v>
      </c>
      <c r="D83" t="s">
        <v>94</v>
      </c>
      <c r="E83" t="s">
        <v>10</v>
      </c>
      <c r="F83" t="s">
        <v>10</v>
      </c>
      <c r="G83" t="s">
        <v>163</v>
      </c>
      <c r="H83">
        <f t="shared" si="9"/>
        <v>23</v>
      </c>
      <c r="I83">
        <v>7</v>
      </c>
      <c r="J83">
        <v>3</v>
      </c>
      <c r="K83">
        <v>13</v>
      </c>
      <c r="L83">
        <f t="shared" si="10"/>
        <v>24</v>
      </c>
      <c r="M83" s="2">
        <v>13894198</v>
      </c>
      <c r="N83">
        <v>1</v>
      </c>
      <c r="O83">
        <v>8</v>
      </c>
      <c r="P83">
        <v>0</v>
      </c>
      <c r="Q83">
        <f>IF(COUNTIF($A$2:A83, A83) &gt; 1, 1, 0)</f>
        <v>0</v>
      </c>
      <c r="R83" t="b">
        <v>1</v>
      </c>
      <c r="S83" t="s">
        <v>584</v>
      </c>
      <c r="T83">
        <f>IFERROR(INDEX('List of Leagues'!E:E, MATCH(S83, 'List of Leagues'!F:F, 0)), 0)</f>
        <v>63.3</v>
      </c>
      <c r="U83" t="s">
        <v>532</v>
      </c>
      <c r="V83">
        <f>IFERROR(INDEX('List of Leagues'!E:E, MATCH(U83, 'List of Leagues'!F:F, 0)), 0)</f>
        <v>80.8</v>
      </c>
      <c r="W83" t="s">
        <v>762</v>
      </c>
      <c r="X83">
        <f>IFERROR(INDEX('List of Leagues'!E:E, MATCH(W83, 'List of Leagues'!F:F, 0)), 0)</f>
        <v>0</v>
      </c>
      <c r="Y83" t="s">
        <v>538</v>
      </c>
      <c r="Z83">
        <f>IFERROR(INDEX('List of Leagues'!E:E, MATCH(Y83, 'List of Leagues'!F:F, 0)), 0)</f>
        <v>77.3</v>
      </c>
      <c r="AA83" t="s">
        <v>273</v>
      </c>
      <c r="AB83">
        <f>IFERROR(INDEX('List of Leagues'!E:E, MATCH(AA83, 'List of Leagues'!F:F, 0)), 0)</f>
        <v>67.5</v>
      </c>
      <c r="AC83" t="s">
        <v>201</v>
      </c>
      <c r="AD83">
        <f>IFERROR(INDEX('List of Leagues'!E:E, MATCH(AC83, 'List of Leagues'!F:F, 0)), 0)</f>
        <v>80</v>
      </c>
      <c r="AE83" t="s">
        <v>762</v>
      </c>
      <c r="AF83">
        <f>IFERROR(INDEX('List of Leagues'!E:E, MATCH(AE83, 'List of Leagues'!F:F, 0)), 0)</f>
        <v>0</v>
      </c>
      <c r="AG83" t="s">
        <v>762</v>
      </c>
      <c r="AH83">
        <f>IFERROR(INDEX('List of Leagues'!E:E, MATCH(AG83, 'List of Leagues'!F:F, 0)), 0)</f>
        <v>0</v>
      </c>
      <c r="AI83">
        <f t="shared" si="7"/>
        <v>46.112499999999997</v>
      </c>
      <c r="AJ83" t="s">
        <v>178</v>
      </c>
      <c r="AK83">
        <f>IFERROR(INDEX('List of Leagues'!$E:$E, MATCH(AJ83, 'List of Leagues'!$F:$F, 0)), 0)</f>
        <v>69.3</v>
      </c>
      <c r="AL83" t="s">
        <v>201</v>
      </c>
      <c r="AM83">
        <f>IFERROR(INDEX('List of Leagues'!$E:$E, MATCH(AL83, 'List of Leagues'!$F:$F, 0)), 0)</f>
        <v>80</v>
      </c>
      <c r="AN83" t="s">
        <v>762</v>
      </c>
      <c r="AO83">
        <f>IFERROR(INDEX('List of Leagues'!$E:$E, MATCH(AN83, 'List of Leagues'!$F:$F, 0)), 0)</f>
        <v>0</v>
      </c>
      <c r="AP83" t="s">
        <v>762</v>
      </c>
      <c r="AQ83">
        <f>IFERROR(INDEX('List of Leagues'!$E:$E, MATCH(AP83, 'List of Leagues'!$F:$F, 0)), 0)</f>
        <v>0</v>
      </c>
      <c r="AR83" t="s">
        <v>762</v>
      </c>
      <c r="AS83">
        <f>IFERROR(INDEX('List of Leagues'!$E:$E, MATCH(AR83, 'List of Leagues'!$F:$F, 0)), 0)</f>
        <v>0</v>
      </c>
      <c r="AT83" t="s">
        <v>762</v>
      </c>
      <c r="AU83">
        <f>IFERROR(INDEX('List of Leagues'!$E:$E, MATCH(AT83, 'List of Leagues'!$F:$F, 0)), 0)</f>
        <v>0</v>
      </c>
      <c r="AV83">
        <f t="shared" si="8"/>
        <v>24.883333333333336</v>
      </c>
    </row>
    <row r="84" spans="1:48" x14ac:dyDescent="0.35">
      <c r="A84" t="s">
        <v>113</v>
      </c>
      <c r="B84">
        <v>52</v>
      </c>
      <c r="C84">
        <v>2020</v>
      </c>
      <c r="D84" t="s">
        <v>96</v>
      </c>
      <c r="E84" t="s">
        <v>10</v>
      </c>
      <c r="F84" t="s">
        <v>10</v>
      </c>
      <c r="G84" t="s">
        <v>147</v>
      </c>
      <c r="H84">
        <f t="shared" si="9"/>
        <v>125</v>
      </c>
      <c r="I84">
        <f>8+12+13+13</f>
        <v>46</v>
      </c>
      <c r="J84">
        <f>8+18+11+10</f>
        <v>47</v>
      </c>
      <c r="K84">
        <f>7+4+10+11</f>
        <v>32</v>
      </c>
      <c r="L84">
        <f t="shared" si="10"/>
        <v>185</v>
      </c>
      <c r="M84" s="2">
        <v>13613237.25</v>
      </c>
      <c r="N84">
        <v>5</v>
      </c>
      <c r="O84">
        <v>6</v>
      </c>
      <c r="P84">
        <v>4</v>
      </c>
      <c r="Q84">
        <f>IF(COUNTIF($A$2:A84, A84) &gt; 1, 1, 0)</f>
        <v>1</v>
      </c>
      <c r="R84" t="b">
        <v>1</v>
      </c>
      <c r="S84" t="s">
        <v>207</v>
      </c>
      <c r="T84">
        <f>IFERROR(INDEX('List of Leagues'!E:E, MATCH(S84, 'List of Leagues'!F:F, 0)), 0)</f>
        <v>66.5</v>
      </c>
      <c r="U84" t="s">
        <v>762</v>
      </c>
      <c r="V84">
        <f>IFERROR(INDEX('List of Leagues'!E:E, MATCH(U84, 'List of Leagues'!F:F, 0)), 0)</f>
        <v>0</v>
      </c>
      <c r="W84" t="s">
        <v>545</v>
      </c>
      <c r="X84">
        <f>IFERROR(INDEX('List of Leagues'!E:E, MATCH(W84, 'List of Leagues'!F:F, 0)), 0)</f>
        <v>76.599999999999994</v>
      </c>
      <c r="Y84" t="s">
        <v>762</v>
      </c>
      <c r="Z84">
        <f>IFERROR(INDEX('List of Leagues'!E:E, MATCH(Y84, 'List of Leagues'!F:F, 0)), 0)</f>
        <v>0</v>
      </c>
      <c r="AA84" t="s">
        <v>762</v>
      </c>
      <c r="AB84">
        <f>IFERROR(INDEX('List of Leagues'!E:E, MATCH(AA84, 'List of Leagues'!F:F, 0)), 0)</f>
        <v>0</v>
      </c>
      <c r="AC84" t="s">
        <v>762</v>
      </c>
      <c r="AD84">
        <f>IFERROR(INDEX('List of Leagues'!E:E, MATCH(AC84, 'List of Leagues'!F:F, 0)), 0)</f>
        <v>0</v>
      </c>
      <c r="AE84" t="s">
        <v>762</v>
      </c>
      <c r="AF84">
        <f>IFERROR(INDEX('List of Leagues'!E:E, MATCH(AE84, 'List of Leagues'!F:F, 0)), 0)</f>
        <v>0</v>
      </c>
      <c r="AG84" t="s">
        <v>762</v>
      </c>
      <c r="AH84">
        <f>IFERROR(INDEX('List of Leagues'!E:E, MATCH(AG84, 'List of Leagues'!F:F, 0)), 0)</f>
        <v>0</v>
      </c>
      <c r="AI84">
        <f t="shared" si="7"/>
        <v>17.887499999999999</v>
      </c>
      <c r="AJ84" t="s">
        <v>751</v>
      </c>
      <c r="AK84">
        <f>IFERROR(INDEX('List of Leagues'!$E:$E, MATCH(AJ84, 'List of Leagues'!$F:$F, 0)), 0)</f>
        <v>68.400000000000006</v>
      </c>
      <c r="AL84" t="s">
        <v>185</v>
      </c>
      <c r="AM84">
        <f>IFERROR(INDEX('List of Leagues'!$E:$E, MATCH(AL84, 'List of Leagues'!$F:$F, 0)), 0)</f>
        <v>75.400000000000006</v>
      </c>
      <c r="AN84" t="s">
        <v>762</v>
      </c>
      <c r="AO84">
        <f>IFERROR(INDEX('List of Leagues'!$E:$E, MATCH(AN84, 'List of Leagues'!$F:$F, 0)), 0)</f>
        <v>0</v>
      </c>
      <c r="AP84" t="s">
        <v>762</v>
      </c>
      <c r="AQ84">
        <f>IFERROR(INDEX('List of Leagues'!$E:$E, MATCH(AP84, 'List of Leagues'!$F:$F, 0)), 0)</f>
        <v>0</v>
      </c>
      <c r="AR84" t="s">
        <v>762</v>
      </c>
      <c r="AS84">
        <f>IFERROR(INDEX('List of Leagues'!$E:$E, MATCH(AR84, 'List of Leagues'!$F:$F, 0)), 0)</f>
        <v>0</v>
      </c>
      <c r="AT84" t="s">
        <v>762</v>
      </c>
      <c r="AU84">
        <f>IFERROR(INDEX('List of Leagues'!$E:$E, MATCH(AT84, 'List of Leagues'!$F:$F, 0)), 0)</f>
        <v>0</v>
      </c>
      <c r="AV84">
        <f t="shared" si="8"/>
        <v>23.966666666666669</v>
      </c>
    </row>
    <row r="85" spans="1:48" x14ac:dyDescent="0.35">
      <c r="A85" t="s">
        <v>98</v>
      </c>
      <c r="B85">
        <v>43</v>
      </c>
      <c r="C85">
        <v>2020</v>
      </c>
      <c r="D85" t="s">
        <v>17</v>
      </c>
      <c r="E85" t="s">
        <v>10</v>
      </c>
      <c r="F85" t="s">
        <v>10</v>
      </c>
      <c r="G85" t="s">
        <v>165</v>
      </c>
      <c r="H85">
        <f t="shared" si="9"/>
        <v>79</v>
      </c>
      <c r="I85">
        <f>13+16</f>
        <v>29</v>
      </c>
      <c r="J85">
        <f>9+8+6</f>
        <v>23</v>
      </c>
      <c r="K85">
        <f>11+16</f>
        <v>27</v>
      </c>
      <c r="L85">
        <f t="shared" si="10"/>
        <v>110</v>
      </c>
      <c r="M85" s="2">
        <v>10552991.333333334</v>
      </c>
      <c r="N85">
        <v>3</v>
      </c>
      <c r="O85">
        <v>8</v>
      </c>
      <c r="P85">
        <v>0</v>
      </c>
      <c r="Q85">
        <f>IF(COUNTIF($A$2:A85, A85) &gt; 1, 1, 0)</f>
        <v>0</v>
      </c>
      <c r="R85" t="b">
        <v>1</v>
      </c>
      <c r="S85" t="s">
        <v>206</v>
      </c>
      <c r="T85">
        <f>IFERROR(INDEX('List of Leagues'!E:E, MATCH(S85, 'List of Leagues'!F:F, 0)), 0)</f>
        <v>75.3</v>
      </c>
      <c r="U85" t="s">
        <v>762</v>
      </c>
      <c r="V85">
        <f>IFERROR(INDEX('List of Leagues'!E:E, MATCH(U85, 'List of Leagues'!F:F, 0)), 0)</f>
        <v>0</v>
      </c>
      <c r="W85" t="s">
        <v>178</v>
      </c>
      <c r="X85">
        <f>IFERROR(INDEX('List of Leagues'!E:E, MATCH(W85, 'List of Leagues'!F:F, 0)), 0)</f>
        <v>69.3</v>
      </c>
      <c r="Y85" t="s">
        <v>762</v>
      </c>
      <c r="Z85">
        <f>IFERROR(INDEX('List of Leagues'!E:E, MATCH(Y85, 'List of Leagues'!F:F, 0)), 0)</f>
        <v>0</v>
      </c>
      <c r="AA85" t="s">
        <v>762</v>
      </c>
      <c r="AB85">
        <f>IFERROR(INDEX('List of Leagues'!E:E, MATCH(AA85, 'List of Leagues'!F:F, 0)), 0)</f>
        <v>0</v>
      </c>
      <c r="AC85" t="s">
        <v>762</v>
      </c>
      <c r="AD85">
        <f>IFERROR(INDEX('List of Leagues'!E:E, MATCH(AC85, 'List of Leagues'!F:F, 0)), 0)</f>
        <v>0</v>
      </c>
      <c r="AE85" t="s">
        <v>762</v>
      </c>
      <c r="AF85">
        <f>IFERROR(INDEX('List of Leagues'!E:E, MATCH(AE85, 'List of Leagues'!F:F, 0)), 0)</f>
        <v>0</v>
      </c>
      <c r="AG85" t="s">
        <v>762</v>
      </c>
      <c r="AH85">
        <f>IFERROR(INDEX('List of Leagues'!E:E, MATCH(AG85, 'List of Leagues'!F:F, 0)), 0)</f>
        <v>0</v>
      </c>
      <c r="AI85">
        <f t="shared" si="7"/>
        <v>18.074999999999999</v>
      </c>
      <c r="AJ85" t="s">
        <v>177</v>
      </c>
      <c r="AK85">
        <f>IFERROR(INDEX('List of Leagues'!$E:$E, MATCH(AJ85, 'List of Leagues'!$F:$F, 0)), 0)</f>
        <v>0</v>
      </c>
      <c r="AL85" t="s">
        <v>762</v>
      </c>
      <c r="AM85">
        <f>IFERROR(INDEX('List of Leagues'!$E:$E, MATCH(AL85, 'List of Leagues'!$F:$F, 0)), 0)</f>
        <v>0</v>
      </c>
      <c r="AN85" t="s">
        <v>762</v>
      </c>
      <c r="AO85">
        <f>IFERROR(INDEX('List of Leagues'!$E:$E, MATCH(AN85, 'List of Leagues'!$F:$F, 0)), 0)</f>
        <v>0</v>
      </c>
      <c r="AP85" t="s">
        <v>762</v>
      </c>
      <c r="AQ85">
        <f>IFERROR(INDEX('List of Leagues'!$E:$E, MATCH(AP85, 'List of Leagues'!$F:$F, 0)), 0)</f>
        <v>0</v>
      </c>
      <c r="AR85" t="s">
        <v>762</v>
      </c>
      <c r="AS85">
        <f>IFERROR(INDEX('List of Leagues'!$E:$E, MATCH(AR85, 'List of Leagues'!$F:$F, 0)), 0)</f>
        <v>0</v>
      </c>
      <c r="AT85" t="s">
        <v>762</v>
      </c>
      <c r="AU85">
        <f>IFERROR(INDEX('List of Leagues'!$E:$E, MATCH(AT85, 'List of Leagues'!$F:$F, 0)), 0)</f>
        <v>0</v>
      </c>
      <c r="AV85">
        <f t="shared" si="8"/>
        <v>0</v>
      </c>
    </row>
    <row r="86" spans="1:48" x14ac:dyDescent="0.35">
      <c r="A86" t="s">
        <v>91</v>
      </c>
      <c r="B86">
        <v>48</v>
      </c>
      <c r="C86">
        <v>2020</v>
      </c>
      <c r="D86" t="s">
        <v>196</v>
      </c>
      <c r="E86" t="s">
        <v>10</v>
      </c>
      <c r="F86" t="s">
        <v>10</v>
      </c>
      <c r="G86" t="s">
        <v>135</v>
      </c>
      <c r="H86">
        <f t="shared" si="9"/>
        <v>48</v>
      </c>
      <c r="I86">
        <v>8</v>
      </c>
      <c r="J86">
        <v>12</v>
      </c>
      <c r="K86">
        <f>22-9+15</f>
        <v>28</v>
      </c>
      <c r="L86">
        <f t="shared" si="10"/>
        <v>36</v>
      </c>
      <c r="M86" s="1">
        <f>AVERAGE(16793343, 13304603)</f>
        <v>15048973</v>
      </c>
      <c r="N86">
        <v>2</v>
      </c>
      <c r="O86">
        <v>7</v>
      </c>
      <c r="P86">
        <v>5</v>
      </c>
      <c r="Q86">
        <f>IF(COUNTIF($A$2:A86, A86) &gt; 1, 1, 0)</f>
        <v>0</v>
      </c>
      <c r="R86" t="b">
        <v>1</v>
      </c>
      <c r="S86" t="s">
        <v>209</v>
      </c>
      <c r="T86">
        <f>IFERROR(INDEX('List of Leagues'!E:E, MATCH(S86, 'List of Leagues'!F:F, 0)), 0)</f>
        <v>60.6</v>
      </c>
      <c r="U86" t="s">
        <v>197</v>
      </c>
      <c r="V86">
        <f>IFERROR(INDEX('List of Leagues'!E:E, MATCH(U86, 'List of Leagues'!F:F, 0)), 0)</f>
        <v>78.400000000000006</v>
      </c>
      <c r="W86" t="s">
        <v>768</v>
      </c>
      <c r="X86">
        <f>IFERROR(INDEX('List of Leagues'!E:E, MATCH(W86, 'List of Leagues'!F:F, 0)), 0)</f>
        <v>59.7</v>
      </c>
      <c r="Y86" t="s">
        <v>529</v>
      </c>
      <c r="Z86">
        <f>IFERROR(INDEX('List of Leagues'!E:E, MATCH(Y86, 'List of Leagues'!F:F, 0)), 0)</f>
        <v>89.5</v>
      </c>
      <c r="AA86" t="s">
        <v>756</v>
      </c>
      <c r="AB86">
        <f>IFERROR(INDEX('List of Leagues'!E:E, MATCH(AA86, 'List of Leagues'!F:F, 0)), 0)</f>
        <v>76.8</v>
      </c>
      <c r="AC86" t="s">
        <v>762</v>
      </c>
      <c r="AD86">
        <f>IFERROR(INDEX('List of Leagues'!E:E, MATCH(AC86, 'List of Leagues'!F:F, 0)), 0)</f>
        <v>0</v>
      </c>
      <c r="AE86" t="s">
        <v>762</v>
      </c>
      <c r="AF86">
        <f>IFERROR(INDEX('List of Leagues'!E:E, MATCH(AE86, 'List of Leagues'!F:F, 0)), 0)</f>
        <v>0</v>
      </c>
      <c r="AG86" t="s">
        <v>762</v>
      </c>
      <c r="AH86">
        <f>IFERROR(INDEX('List of Leagues'!E:E, MATCH(AG86, 'List of Leagues'!F:F, 0)), 0)</f>
        <v>0</v>
      </c>
      <c r="AI86">
        <f t="shared" si="7"/>
        <v>45.625</v>
      </c>
      <c r="AJ86" t="s">
        <v>178</v>
      </c>
      <c r="AK86">
        <f>IFERROR(INDEX('List of Leagues'!$E:$E, MATCH(AJ86, 'List of Leagues'!$F:$F, 0)), 0)</f>
        <v>69.3</v>
      </c>
      <c r="AL86" t="s">
        <v>762</v>
      </c>
      <c r="AM86">
        <f>IFERROR(INDEX('List of Leagues'!$E:$E, MATCH(AL86, 'List of Leagues'!$F:$F, 0)), 0)</f>
        <v>0</v>
      </c>
      <c r="AN86" t="s">
        <v>762</v>
      </c>
      <c r="AO86">
        <f>IFERROR(INDEX('List of Leagues'!$E:$E, MATCH(AN86, 'List of Leagues'!$F:$F, 0)), 0)</f>
        <v>0</v>
      </c>
      <c r="AP86" t="s">
        <v>762</v>
      </c>
      <c r="AQ86">
        <f>IFERROR(INDEX('List of Leagues'!$E:$E, MATCH(AP86, 'List of Leagues'!$F:$F, 0)), 0)</f>
        <v>0</v>
      </c>
      <c r="AR86" t="s">
        <v>762</v>
      </c>
      <c r="AS86">
        <f>IFERROR(INDEX('List of Leagues'!$E:$E, MATCH(AR86, 'List of Leagues'!$F:$F, 0)), 0)</f>
        <v>0</v>
      </c>
      <c r="AT86" t="s">
        <v>762</v>
      </c>
      <c r="AU86">
        <f>IFERROR(INDEX('List of Leagues'!$E:$E, MATCH(AT86, 'List of Leagues'!$F:$F, 0)), 0)</f>
        <v>0</v>
      </c>
      <c r="AV86">
        <f t="shared" si="8"/>
        <v>11.549999999999999</v>
      </c>
    </row>
    <row r="87" spans="1:48" x14ac:dyDescent="0.35">
      <c r="A87" t="s">
        <v>114</v>
      </c>
      <c r="B87">
        <v>52</v>
      </c>
      <c r="C87">
        <v>2020</v>
      </c>
      <c r="D87" t="s">
        <v>68</v>
      </c>
      <c r="E87" t="s">
        <v>10</v>
      </c>
      <c r="F87" t="s">
        <v>10</v>
      </c>
      <c r="G87" t="s">
        <v>137</v>
      </c>
      <c r="H87">
        <f t="shared" si="9"/>
        <v>125</v>
      </c>
      <c r="I87">
        <f>11+13+14+18</f>
        <v>56</v>
      </c>
      <c r="J87">
        <f>9+6+12+8</f>
        <v>35</v>
      </c>
      <c r="K87">
        <f>7+14+9+4</f>
        <v>34</v>
      </c>
      <c r="L87">
        <f t="shared" si="10"/>
        <v>203</v>
      </c>
      <c r="M87" s="2">
        <v>12249042</v>
      </c>
      <c r="N87">
        <v>3</v>
      </c>
      <c r="O87">
        <v>8</v>
      </c>
      <c r="P87">
        <v>7</v>
      </c>
      <c r="Q87">
        <f>IF(COUNTIF($A$2:A87, A87) &gt; 1, 1, 0)</f>
        <v>1</v>
      </c>
      <c r="R87" t="b">
        <v>1</v>
      </c>
      <c r="S87" t="s">
        <v>536</v>
      </c>
      <c r="T87">
        <f>IFERROR(INDEX('List of Leagues'!E:E, MATCH(S87, 'List of Leagues'!F:F, 0)), 0)</f>
        <v>78.099999999999994</v>
      </c>
      <c r="U87" t="s">
        <v>178</v>
      </c>
      <c r="V87">
        <f>IFERROR(INDEX('List of Leagues'!E:E, MATCH(U87, 'List of Leagues'!F:F, 0)), 0)</f>
        <v>69.3</v>
      </c>
      <c r="W87" t="s">
        <v>762</v>
      </c>
      <c r="X87">
        <f>IFERROR(INDEX('List of Leagues'!E:E, MATCH(W87, 'List of Leagues'!F:F, 0)), 0)</f>
        <v>0</v>
      </c>
      <c r="Y87" t="s">
        <v>762</v>
      </c>
      <c r="Z87">
        <f>IFERROR(INDEX('List of Leagues'!E:E, MATCH(Y87, 'List of Leagues'!F:F, 0)), 0)</f>
        <v>0</v>
      </c>
      <c r="AA87" t="s">
        <v>762</v>
      </c>
      <c r="AB87">
        <f>IFERROR(INDEX('List of Leagues'!E:E, MATCH(AA87, 'List of Leagues'!F:F, 0)), 0)</f>
        <v>0</v>
      </c>
      <c r="AC87" t="s">
        <v>762</v>
      </c>
      <c r="AD87">
        <f>IFERROR(INDEX('List of Leagues'!E:E, MATCH(AC87, 'List of Leagues'!F:F, 0)), 0)</f>
        <v>0</v>
      </c>
      <c r="AE87" t="s">
        <v>762</v>
      </c>
      <c r="AF87">
        <f>IFERROR(INDEX('List of Leagues'!E:E, MATCH(AE87, 'List of Leagues'!F:F, 0)), 0)</f>
        <v>0</v>
      </c>
      <c r="AG87" t="s">
        <v>762</v>
      </c>
      <c r="AH87">
        <f>IFERROR(INDEX('List of Leagues'!E:E, MATCH(AG87, 'List of Leagues'!F:F, 0)), 0)</f>
        <v>0</v>
      </c>
      <c r="AI87">
        <f t="shared" si="7"/>
        <v>18.424999999999997</v>
      </c>
      <c r="AJ87" t="s">
        <v>177</v>
      </c>
      <c r="AK87">
        <f>IFERROR(INDEX('List of Leagues'!$E:$E, MATCH(AJ87, 'List of Leagues'!$F:$F, 0)), 0)</f>
        <v>0</v>
      </c>
      <c r="AL87" t="s">
        <v>762</v>
      </c>
      <c r="AM87">
        <f>IFERROR(INDEX('List of Leagues'!$E:$E, MATCH(AL87, 'List of Leagues'!$F:$F, 0)), 0)</f>
        <v>0</v>
      </c>
      <c r="AN87" t="s">
        <v>762</v>
      </c>
      <c r="AO87">
        <f>IFERROR(INDEX('List of Leagues'!$E:$E, MATCH(AN87, 'List of Leagues'!$F:$F, 0)), 0)</f>
        <v>0</v>
      </c>
      <c r="AP87" t="s">
        <v>762</v>
      </c>
      <c r="AQ87">
        <f>IFERROR(INDEX('List of Leagues'!$E:$E, MATCH(AP87, 'List of Leagues'!$F:$F, 0)), 0)</f>
        <v>0</v>
      </c>
      <c r="AR87" t="s">
        <v>762</v>
      </c>
      <c r="AS87">
        <f>IFERROR(INDEX('List of Leagues'!$E:$E, MATCH(AR87, 'List of Leagues'!$F:$F, 0)), 0)</f>
        <v>0</v>
      </c>
      <c r="AT87" t="s">
        <v>762</v>
      </c>
      <c r="AU87">
        <f>IFERROR(INDEX('List of Leagues'!$E:$E, MATCH(AT87, 'List of Leagues'!$F:$F, 0)), 0)</f>
        <v>0</v>
      </c>
      <c r="AV87">
        <f t="shared" si="8"/>
        <v>0</v>
      </c>
    </row>
    <row r="88" spans="1:48" x14ac:dyDescent="0.35">
      <c r="A88" t="s">
        <v>90</v>
      </c>
      <c r="B88">
        <v>43</v>
      </c>
      <c r="C88">
        <v>2020</v>
      </c>
      <c r="D88" t="s">
        <v>5</v>
      </c>
      <c r="E88" t="s">
        <v>10</v>
      </c>
      <c r="F88" t="s">
        <v>10</v>
      </c>
      <c r="G88" t="s">
        <v>153</v>
      </c>
      <c r="H88">
        <f t="shared" si="9"/>
        <v>51</v>
      </c>
      <c r="I88">
        <v>12</v>
      </c>
      <c r="J88">
        <v>14</v>
      </c>
      <c r="K88">
        <v>25</v>
      </c>
      <c r="L88">
        <f t="shared" si="10"/>
        <v>50</v>
      </c>
      <c r="M88" s="2">
        <f>AVERAGE(12631979, 13922256)</f>
        <v>13277117.5</v>
      </c>
      <c r="N88">
        <v>2</v>
      </c>
      <c r="O88">
        <v>10</v>
      </c>
      <c r="P88">
        <v>0</v>
      </c>
      <c r="Q88">
        <f>IF(COUNTIF($A$2:A88, A88) &gt; 1, 1, 0)</f>
        <v>0</v>
      </c>
      <c r="R88" t="b">
        <v>1</v>
      </c>
      <c r="S88" t="s">
        <v>539</v>
      </c>
      <c r="T88">
        <f>IFERROR(INDEX('List of Leagues'!E:E, MATCH(S88, 'List of Leagues'!F:F, 0)), 0)</f>
        <v>77.400000000000006</v>
      </c>
      <c r="U88" t="s">
        <v>756</v>
      </c>
      <c r="V88">
        <f>IFERROR(INDEX('List of Leagues'!E:E, MATCH(U88, 'List of Leagues'!F:F, 0)), 0)</f>
        <v>76.8</v>
      </c>
      <c r="W88" t="s">
        <v>756</v>
      </c>
      <c r="X88">
        <f>IFERROR(INDEX('List of Leagues'!E:E, MATCH(W88, 'List of Leagues'!F:F, 0)), 0)</f>
        <v>76.8</v>
      </c>
      <c r="Y88" t="s">
        <v>537</v>
      </c>
      <c r="Z88">
        <f>IFERROR(INDEX('List of Leagues'!E:E, MATCH(Y88, 'List of Leagues'!F:F, 0)), 0)</f>
        <v>71</v>
      </c>
      <c r="AA88" t="s">
        <v>542</v>
      </c>
      <c r="AB88">
        <f>IFERROR(INDEX('List of Leagues'!E:E, MATCH(AA88, 'List of Leagues'!F:F, 0)), 0)</f>
        <v>90.3</v>
      </c>
      <c r="AC88" t="s">
        <v>762</v>
      </c>
      <c r="AD88">
        <f>IFERROR(INDEX('List of Leagues'!E:E, MATCH(AC88, 'List of Leagues'!F:F, 0)), 0)</f>
        <v>0</v>
      </c>
      <c r="AE88" t="s">
        <v>762</v>
      </c>
      <c r="AF88">
        <f>IFERROR(INDEX('List of Leagues'!E:E, MATCH(AE88, 'List of Leagues'!F:F, 0)), 0)</f>
        <v>0</v>
      </c>
      <c r="AG88" t="s">
        <v>762</v>
      </c>
      <c r="AH88">
        <f>IFERROR(INDEX('List of Leagues'!E:E, MATCH(AG88, 'List of Leagues'!F:F, 0)), 0)</f>
        <v>0</v>
      </c>
      <c r="AI88">
        <f t="shared" si="7"/>
        <v>49.037500000000001</v>
      </c>
      <c r="AJ88" t="s">
        <v>215</v>
      </c>
      <c r="AK88">
        <f>IFERROR(INDEX('List of Leagues'!$E:$E, MATCH(AJ88, 'List of Leagues'!$F:$F, 0)), 0)</f>
        <v>0</v>
      </c>
      <c r="AL88" t="s">
        <v>762</v>
      </c>
      <c r="AM88">
        <f>IFERROR(INDEX('List of Leagues'!$E:$E, MATCH(AL88, 'List of Leagues'!$F:$F, 0)), 0)</f>
        <v>0</v>
      </c>
      <c r="AN88" t="s">
        <v>762</v>
      </c>
      <c r="AO88">
        <f>IFERROR(INDEX('List of Leagues'!$E:$E, MATCH(AN88, 'List of Leagues'!$F:$F, 0)), 0)</f>
        <v>0</v>
      </c>
      <c r="AP88" t="s">
        <v>762</v>
      </c>
      <c r="AQ88">
        <f>IFERROR(INDEX('List of Leagues'!$E:$E, MATCH(AP88, 'List of Leagues'!$F:$F, 0)), 0)</f>
        <v>0</v>
      </c>
      <c r="AR88" t="s">
        <v>762</v>
      </c>
      <c r="AS88">
        <f>IFERROR(INDEX('List of Leagues'!$E:$E, MATCH(AR88, 'List of Leagues'!$F:$F, 0)), 0)</f>
        <v>0</v>
      </c>
      <c r="AT88" t="s">
        <v>762</v>
      </c>
      <c r="AU88">
        <f>IFERROR(INDEX('List of Leagues'!$E:$E, MATCH(AT88, 'List of Leagues'!$F:$F, 0)), 0)</f>
        <v>0</v>
      </c>
      <c r="AV88">
        <f t="shared" si="8"/>
        <v>0</v>
      </c>
    </row>
    <row r="89" spans="1:48" x14ac:dyDescent="0.35">
      <c r="A89" t="s">
        <v>97</v>
      </c>
      <c r="B89">
        <v>45</v>
      </c>
      <c r="C89">
        <v>2020</v>
      </c>
      <c r="D89" t="s">
        <v>195</v>
      </c>
      <c r="E89" t="s">
        <v>10</v>
      </c>
      <c r="F89" t="s">
        <v>10</v>
      </c>
      <c r="G89" t="s">
        <v>164</v>
      </c>
      <c r="H89">
        <f t="shared" si="9"/>
        <v>70</v>
      </c>
      <c r="I89">
        <f>12+14+8</f>
        <v>34</v>
      </c>
      <c r="J89">
        <f>3+9+2</f>
        <v>14</v>
      </c>
      <c r="K89">
        <f>8+11+3</f>
        <v>22</v>
      </c>
      <c r="L89">
        <f t="shared" si="10"/>
        <v>116</v>
      </c>
      <c r="M89" s="2">
        <v>14953185.666666666</v>
      </c>
      <c r="N89">
        <v>3</v>
      </c>
      <c r="O89">
        <v>12</v>
      </c>
      <c r="P89">
        <v>2</v>
      </c>
      <c r="Q89">
        <f>IF(COUNTIF($A$2:A89, A89) &gt; 1, 1, 0)</f>
        <v>0</v>
      </c>
      <c r="R89" t="b">
        <v>1</v>
      </c>
      <c r="S89" t="s">
        <v>754</v>
      </c>
      <c r="T89">
        <f>IFERROR(INDEX('List of Leagues'!E:E, MATCH(S89, 'List of Leagues'!F:F, 0)), 0)</f>
        <v>72.099999999999994</v>
      </c>
      <c r="U89" t="s">
        <v>768</v>
      </c>
      <c r="V89">
        <f>IFERROR(INDEX('List of Leagues'!E:E, MATCH(U89, 'List of Leagues'!F:F, 0)), 0)</f>
        <v>59.7</v>
      </c>
      <c r="W89" t="s">
        <v>529</v>
      </c>
      <c r="X89">
        <f>IFERROR(INDEX('List of Leagues'!E:E, MATCH(W89, 'List of Leagues'!F:F, 0)), 0)</f>
        <v>89.5</v>
      </c>
      <c r="Y89" t="s">
        <v>762</v>
      </c>
      <c r="Z89">
        <f>IFERROR(INDEX('List of Leagues'!E:E, MATCH(Y89, 'List of Leagues'!F:F, 0)), 0)</f>
        <v>0</v>
      </c>
      <c r="AA89" t="s">
        <v>762</v>
      </c>
      <c r="AB89">
        <f>IFERROR(INDEX('List of Leagues'!E:E, MATCH(AA89, 'List of Leagues'!F:F, 0)), 0)</f>
        <v>0</v>
      </c>
      <c r="AC89" t="s">
        <v>762</v>
      </c>
      <c r="AD89">
        <f>IFERROR(INDEX('List of Leagues'!E:E, MATCH(AC89, 'List of Leagues'!F:F, 0)), 0)</f>
        <v>0</v>
      </c>
      <c r="AE89" t="s">
        <v>762</v>
      </c>
      <c r="AF89">
        <f>IFERROR(INDEX('List of Leagues'!E:E, MATCH(AE89, 'List of Leagues'!F:F, 0)), 0)</f>
        <v>0</v>
      </c>
      <c r="AG89" t="s">
        <v>762</v>
      </c>
      <c r="AH89">
        <f>IFERROR(INDEX('List of Leagues'!E:E, MATCH(AG89, 'List of Leagues'!F:F, 0)), 0)</f>
        <v>0</v>
      </c>
      <c r="AI89">
        <f t="shared" si="7"/>
        <v>27.662500000000001</v>
      </c>
      <c r="AJ89" t="s">
        <v>185</v>
      </c>
      <c r="AK89">
        <f>IFERROR(INDEX('List of Leagues'!$E:$E, MATCH(AJ89, 'List of Leagues'!$F:$F, 0)), 0)</f>
        <v>75.400000000000006</v>
      </c>
      <c r="AL89" t="s">
        <v>762</v>
      </c>
      <c r="AM89">
        <f>IFERROR(INDEX('List of Leagues'!$E:$E, MATCH(AL89, 'List of Leagues'!$F:$F, 0)), 0)</f>
        <v>0</v>
      </c>
      <c r="AN89" t="s">
        <v>762</v>
      </c>
      <c r="AO89">
        <f>IFERROR(INDEX('List of Leagues'!$E:$E, MATCH(AN89, 'List of Leagues'!$F:$F, 0)), 0)</f>
        <v>0</v>
      </c>
      <c r="AP89" t="s">
        <v>762</v>
      </c>
      <c r="AQ89">
        <f>IFERROR(INDEX('List of Leagues'!$E:$E, MATCH(AP89, 'List of Leagues'!$F:$F, 0)), 0)</f>
        <v>0</v>
      </c>
      <c r="AR89" t="s">
        <v>762</v>
      </c>
      <c r="AS89">
        <f>IFERROR(INDEX('List of Leagues'!$E:$E, MATCH(AR89, 'List of Leagues'!$F:$F, 0)), 0)</f>
        <v>0</v>
      </c>
      <c r="AT89" t="s">
        <v>762</v>
      </c>
      <c r="AU89">
        <f>IFERROR(INDEX('List of Leagues'!$E:$E, MATCH(AT89, 'List of Leagues'!$F:$F, 0)), 0)</f>
        <v>0</v>
      </c>
      <c r="AV89">
        <f t="shared" si="8"/>
        <v>12.566666666666668</v>
      </c>
    </row>
    <row r="90" spans="1:48" x14ac:dyDescent="0.35">
      <c r="A90" t="s">
        <v>92</v>
      </c>
      <c r="B90">
        <v>54</v>
      </c>
      <c r="C90">
        <v>2020</v>
      </c>
      <c r="D90" t="s">
        <v>64</v>
      </c>
      <c r="E90" t="s">
        <v>6</v>
      </c>
      <c r="F90" t="s">
        <v>132</v>
      </c>
      <c r="G90" t="s">
        <v>163</v>
      </c>
      <c r="H90">
        <f t="shared" si="9"/>
        <v>57</v>
      </c>
      <c r="I90">
        <v>10</v>
      </c>
      <c r="J90">
        <v>21</v>
      </c>
      <c r="K90">
        <v>26</v>
      </c>
      <c r="L90">
        <f t="shared" si="10"/>
        <v>51</v>
      </c>
      <c r="M90" s="2">
        <v>11055195</v>
      </c>
      <c r="N90">
        <v>2</v>
      </c>
      <c r="O90">
        <v>8</v>
      </c>
      <c r="P90">
        <v>4</v>
      </c>
      <c r="Q90">
        <f>IF(COUNTIF($A$2:A90, A90) &gt; 1, 1, 0)</f>
        <v>0</v>
      </c>
      <c r="R90" t="b">
        <v>1</v>
      </c>
      <c r="S90" t="s">
        <v>537</v>
      </c>
      <c r="T90">
        <f>IFERROR(INDEX('List of Leagues'!E:E, MATCH(S90, 'List of Leagues'!F:F, 0)), 0)</f>
        <v>71</v>
      </c>
      <c r="U90" t="s">
        <v>178</v>
      </c>
      <c r="V90">
        <f>IFERROR(INDEX('List of Leagues'!E:E, MATCH(U90, 'List of Leagues'!F:F, 0)), 0)</f>
        <v>69.3</v>
      </c>
      <c r="W90" t="s">
        <v>756</v>
      </c>
      <c r="X90">
        <f>IFERROR(INDEX('List of Leagues'!E:E, MATCH(W90, 'List of Leagues'!F:F, 0)), 0)</f>
        <v>76.8</v>
      </c>
      <c r="Y90" t="s">
        <v>756</v>
      </c>
      <c r="Z90">
        <f>IFERROR(INDEX('List of Leagues'!E:E, MATCH(Y90, 'List of Leagues'!F:F, 0)), 0)</f>
        <v>76.8</v>
      </c>
      <c r="AA90" t="s">
        <v>762</v>
      </c>
      <c r="AB90">
        <f>IFERROR(INDEX('List of Leagues'!E:E, MATCH(AA90, 'List of Leagues'!F:F, 0)), 0)</f>
        <v>0</v>
      </c>
      <c r="AC90" t="s">
        <v>762</v>
      </c>
      <c r="AD90">
        <f>IFERROR(INDEX('List of Leagues'!E:E, MATCH(AC90, 'List of Leagues'!F:F, 0)), 0)</f>
        <v>0</v>
      </c>
      <c r="AE90" t="s">
        <v>762</v>
      </c>
      <c r="AF90">
        <f>IFERROR(INDEX('List of Leagues'!E:E, MATCH(AE90, 'List of Leagues'!F:F, 0)), 0)</f>
        <v>0</v>
      </c>
      <c r="AG90" t="s">
        <v>762</v>
      </c>
      <c r="AH90">
        <f>IFERROR(INDEX('List of Leagues'!E:E, MATCH(AG90, 'List of Leagues'!F:F, 0)), 0)</f>
        <v>0</v>
      </c>
      <c r="AI90">
        <f t="shared" si="7"/>
        <v>36.737500000000004</v>
      </c>
      <c r="AJ90" t="s">
        <v>213</v>
      </c>
      <c r="AK90">
        <f>IFERROR(INDEX('List of Leagues'!$E:$E, MATCH(AJ90, 'List of Leagues'!$F:$F, 0)), 0)</f>
        <v>0</v>
      </c>
      <c r="AL90" t="s">
        <v>762</v>
      </c>
      <c r="AM90">
        <f>IFERROR(INDEX('List of Leagues'!$E:$E, MATCH(AL90, 'List of Leagues'!$F:$F, 0)), 0)</f>
        <v>0</v>
      </c>
      <c r="AN90" t="s">
        <v>762</v>
      </c>
      <c r="AO90">
        <f>IFERROR(INDEX('List of Leagues'!$E:$E, MATCH(AN90, 'List of Leagues'!$F:$F, 0)), 0)</f>
        <v>0</v>
      </c>
      <c r="AP90" t="s">
        <v>762</v>
      </c>
      <c r="AQ90">
        <f>IFERROR(INDEX('List of Leagues'!$E:$E, MATCH(AP90, 'List of Leagues'!$F:$F, 0)), 0)</f>
        <v>0</v>
      </c>
      <c r="AR90" t="s">
        <v>762</v>
      </c>
      <c r="AS90">
        <f>IFERROR(INDEX('List of Leagues'!$E:$E, MATCH(AR90, 'List of Leagues'!$F:$F, 0)), 0)</f>
        <v>0</v>
      </c>
      <c r="AT90" t="s">
        <v>762</v>
      </c>
      <c r="AU90">
        <f>IFERROR(INDEX('List of Leagues'!$E:$E, MATCH(AT90, 'List of Leagues'!$F:$F, 0)), 0)</f>
        <v>0</v>
      </c>
      <c r="AV90">
        <f t="shared" si="8"/>
        <v>0</v>
      </c>
    </row>
    <row r="91" spans="1:48" x14ac:dyDescent="0.35">
      <c r="A91" t="s">
        <v>95</v>
      </c>
      <c r="B91">
        <v>43</v>
      </c>
      <c r="C91">
        <v>2020</v>
      </c>
      <c r="D91" t="s">
        <v>45</v>
      </c>
      <c r="E91" t="s">
        <v>6</v>
      </c>
      <c r="F91" t="s">
        <v>131</v>
      </c>
      <c r="G91" t="s">
        <v>158</v>
      </c>
      <c r="H91">
        <f t="shared" si="9"/>
        <v>23</v>
      </c>
      <c r="I91">
        <v>8</v>
      </c>
      <c r="J91">
        <v>2</v>
      </c>
      <c r="K91">
        <v>13</v>
      </c>
      <c r="L91">
        <f t="shared" si="10"/>
        <v>26</v>
      </c>
      <c r="M91" s="2">
        <v>11687454</v>
      </c>
      <c r="N91">
        <v>1</v>
      </c>
      <c r="O91">
        <v>1</v>
      </c>
      <c r="P91">
        <v>2</v>
      </c>
      <c r="Q91">
        <f>IF(COUNTIF($A$2:A91, A91) &gt; 1, 1, 0)</f>
        <v>0</v>
      </c>
      <c r="R91" t="b">
        <v>1</v>
      </c>
      <c r="S91" t="s">
        <v>208</v>
      </c>
      <c r="T91">
        <f>IFERROR(INDEX('List of Leagues'!E:E, MATCH(S91, 'List of Leagues'!F:F, 0)), 0)</f>
        <v>85.1</v>
      </c>
      <c r="U91" t="s">
        <v>184</v>
      </c>
      <c r="V91">
        <f>IFERROR(INDEX('List of Leagues'!E:E, MATCH(U91, 'List of Leagues'!F:F, 0)), 0)</f>
        <v>93.8</v>
      </c>
      <c r="W91" t="s">
        <v>762</v>
      </c>
      <c r="X91">
        <f>IFERROR(INDEX('List of Leagues'!E:E, MATCH(W91, 'List of Leagues'!F:F, 0)), 0)</f>
        <v>0</v>
      </c>
      <c r="Y91" t="s">
        <v>537</v>
      </c>
      <c r="Z91">
        <f>IFERROR(INDEX('List of Leagues'!E:E, MATCH(Y91, 'List of Leagues'!F:F, 0)), 0)</f>
        <v>71</v>
      </c>
      <c r="AA91" t="s">
        <v>178</v>
      </c>
      <c r="AB91">
        <f>IFERROR(INDEX('List of Leagues'!E:E, MATCH(AA91, 'List of Leagues'!F:F, 0)), 0)</f>
        <v>69.3</v>
      </c>
      <c r="AC91" t="s">
        <v>762</v>
      </c>
      <c r="AD91">
        <f>IFERROR(INDEX('List of Leagues'!E:E, MATCH(AC91, 'List of Leagues'!F:F, 0)), 0)</f>
        <v>0</v>
      </c>
      <c r="AE91" t="s">
        <v>762</v>
      </c>
      <c r="AF91">
        <f>IFERROR(INDEX('List of Leagues'!E:E, MATCH(AE91, 'List of Leagues'!F:F, 0)), 0)</f>
        <v>0</v>
      </c>
      <c r="AG91" t="s">
        <v>762</v>
      </c>
      <c r="AH91">
        <f>IFERROR(INDEX('List of Leagues'!E:E, MATCH(AG91, 'List of Leagues'!F:F, 0)), 0)</f>
        <v>0</v>
      </c>
      <c r="AI91">
        <f t="shared" si="7"/>
        <v>39.9</v>
      </c>
      <c r="AJ91" t="s">
        <v>177</v>
      </c>
      <c r="AK91">
        <f>IFERROR(INDEX('List of Leagues'!$E:$E, MATCH(AJ91, 'List of Leagues'!$F:$F, 0)), 0)</f>
        <v>0</v>
      </c>
      <c r="AL91" t="s">
        <v>762</v>
      </c>
      <c r="AM91">
        <f>IFERROR(INDEX('List of Leagues'!$E:$E, MATCH(AL91, 'List of Leagues'!$F:$F, 0)), 0)</f>
        <v>0</v>
      </c>
      <c r="AN91" t="s">
        <v>762</v>
      </c>
      <c r="AO91">
        <f>IFERROR(INDEX('List of Leagues'!$E:$E, MATCH(AN91, 'List of Leagues'!$F:$F, 0)), 0)</f>
        <v>0</v>
      </c>
      <c r="AP91" t="s">
        <v>762</v>
      </c>
      <c r="AQ91">
        <f>IFERROR(INDEX('List of Leagues'!$E:$E, MATCH(AP91, 'List of Leagues'!$F:$F, 0)), 0)</f>
        <v>0</v>
      </c>
      <c r="AR91" t="s">
        <v>762</v>
      </c>
      <c r="AS91">
        <f>IFERROR(INDEX('List of Leagues'!$E:$E, MATCH(AR91, 'List of Leagues'!$F:$F, 0)), 0)</f>
        <v>0</v>
      </c>
      <c r="AT91" t="s">
        <v>762</v>
      </c>
      <c r="AU91">
        <f>IFERROR(INDEX('List of Leagues'!$E:$E, MATCH(AT91, 'List of Leagues'!$F:$F, 0)), 0)</f>
        <v>0</v>
      </c>
      <c r="AV91">
        <f t="shared" si="8"/>
        <v>0</v>
      </c>
    </row>
    <row r="92" spans="1:48" x14ac:dyDescent="0.35">
      <c r="A92" t="s">
        <v>81</v>
      </c>
      <c r="B92">
        <v>49</v>
      </c>
      <c r="C92">
        <v>2021</v>
      </c>
      <c r="D92" t="s">
        <v>21</v>
      </c>
      <c r="E92" t="s">
        <v>6</v>
      </c>
      <c r="F92" t="s">
        <v>132</v>
      </c>
      <c r="G92" t="s">
        <v>136</v>
      </c>
      <c r="H92">
        <f t="shared" si="9"/>
        <v>10</v>
      </c>
      <c r="I92">
        <v>1</v>
      </c>
      <c r="J92">
        <v>2</v>
      </c>
      <c r="K92">
        <v>7</v>
      </c>
      <c r="L92">
        <f t="shared" si="10"/>
        <v>5</v>
      </c>
      <c r="M92" s="2">
        <v>19494805</v>
      </c>
      <c r="N92">
        <v>1</v>
      </c>
      <c r="O92">
        <v>7</v>
      </c>
      <c r="P92">
        <v>4</v>
      </c>
      <c r="Q92">
        <f>IF(COUNTIF($A$2:A92, A92) &gt; 1, 1, 0)</f>
        <v>1</v>
      </c>
      <c r="R92" t="b">
        <v>1</v>
      </c>
      <c r="S92" t="s">
        <v>187</v>
      </c>
      <c r="T92">
        <f>IFERROR(INDEX('List of Leagues'!E:E, MATCH(S92, 'List of Leagues'!F:F, 0)), 0)</f>
        <v>58.4</v>
      </c>
      <c r="U92" t="s">
        <v>178</v>
      </c>
      <c r="V92">
        <f>IFERROR(INDEX('List of Leagues'!E:E, MATCH(U92, 'List of Leagues'!F:F, 0)), 0)</f>
        <v>69.3</v>
      </c>
      <c r="W92" t="s">
        <v>762</v>
      </c>
      <c r="X92">
        <f>IFERROR(INDEX('List of Leagues'!E:E, MATCH(W92, 'List of Leagues'!F:F, 0)), 0)</f>
        <v>0</v>
      </c>
      <c r="Y92" t="s">
        <v>762</v>
      </c>
      <c r="Z92">
        <f>IFERROR(INDEX('List of Leagues'!E:E, MATCH(Y92, 'List of Leagues'!F:F, 0)), 0)</f>
        <v>0</v>
      </c>
      <c r="AA92" t="s">
        <v>762</v>
      </c>
      <c r="AB92">
        <f>IFERROR(INDEX('List of Leagues'!E:E, MATCH(AA92, 'List of Leagues'!F:F, 0)), 0)</f>
        <v>0</v>
      </c>
      <c r="AC92" t="s">
        <v>762</v>
      </c>
      <c r="AD92">
        <f>IFERROR(INDEX('List of Leagues'!E:E, MATCH(AC92, 'List of Leagues'!F:F, 0)), 0)</f>
        <v>0</v>
      </c>
      <c r="AE92" t="s">
        <v>762</v>
      </c>
      <c r="AF92">
        <f>IFERROR(INDEX('List of Leagues'!E:E, MATCH(AE92, 'List of Leagues'!F:F, 0)), 0)</f>
        <v>0</v>
      </c>
      <c r="AG92" t="s">
        <v>762</v>
      </c>
      <c r="AH92">
        <f>IFERROR(INDEX('List of Leagues'!E:E, MATCH(AG92, 'List of Leagues'!F:F, 0)), 0)</f>
        <v>0</v>
      </c>
      <c r="AI92">
        <f t="shared" si="7"/>
        <v>15.962499999999999</v>
      </c>
      <c r="AJ92" t="s">
        <v>200</v>
      </c>
      <c r="AK92">
        <f>IFERROR(INDEX('List of Leagues'!$E:$E, MATCH(AJ92, 'List of Leagues'!$F:$F, 0)), 0)</f>
        <v>0</v>
      </c>
      <c r="AL92" t="s">
        <v>762</v>
      </c>
      <c r="AM92">
        <f>IFERROR(INDEX('List of Leagues'!$E:$E, MATCH(AL92, 'List of Leagues'!$F:$F, 0)), 0)</f>
        <v>0</v>
      </c>
      <c r="AN92" t="s">
        <v>762</v>
      </c>
      <c r="AO92">
        <f>IFERROR(INDEX('List of Leagues'!$E:$E, MATCH(AN92, 'List of Leagues'!$F:$F, 0)), 0)</f>
        <v>0</v>
      </c>
      <c r="AP92" t="s">
        <v>762</v>
      </c>
      <c r="AQ92">
        <f>IFERROR(INDEX('List of Leagues'!$E:$E, MATCH(AP92, 'List of Leagues'!$F:$F, 0)), 0)</f>
        <v>0</v>
      </c>
      <c r="AR92" t="s">
        <v>762</v>
      </c>
      <c r="AS92">
        <f>IFERROR(INDEX('List of Leagues'!$E:$E, MATCH(AR92, 'List of Leagues'!$F:$F, 0)), 0)</f>
        <v>0</v>
      </c>
      <c r="AT92" t="s">
        <v>762</v>
      </c>
      <c r="AU92">
        <f>IFERROR(INDEX('List of Leagues'!$E:$E, MATCH(AT92, 'List of Leagues'!$F:$F, 0)), 0)</f>
        <v>0</v>
      </c>
      <c r="AV92">
        <f t="shared" si="8"/>
        <v>0</v>
      </c>
    </row>
    <row r="93" spans="1:48" x14ac:dyDescent="0.35">
      <c r="A93" t="s">
        <v>99</v>
      </c>
      <c r="B93">
        <v>43</v>
      </c>
      <c r="C93">
        <v>2021</v>
      </c>
      <c r="D93" t="s">
        <v>72</v>
      </c>
      <c r="E93" t="s">
        <v>10</v>
      </c>
      <c r="F93" t="s">
        <v>10</v>
      </c>
      <c r="G93" t="s">
        <v>155</v>
      </c>
      <c r="H93">
        <f t="shared" si="9"/>
        <v>13</v>
      </c>
      <c r="I93">
        <v>2</v>
      </c>
      <c r="J93">
        <v>7</v>
      </c>
      <c r="K93">
        <v>4</v>
      </c>
      <c r="L93">
        <f t="shared" si="10"/>
        <v>13</v>
      </c>
      <c r="M93" s="2">
        <v>21209400</v>
      </c>
      <c r="N93">
        <v>1</v>
      </c>
      <c r="O93">
        <v>5</v>
      </c>
      <c r="P93">
        <v>0</v>
      </c>
      <c r="Q93">
        <f>IF(COUNTIF($A$2:A93, A93) &gt; 1, 1, 0)</f>
        <v>0</v>
      </c>
      <c r="R93" t="b">
        <v>1</v>
      </c>
      <c r="S93" t="s">
        <v>532</v>
      </c>
      <c r="T93">
        <f>IFERROR(INDEX('List of Leagues'!E:E, MATCH(S93, 'List of Leagues'!F:F, 0)), 0)</f>
        <v>80.8</v>
      </c>
      <c r="U93" t="s">
        <v>538</v>
      </c>
      <c r="V93">
        <f>IFERROR(INDEX('List of Leagues'!E:E, MATCH(U93, 'List of Leagues'!F:F, 0)), 0)</f>
        <v>77.3</v>
      </c>
      <c r="W93" t="s">
        <v>762</v>
      </c>
      <c r="X93">
        <f>IFERROR(INDEX('List of Leagues'!E:E, MATCH(W93, 'List of Leagues'!F:F, 0)), 0)</f>
        <v>0</v>
      </c>
      <c r="Y93" t="s">
        <v>184</v>
      </c>
      <c r="Z93">
        <f>IFERROR(INDEX('List of Leagues'!E:E, MATCH(Y93, 'List of Leagues'!F:F, 0)), 0)</f>
        <v>93.8</v>
      </c>
      <c r="AA93" t="s">
        <v>208</v>
      </c>
      <c r="AB93">
        <f>IFERROR(INDEX('List of Leagues'!E:E, MATCH(AA93, 'List of Leagues'!F:F, 0)), 0)</f>
        <v>85.1</v>
      </c>
      <c r="AC93" t="s">
        <v>529</v>
      </c>
      <c r="AD93">
        <f>IFERROR(INDEX('List of Leagues'!E:E, MATCH(AC93, 'List of Leagues'!F:F, 0)), 0)</f>
        <v>89.5</v>
      </c>
      <c r="AE93" t="s">
        <v>531</v>
      </c>
      <c r="AF93">
        <f>IFERROR(INDEX('List of Leagues'!E:E, MATCH(AE93, 'List of Leagues'!F:F, 0)), 0)</f>
        <v>84.4</v>
      </c>
      <c r="AG93" t="s">
        <v>756</v>
      </c>
      <c r="AH93">
        <f>IFERROR(INDEX('List of Leagues'!E:E, MATCH(AG93, 'List of Leagues'!F:F, 0)), 0)</f>
        <v>76.8</v>
      </c>
      <c r="AI93">
        <f t="shared" si="7"/>
        <v>73.462499999999991</v>
      </c>
      <c r="AJ93" t="s">
        <v>178</v>
      </c>
      <c r="AK93">
        <f>IFERROR(INDEX('List of Leagues'!$E:$E, MATCH(AJ93, 'List of Leagues'!$F:$F, 0)), 0)</f>
        <v>69.3</v>
      </c>
      <c r="AL93" t="s">
        <v>761</v>
      </c>
      <c r="AM93">
        <f>IFERROR(INDEX('List of Leagues'!$E:$E, MATCH(AL93, 'List of Leagues'!$F:$F, 0)), 0)</f>
        <v>66.3</v>
      </c>
      <c r="AN93" t="s">
        <v>762</v>
      </c>
      <c r="AO93">
        <f>IFERROR(INDEX('List of Leagues'!$E:$E, MATCH(AN93, 'List of Leagues'!$F:$F, 0)), 0)</f>
        <v>0</v>
      </c>
      <c r="AP93" t="s">
        <v>762</v>
      </c>
      <c r="AQ93">
        <f>IFERROR(INDEX('List of Leagues'!$E:$E, MATCH(AP93, 'List of Leagues'!$F:$F, 0)), 0)</f>
        <v>0</v>
      </c>
      <c r="AR93" t="s">
        <v>762</v>
      </c>
      <c r="AS93">
        <f>IFERROR(INDEX('List of Leagues'!$E:$E, MATCH(AR93, 'List of Leagues'!$F:$F, 0)), 0)</f>
        <v>0</v>
      </c>
      <c r="AT93" t="s">
        <v>762</v>
      </c>
      <c r="AU93">
        <f>IFERROR(INDEX('List of Leagues'!$E:$E, MATCH(AT93, 'List of Leagues'!$F:$F, 0)), 0)</f>
        <v>0</v>
      </c>
      <c r="AV93">
        <f t="shared" si="8"/>
        <v>22.599999999999998</v>
      </c>
    </row>
    <row r="94" spans="1:48" x14ac:dyDescent="0.35">
      <c r="A94" t="s">
        <v>115</v>
      </c>
      <c r="B94">
        <v>39</v>
      </c>
      <c r="C94">
        <v>2021</v>
      </c>
      <c r="D94" t="s">
        <v>72</v>
      </c>
      <c r="E94" t="s">
        <v>6</v>
      </c>
      <c r="F94" t="s">
        <v>132</v>
      </c>
      <c r="G94" t="s">
        <v>140</v>
      </c>
      <c r="H94">
        <f t="shared" si="9"/>
        <v>85</v>
      </c>
      <c r="I94">
        <f>10+10+13</f>
        <v>33</v>
      </c>
      <c r="J94">
        <f>3+10+12</f>
        <v>25</v>
      </c>
      <c r="K94">
        <f>4+14+9</f>
        <v>27</v>
      </c>
      <c r="L94">
        <f t="shared" si="10"/>
        <v>124</v>
      </c>
      <c r="M94" s="2">
        <f>AVERAGE(21209400, 22895134, 25908400)</f>
        <v>23337644.666666668</v>
      </c>
      <c r="N94">
        <v>2</v>
      </c>
      <c r="O94">
        <v>0</v>
      </c>
      <c r="P94">
        <v>3</v>
      </c>
      <c r="Q94">
        <f>IF(COUNTIF($A$2:A94, A94) &gt; 1, 1, 0)</f>
        <v>0</v>
      </c>
      <c r="R94" t="b">
        <v>1</v>
      </c>
      <c r="S94" t="s">
        <v>201</v>
      </c>
      <c r="T94">
        <f>IFERROR(INDEX('List of Leagues'!E:E, MATCH(S94, 'List of Leagues'!F:F, 0)), 0)</f>
        <v>80</v>
      </c>
      <c r="U94" t="s">
        <v>756</v>
      </c>
      <c r="V94">
        <f>IFERROR(INDEX('List of Leagues'!E:E, MATCH(U94, 'List of Leagues'!F:F, 0)), 0)</f>
        <v>76.8</v>
      </c>
      <c r="W94" t="s">
        <v>775</v>
      </c>
      <c r="X94">
        <f>IFERROR(INDEX('List of Leagues'!E:E, MATCH(W94, 'List of Leagues'!F:F, 0)), 0)</f>
        <v>71.7</v>
      </c>
      <c r="Y94" t="s">
        <v>762</v>
      </c>
      <c r="Z94">
        <f>IFERROR(INDEX('List of Leagues'!E:E, MATCH(Y94, 'List of Leagues'!F:F, 0)), 0)</f>
        <v>0</v>
      </c>
      <c r="AA94" t="s">
        <v>762</v>
      </c>
      <c r="AB94">
        <f>IFERROR(INDEX('List of Leagues'!E:E, MATCH(AA94, 'List of Leagues'!F:F, 0)), 0)</f>
        <v>0</v>
      </c>
      <c r="AC94" t="s">
        <v>762</v>
      </c>
      <c r="AD94">
        <f>IFERROR(INDEX('List of Leagues'!E:E, MATCH(AC94, 'List of Leagues'!F:F, 0)), 0)</f>
        <v>0</v>
      </c>
      <c r="AE94" t="s">
        <v>762</v>
      </c>
      <c r="AF94">
        <f>IFERROR(INDEX('List of Leagues'!E:E, MATCH(AE94, 'List of Leagues'!F:F, 0)), 0)</f>
        <v>0</v>
      </c>
      <c r="AG94" t="s">
        <v>762</v>
      </c>
      <c r="AH94">
        <f>IFERROR(INDEX('List of Leagues'!E:E, MATCH(AG94, 'List of Leagues'!F:F, 0)), 0)</f>
        <v>0</v>
      </c>
      <c r="AI94">
        <f t="shared" si="7"/>
        <v>28.5625</v>
      </c>
      <c r="AJ94" t="s">
        <v>178</v>
      </c>
      <c r="AK94">
        <f>IFERROR(INDEX('List of Leagues'!$E:$E, MATCH(AJ94, 'List of Leagues'!$F:$F, 0)), 0)</f>
        <v>69.3</v>
      </c>
      <c r="AL94" t="s">
        <v>762</v>
      </c>
      <c r="AM94">
        <f>IFERROR(INDEX('List of Leagues'!$E:$E, MATCH(AL94, 'List of Leagues'!$F:$F, 0)), 0)</f>
        <v>0</v>
      </c>
      <c r="AN94" t="s">
        <v>762</v>
      </c>
      <c r="AO94">
        <f>IFERROR(INDEX('List of Leagues'!$E:$E, MATCH(AN94, 'List of Leagues'!$F:$F, 0)), 0)</f>
        <v>0</v>
      </c>
      <c r="AP94" t="s">
        <v>762</v>
      </c>
      <c r="AQ94">
        <f>IFERROR(INDEX('List of Leagues'!$E:$E, MATCH(AP94, 'List of Leagues'!$F:$F, 0)), 0)</f>
        <v>0</v>
      </c>
      <c r="AR94" t="s">
        <v>762</v>
      </c>
      <c r="AS94">
        <f>IFERROR(INDEX('List of Leagues'!$E:$E, MATCH(AR94, 'List of Leagues'!$F:$F, 0)), 0)</f>
        <v>0</v>
      </c>
      <c r="AT94" t="s">
        <v>762</v>
      </c>
      <c r="AU94">
        <f>IFERROR(INDEX('List of Leagues'!$E:$E, MATCH(AT94, 'List of Leagues'!$F:$F, 0)), 0)</f>
        <v>0</v>
      </c>
      <c r="AV94">
        <f t="shared" si="8"/>
        <v>11.549999999999999</v>
      </c>
    </row>
    <row r="95" spans="1:48" x14ac:dyDescent="0.35">
      <c r="A95" t="s">
        <v>126</v>
      </c>
      <c r="B95">
        <v>47</v>
      </c>
      <c r="C95">
        <v>2021</v>
      </c>
      <c r="D95" t="s">
        <v>14</v>
      </c>
      <c r="E95" t="s">
        <v>10</v>
      </c>
      <c r="F95" t="s">
        <v>10</v>
      </c>
      <c r="G95" t="s">
        <v>136</v>
      </c>
      <c r="H95">
        <f t="shared" si="9"/>
        <v>102</v>
      </c>
      <c r="I95">
        <f>13+14+8</f>
        <v>35</v>
      </c>
      <c r="J95">
        <f>9+8+12</f>
        <v>29</v>
      </c>
      <c r="K95">
        <f>12+12+14</f>
        <v>38</v>
      </c>
      <c r="L95">
        <f t="shared" si="10"/>
        <v>134</v>
      </c>
      <c r="M95" s="2">
        <v>24573902.666666668</v>
      </c>
      <c r="N95">
        <v>3</v>
      </c>
      <c r="O95">
        <v>6</v>
      </c>
      <c r="P95">
        <v>2</v>
      </c>
      <c r="Q95">
        <f>IF(COUNTIF($A$2:A95, A95) &gt; 1, 1, 0)</f>
        <v>1</v>
      </c>
      <c r="R95" t="b">
        <v>1</v>
      </c>
      <c r="S95" t="s">
        <v>187</v>
      </c>
      <c r="T95">
        <f>IFERROR(INDEX('List of Leagues'!E:E, MATCH(S95, 'List of Leagues'!F:F, 0)), 0)</f>
        <v>58.4</v>
      </c>
      <c r="U95" t="s">
        <v>178</v>
      </c>
      <c r="V95">
        <f>IFERROR(INDEX('List of Leagues'!E:E, MATCH(U95, 'List of Leagues'!F:F, 0)), 0)</f>
        <v>69.3</v>
      </c>
      <c r="W95" t="s">
        <v>185</v>
      </c>
      <c r="X95">
        <f>IFERROR(INDEX('List of Leagues'!E:E, MATCH(W95, 'List of Leagues'!F:F, 0)), 0)</f>
        <v>75.400000000000006</v>
      </c>
      <c r="Y95" t="s">
        <v>756</v>
      </c>
      <c r="Z95">
        <f>IFERROR(INDEX('List of Leagues'!E:E, MATCH(Y95, 'List of Leagues'!F:F, 0)), 0)</f>
        <v>76.8</v>
      </c>
      <c r="AA95" t="s">
        <v>762</v>
      </c>
      <c r="AB95">
        <f>IFERROR(INDEX('List of Leagues'!E:E, MATCH(AA95, 'List of Leagues'!F:F, 0)), 0)</f>
        <v>0</v>
      </c>
      <c r="AC95" t="s">
        <v>762</v>
      </c>
      <c r="AD95">
        <f>IFERROR(INDEX('List of Leagues'!E:E, MATCH(AC95, 'List of Leagues'!F:F, 0)), 0)</f>
        <v>0</v>
      </c>
      <c r="AE95" t="s">
        <v>762</v>
      </c>
      <c r="AF95">
        <f>IFERROR(INDEX('List of Leagues'!E:E, MATCH(AE95, 'List of Leagues'!F:F, 0)), 0)</f>
        <v>0</v>
      </c>
      <c r="AG95" t="s">
        <v>762</v>
      </c>
      <c r="AH95">
        <f>IFERROR(INDEX('List of Leagues'!E:E, MATCH(AG95, 'List of Leagues'!F:F, 0)), 0)</f>
        <v>0</v>
      </c>
      <c r="AI95">
        <f t="shared" si="7"/>
        <v>34.987499999999997</v>
      </c>
      <c r="AJ95" t="s">
        <v>539</v>
      </c>
      <c r="AK95">
        <f>IFERROR(INDEX('List of Leagues'!$E:$E, MATCH(AJ95, 'List of Leagues'!$F:$F, 0)), 0)</f>
        <v>77.400000000000006</v>
      </c>
      <c r="AL95" t="s">
        <v>216</v>
      </c>
      <c r="AM95">
        <f>IFERROR(INDEX('List of Leagues'!$E:$E, MATCH(AL95, 'List of Leagues'!$F:$F, 0)), 0)</f>
        <v>0</v>
      </c>
      <c r="AN95" t="s">
        <v>772</v>
      </c>
      <c r="AO95">
        <f>IFERROR(INDEX('List of Leagues'!$E:$E, MATCH(AN95, 'List of Leagues'!$F:$F, 0)), 0)</f>
        <v>43.8</v>
      </c>
      <c r="AP95" t="s">
        <v>762</v>
      </c>
      <c r="AQ95">
        <f>IFERROR(INDEX('List of Leagues'!$E:$E, MATCH(AP95, 'List of Leagues'!$F:$F, 0)), 0)</f>
        <v>0</v>
      </c>
      <c r="AR95" t="s">
        <v>762</v>
      </c>
      <c r="AS95">
        <f>IFERROR(INDEX('List of Leagues'!$E:$E, MATCH(AR95, 'List of Leagues'!$F:$F, 0)), 0)</f>
        <v>0</v>
      </c>
      <c r="AT95" t="s">
        <v>762</v>
      </c>
      <c r="AU95">
        <f>IFERROR(INDEX('List of Leagues'!$E:$E, MATCH(AT95, 'List of Leagues'!$F:$F, 0)), 0)</f>
        <v>0</v>
      </c>
      <c r="AV95">
        <f t="shared" si="8"/>
        <v>20.2</v>
      </c>
    </row>
    <row r="96" spans="1:48" x14ac:dyDescent="0.35">
      <c r="A96" t="s">
        <v>100</v>
      </c>
      <c r="B96">
        <v>39</v>
      </c>
      <c r="C96">
        <v>2021</v>
      </c>
      <c r="D96" t="s">
        <v>198</v>
      </c>
      <c r="E96" t="s">
        <v>10</v>
      </c>
      <c r="F96" t="s">
        <v>10</v>
      </c>
      <c r="G96" t="s">
        <v>155</v>
      </c>
      <c r="H96">
        <f t="shared" si="9"/>
        <v>40</v>
      </c>
      <c r="I96">
        <f>14+2</f>
        <v>16</v>
      </c>
      <c r="J96">
        <f>5</f>
        <v>5</v>
      </c>
      <c r="K96">
        <f>15+4</f>
        <v>19</v>
      </c>
      <c r="L96">
        <f t="shared" si="10"/>
        <v>53</v>
      </c>
      <c r="M96" s="2">
        <v>15572807.5</v>
      </c>
      <c r="N96">
        <v>2</v>
      </c>
      <c r="O96">
        <v>3</v>
      </c>
      <c r="P96">
        <v>0</v>
      </c>
      <c r="Q96">
        <f>IF(COUNTIF($A$2:A96, A96) &gt; 1, 1, 0)</f>
        <v>0</v>
      </c>
      <c r="R96" t="b">
        <v>1</v>
      </c>
      <c r="S96" t="s">
        <v>532</v>
      </c>
      <c r="T96">
        <f>IFERROR(INDEX('List of Leagues'!E:E, MATCH(S96, 'List of Leagues'!F:F, 0)), 0)</f>
        <v>80.8</v>
      </c>
      <c r="U96" t="s">
        <v>203</v>
      </c>
      <c r="V96">
        <f>IFERROR(INDEX('List of Leagues'!E:E, MATCH(U96, 'List of Leagues'!F:F, 0)), 0)</f>
        <v>76.8</v>
      </c>
      <c r="W96" t="s">
        <v>197</v>
      </c>
      <c r="X96">
        <f>IFERROR(INDEX('List of Leagues'!E:E, MATCH(W96, 'List of Leagues'!F:F, 0)), 0)</f>
        <v>78.400000000000006</v>
      </c>
      <c r="Y96" t="s">
        <v>762</v>
      </c>
      <c r="Z96">
        <f>IFERROR(INDEX('List of Leagues'!E:E, MATCH(Y96, 'List of Leagues'!F:F, 0)), 0)</f>
        <v>0</v>
      </c>
      <c r="AA96" t="s">
        <v>762</v>
      </c>
      <c r="AB96">
        <f>IFERROR(INDEX('List of Leagues'!E:E, MATCH(AA96, 'List of Leagues'!F:F, 0)), 0)</f>
        <v>0</v>
      </c>
      <c r="AC96" t="s">
        <v>762</v>
      </c>
      <c r="AD96">
        <f>IFERROR(INDEX('List of Leagues'!E:E, MATCH(AC96, 'List of Leagues'!F:F, 0)), 0)</f>
        <v>0</v>
      </c>
      <c r="AE96" t="s">
        <v>762</v>
      </c>
      <c r="AF96">
        <f>IFERROR(INDEX('List of Leagues'!E:E, MATCH(AE96, 'List of Leagues'!F:F, 0)), 0)</f>
        <v>0</v>
      </c>
      <c r="AG96" t="s">
        <v>762</v>
      </c>
      <c r="AH96">
        <f>IFERROR(INDEX('List of Leagues'!E:E, MATCH(AG96, 'List of Leagues'!F:F, 0)), 0)</f>
        <v>0</v>
      </c>
      <c r="AI96">
        <f t="shared" si="7"/>
        <v>29.5</v>
      </c>
      <c r="AJ96" t="s">
        <v>208</v>
      </c>
      <c r="AK96">
        <f>IFERROR(INDEX('List of Leagues'!$E:$E, MATCH(AJ96, 'List of Leagues'!$F:$F, 0)), 0)</f>
        <v>85.1</v>
      </c>
      <c r="AL96" t="s">
        <v>184</v>
      </c>
      <c r="AM96">
        <f>IFERROR(INDEX('List of Leagues'!$E:$E, MATCH(AL96, 'List of Leagues'!$F:$F, 0)), 0)</f>
        <v>93.8</v>
      </c>
      <c r="AN96" t="s">
        <v>762</v>
      </c>
      <c r="AO96">
        <f>IFERROR(INDEX('List of Leagues'!$E:$E, MATCH(AN96, 'List of Leagues'!$F:$F, 0)), 0)</f>
        <v>0</v>
      </c>
      <c r="AP96" t="s">
        <v>762</v>
      </c>
      <c r="AQ96">
        <f>IFERROR(INDEX('List of Leagues'!$E:$E, MATCH(AP96, 'List of Leagues'!$F:$F, 0)), 0)</f>
        <v>0</v>
      </c>
      <c r="AR96" t="s">
        <v>762</v>
      </c>
      <c r="AS96">
        <f>IFERROR(INDEX('List of Leagues'!$E:$E, MATCH(AR96, 'List of Leagues'!$F:$F, 0)), 0)</f>
        <v>0</v>
      </c>
      <c r="AT96" t="s">
        <v>762</v>
      </c>
      <c r="AU96">
        <f>IFERROR(INDEX('List of Leagues'!$E:$E, MATCH(AT96, 'List of Leagues'!$F:$F, 0)), 0)</f>
        <v>0</v>
      </c>
      <c r="AV96">
        <f t="shared" si="8"/>
        <v>29.816666666666663</v>
      </c>
    </row>
    <row r="97" spans="1:48" x14ac:dyDescent="0.35">
      <c r="A97" t="s">
        <v>191</v>
      </c>
      <c r="B97">
        <v>44</v>
      </c>
      <c r="C97">
        <v>2021</v>
      </c>
      <c r="D97" t="s">
        <v>194</v>
      </c>
      <c r="E97" t="s">
        <v>10</v>
      </c>
      <c r="F97" t="s">
        <v>10</v>
      </c>
      <c r="G97" t="s">
        <v>136</v>
      </c>
      <c r="H97">
        <f t="shared" si="9"/>
        <v>102</v>
      </c>
      <c r="I97">
        <f>9+16+10</f>
        <v>35</v>
      </c>
      <c r="J97">
        <f>4+8+9</f>
        <v>21</v>
      </c>
      <c r="K97">
        <f>21+10+15</f>
        <v>46</v>
      </c>
      <c r="L97">
        <f t="shared" si="10"/>
        <v>126</v>
      </c>
      <c r="M97" s="2">
        <f>AVERAGE(12576476, 16375786, 21041047)</f>
        <v>16664436.333333334</v>
      </c>
      <c r="N97">
        <v>3</v>
      </c>
      <c r="O97">
        <v>0</v>
      </c>
      <c r="P97">
        <v>6</v>
      </c>
      <c r="Q97">
        <f>IF(COUNTIF($A$2:A97, A97) &gt; 1, 1, 0)</f>
        <v>0</v>
      </c>
      <c r="R97" t="b">
        <v>1</v>
      </c>
      <c r="S97" t="s">
        <v>178</v>
      </c>
      <c r="T97">
        <f>IFERROR(INDEX('List of Leagues'!E:E, MATCH(S97, 'List of Leagues'!F:F, 0)), 0)</f>
        <v>69.3</v>
      </c>
      <c r="U97" t="s">
        <v>653</v>
      </c>
      <c r="V97">
        <f>IFERROR(INDEX('List of Leagues'!E:E, MATCH(U97, 'List of Leagues'!F:F, 0)), 0)</f>
        <v>77.099999999999994</v>
      </c>
      <c r="W97" t="s">
        <v>762</v>
      </c>
      <c r="X97">
        <f>IFERROR(INDEX('List of Leagues'!E:E, MATCH(W97, 'List of Leagues'!F:F, 0)), 0)</f>
        <v>0</v>
      </c>
      <c r="Y97" t="s">
        <v>762</v>
      </c>
      <c r="Z97">
        <f>IFERROR(INDEX('List of Leagues'!E:E, MATCH(Y97, 'List of Leagues'!F:F, 0)), 0)</f>
        <v>0</v>
      </c>
      <c r="AA97" t="s">
        <v>762</v>
      </c>
      <c r="AB97">
        <f>IFERROR(INDEX('List of Leagues'!E:E, MATCH(AA97, 'List of Leagues'!F:F, 0)), 0)</f>
        <v>0</v>
      </c>
      <c r="AC97" t="s">
        <v>762</v>
      </c>
      <c r="AD97">
        <f>IFERROR(INDEX('List of Leagues'!E:E, MATCH(AC97, 'List of Leagues'!F:F, 0)), 0)</f>
        <v>0</v>
      </c>
      <c r="AE97" t="s">
        <v>762</v>
      </c>
      <c r="AF97">
        <f>IFERROR(INDEX('List of Leagues'!E:E, MATCH(AE97, 'List of Leagues'!F:F, 0)), 0)</f>
        <v>0</v>
      </c>
      <c r="AG97" t="s">
        <v>762</v>
      </c>
      <c r="AH97">
        <f>IFERROR(INDEX('List of Leagues'!E:E, MATCH(AG97, 'List of Leagues'!F:F, 0)), 0)</f>
        <v>0</v>
      </c>
      <c r="AI97">
        <f t="shared" si="7"/>
        <v>18.299999999999997</v>
      </c>
      <c r="AJ97" t="s">
        <v>177</v>
      </c>
      <c r="AK97">
        <f>IFERROR(INDEX('List of Leagues'!$E:$E, MATCH(AJ97, 'List of Leagues'!$F:$F, 0)), 0)</f>
        <v>0</v>
      </c>
      <c r="AL97" t="s">
        <v>762</v>
      </c>
      <c r="AM97">
        <f>IFERROR(INDEX('List of Leagues'!$E:$E, MATCH(AL97, 'List of Leagues'!$F:$F, 0)), 0)</f>
        <v>0</v>
      </c>
      <c r="AN97" t="s">
        <v>762</v>
      </c>
      <c r="AO97">
        <f>IFERROR(INDEX('List of Leagues'!$E:$E, MATCH(AN97, 'List of Leagues'!$F:$F, 0)), 0)</f>
        <v>0</v>
      </c>
      <c r="AP97" t="s">
        <v>762</v>
      </c>
      <c r="AQ97">
        <f>IFERROR(INDEX('List of Leagues'!$E:$E, MATCH(AP97, 'List of Leagues'!$F:$F, 0)), 0)</f>
        <v>0</v>
      </c>
      <c r="AR97" t="s">
        <v>762</v>
      </c>
      <c r="AS97">
        <f>IFERROR(INDEX('List of Leagues'!$E:$E, MATCH(AR97, 'List of Leagues'!$F:$F, 0)), 0)</f>
        <v>0</v>
      </c>
      <c r="AT97" t="s">
        <v>762</v>
      </c>
      <c r="AU97">
        <f>IFERROR(INDEX('List of Leagues'!$E:$E, MATCH(AT97, 'List of Leagues'!$F:$F, 0)), 0)</f>
        <v>0</v>
      </c>
      <c r="AV97">
        <f t="shared" si="8"/>
        <v>0</v>
      </c>
    </row>
    <row r="98" spans="1:48" x14ac:dyDescent="0.35">
      <c r="A98" t="s">
        <v>125</v>
      </c>
      <c r="B98">
        <f>38+7</f>
        <v>45</v>
      </c>
      <c r="C98">
        <v>2021</v>
      </c>
      <c r="D98" t="s">
        <v>60</v>
      </c>
      <c r="E98" t="s">
        <v>6</v>
      </c>
      <c r="F98" t="s">
        <v>132</v>
      </c>
      <c r="G98" t="s">
        <v>155</v>
      </c>
      <c r="H98">
        <f t="shared" si="9"/>
        <v>82</v>
      </c>
      <c r="I98">
        <f>7+12+14</f>
        <v>33</v>
      </c>
      <c r="J98">
        <f>0+11+8</f>
        <v>19</v>
      </c>
      <c r="K98">
        <f>7+11+12</f>
        <v>30</v>
      </c>
      <c r="L98">
        <f t="shared" si="10"/>
        <v>118</v>
      </c>
      <c r="M98" s="2">
        <v>14375740.333333334</v>
      </c>
      <c r="N98">
        <v>2</v>
      </c>
      <c r="O98">
        <v>5</v>
      </c>
      <c r="P98">
        <v>2</v>
      </c>
      <c r="Q98">
        <f>IF(COUNTIF($A$2:A98, A98) &gt; 1, 1, 0)</f>
        <v>1</v>
      </c>
      <c r="R98" t="b">
        <v>1</v>
      </c>
      <c r="S98" t="s">
        <v>178</v>
      </c>
      <c r="T98">
        <f>IFERROR(INDEX('List of Leagues'!E:E, MATCH(S98, 'List of Leagues'!F:F, 0)), 0)</f>
        <v>69.3</v>
      </c>
      <c r="U98" t="s">
        <v>187</v>
      </c>
      <c r="V98">
        <f>IFERROR(INDEX('List of Leagues'!E:E, MATCH(U98, 'List of Leagues'!F:F, 0)), 0)</f>
        <v>58.4</v>
      </c>
      <c r="W98" t="s">
        <v>754</v>
      </c>
      <c r="X98">
        <f>IFERROR(INDEX('List of Leagues'!E:E, MATCH(W98, 'List of Leagues'!F:F, 0)), 0)</f>
        <v>72.099999999999994</v>
      </c>
      <c r="Y98" t="s">
        <v>762</v>
      </c>
      <c r="Z98">
        <f>IFERROR(INDEX('List of Leagues'!E:E, MATCH(Y98, 'List of Leagues'!F:F, 0)), 0)</f>
        <v>0</v>
      </c>
      <c r="AA98" t="s">
        <v>762</v>
      </c>
      <c r="AB98">
        <f>IFERROR(INDEX('List of Leagues'!E:E, MATCH(AA98, 'List of Leagues'!F:F, 0)), 0)</f>
        <v>0</v>
      </c>
      <c r="AC98" t="s">
        <v>762</v>
      </c>
      <c r="AD98">
        <f>IFERROR(INDEX('List of Leagues'!E:E, MATCH(AC98, 'List of Leagues'!F:F, 0)), 0)</f>
        <v>0</v>
      </c>
      <c r="AE98" t="s">
        <v>762</v>
      </c>
      <c r="AF98">
        <f>IFERROR(INDEX('List of Leagues'!E:E, MATCH(AE98, 'List of Leagues'!F:F, 0)), 0)</f>
        <v>0</v>
      </c>
      <c r="AG98" t="s">
        <v>762</v>
      </c>
      <c r="AH98">
        <f>IFERROR(INDEX('List of Leagues'!E:E, MATCH(AG98, 'List of Leagues'!F:F, 0)), 0)</f>
        <v>0</v>
      </c>
      <c r="AI98">
        <f t="shared" ref="AI98:AI118" si="11">AVERAGE(T98, V98, X98, Z98, AB98, AD98, AF98, AH98)</f>
        <v>24.974999999999998</v>
      </c>
      <c r="AJ98" t="s">
        <v>177</v>
      </c>
      <c r="AK98">
        <f>IFERROR(INDEX('List of Leagues'!$E:$E, MATCH(AJ98, 'List of Leagues'!$F:$F, 0)), 0)</f>
        <v>0</v>
      </c>
      <c r="AL98" t="s">
        <v>762</v>
      </c>
      <c r="AM98">
        <f>IFERROR(INDEX('List of Leagues'!$E:$E, MATCH(AL98, 'List of Leagues'!$F:$F, 0)), 0)</f>
        <v>0</v>
      </c>
      <c r="AN98" t="s">
        <v>762</v>
      </c>
      <c r="AO98">
        <f>IFERROR(INDEX('List of Leagues'!$E:$E, MATCH(AN98, 'List of Leagues'!$F:$F, 0)), 0)</f>
        <v>0</v>
      </c>
      <c r="AP98" t="s">
        <v>762</v>
      </c>
      <c r="AQ98">
        <f>IFERROR(INDEX('List of Leagues'!$E:$E, MATCH(AP98, 'List of Leagues'!$F:$F, 0)), 0)</f>
        <v>0</v>
      </c>
      <c r="AR98" t="s">
        <v>762</v>
      </c>
      <c r="AS98">
        <f>IFERROR(INDEX('List of Leagues'!$E:$E, MATCH(AR98, 'List of Leagues'!$F:$F, 0)), 0)</f>
        <v>0</v>
      </c>
      <c r="AT98" t="s">
        <v>762</v>
      </c>
      <c r="AU98">
        <f>IFERROR(INDEX('List of Leagues'!$E:$E, MATCH(AT98, 'List of Leagues'!$F:$F, 0)), 0)</f>
        <v>0</v>
      </c>
      <c r="AV98">
        <f t="shared" si="8"/>
        <v>0</v>
      </c>
    </row>
    <row r="99" spans="1:48" x14ac:dyDescent="0.35">
      <c r="A99" t="s">
        <v>101</v>
      </c>
      <c r="B99">
        <v>44</v>
      </c>
      <c r="C99">
        <v>2021</v>
      </c>
      <c r="D99" t="s">
        <v>94</v>
      </c>
      <c r="E99" t="s">
        <v>10</v>
      </c>
      <c r="F99" t="s">
        <v>10</v>
      </c>
      <c r="G99" t="s">
        <v>147</v>
      </c>
      <c r="H99">
        <f t="shared" si="9"/>
        <v>83</v>
      </c>
      <c r="I99">
        <f>12+14+5</f>
        <v>31</v>
      </c>
      <c r="J99">
        <f>5+6</f>
        <v>11</v>
      </c>
      <c r="K99">
        <f>17+14+10</f>
        <v>41</v>
      </c>
      <c r="L99">
        <f t="shared" si="10"/>
        <v>104</v>
      </c>
      <c r="M99" s="2">
        <v>28796482.666666668</v>
      </c>
      <c r="N99">
        <v>3</v>
      </c>
      <c r="O99">
        <v>3</v>
      </c>
      <c r="P99">
        <v>5</v>
      </c>
      <c r="Q99">
        <f>IF(COUNTIF($A$2:A99, A99) &gt; 1, 1, 0)</f>
        <v>0</v>
      </c>
      <c r="R99" t="b">
        <v>1</v>
      </c>
      <c r="S99" t="s">
        <v>184</v>
      </c>
      <c r="T99">
        <f>IFERROR(INDEX('List of Leagues'!E:E, MATCH(S99, 'List of Leagues'!F:F, 0)), 0)</f>
        <v>93.8</v>
      </c>
      <c r="U99" t="s">
        <v>756</v>
      </c>
      <c r="V99">
        <f>IFERROR(INDEX('List of Leagues'!E:E, MATCH(U99, 'List of Leagues'!F:F, 0)), 0)</f>
        <v>76.8</v>
      </c>
      <c r="W99" t="s">
        <v>539</v>
      </c>
      <c r="X99">
        <f>IFERROR(INDEX('List of Leagues'!E:E, MATCH(W99, 'List of Leagues'!F:F, 0)), 0)</f>
        <v>77.400000000000006</v>
      </c>
      <c r="Y99" t="s">
        <v>762</v>
      </c>
      <c r="Z99">
        <f>IFERROR(INDEX('List of Leagues'!E:E, MATCH(Y99, 'List of Leagues'!F:F, 0)), 0)</f>
        <v>0</v>
      </c>
      <c r="AA99" t="s">
        <v>762</v>
      </c>
      <c r="AB99">
        <f>IFERROR(INDEX('List of Leagues'!E:E, MATCH(AA99, 'List of Leagues'!F:F, 0)), 0)</f>
        <v>0</v>
      </c>
      <c r="AC99" t="s">
        <v>762</v>
      </c>
      <c r="AD99">
        <f>IFERROR(INDEX('List of Leagues'!E:E, MATCH(AC99, 'List of Leagues'!F:F, 0)), 0)</f>
        <v>0</v>
      </c>
      <c r="AE99" t="s">
        <v>762</v>
      </c>
      <c r="AF99">
        <f>IFERROR(INDEX('List of Leagues'!E:E, MATCH(AE99, 'List of Leagues'!F:F, 0)), 0)</f>
        <v>0</v>
      </c>
      <c r="AG99" t="s">
        <v>762</v>
      </c>
      <c r="AH99">
        <f>IFERROR(INDEX('List of Leagues'!E:E, MATCH(AG99, 'List of Leagues'!F:F, 0)), 0)</f>
        <v>0</v>
      </c>
      <c r="AI99">
        <f t="shared" si="11"/>
        <v>31</v>
      </c>
      <c r="AJ99" t="s">
        <v>178</v>
      </c>
      <c r="AK99">
        <f>IFERROR(INDEX('List of Leagues'!$E:$E, MATCH(AJ99, 'List of Leagues'!$F:$F, 0)), 0)</f>
        <v>69.3</v>
      </c>
      <c r="AL99" t="s">
        <v>762</v>
      </c>
      <c r="AM99">
        <f>IFERROR(INDEX('List of Leagues'!$E:$E, MATCH(AL99, 'List of Leagues'!$F:$F, 0)), 0)</f>
        <v>0</v>
      </c>
      <c r="AN99" t="s">
        <v>762</v>
      </c>
      <c r="AO99">
        <f>IFERROR(INDEX('List of Leagues'!$E:$E, MATCH(AN99, 'List of Leagues'!$F:$F, 0)), 0)</f>
        <v>0</v>
      </c>
      <c r="AP99" t="s">
        <v>762</v>
      </c>
      <c r="AQ99">
        <f>IFERROR(INDEX('List of Leagues'!$E:$E, MATCH(AP99, 'List of Leagues'!$F:$F, 0)), 0)</f>
        <v>0</v>
      </c>
      <c r="AR99" t="s">
        <v>762</v>
      </c>
      <c r="AS99">
        <f>IFERROR(INDEX('List of Leagues'!$E:$E, MATCH(AR99, 'List of Leagues'!$F:$F, 0)), 0)</f>
        <v>0</v>
      </c>
      <c r="AT99" t="s">
        <v>762</v>
      </c>
      <c r="AU99">
        <f>IFERROR(INDEX('List of Leagues'!$E:$E, MATCH(AT99, 'List of Leagues'!$F:$F, 0)), 0)</f>
        <v>0</v>
      </c>
      <c r="AV99">
        <f t="shared" si="8"/>
        <v>11.549999999999999</v>
      </c>
    </row>
    <row r="100" spans="1:48" x14ac:dyDescent="0.35">
      <c r="A100" t="s">
        <v>124</v>
      </c>
      <c r="B100">
        <v>44</v>
      </c>
      <c r="C100">
        <v>2021</v>
      </c>
      <c r="D100" t="s">
        <v>42</v>
      </c>
      <c r="E100" t="s">
        <v>10</v>
      </c>
      <c r="F100" t="s">
        <v>10</v>
      </c>
      <c r="G100" t="s">
        <v>166</v>
      </c>
      <c r="H100">
        <f t="shared" si="9"/>
        <v>83</v>
      </c>
      <c r="I100">
        <f>12+12+7</f>
        <v>31</v>
      </c>
      <c r="J100">
        <f>12+7+5</f>
        <v>24</v>
      </c>
      <c r="K100">
        <f>15+13</f>
        <v>28</v>
      </c>
      <c r="L100">
        <f t="shared" si="10"/>
        <v>117</v>
      </c>
      <c r="M100" s="2">
        <v>14293339.333333334</v>
      </c>
      <c r="N100">
        <v>2</v>
      </c>
      <c r="O100">
        <v>3</v>
      </c>
      <c r="P100">
        <v>4</v>
      </c>
      <c r="Q100">
        <f>IF(COUNTIF($A$2:A100, A100) &gt; 1, 1, 0)</f>
        <v>0</v>
      </c>
      <c r="R100" t="b">
        <v>0</v>
      </c>
      <c r="S100" t="s">
        <v>179</v>
      </c>
      <c r="T100">
        <f>IFERROR(INDEX('List of Leagues'!E:E, MATCH(S100, 'List of Leagues'!F:F, 0)), 0)</f>
        <v>0</v>
      </c>
      <c r="U100" t="s">
        <v>762</v>
      </c>
      <c r="V100">
        <f>IFERROR(INDEX('List of Leagues'!E:E, MATCH(U100, 'List of Leagues'!F:F, 0)), 0)</f>
        <v>0</v>
      </c>
      <c r="W100" t="s">
        <v>537</v>
      </c>
      <c r="X100">
        <f>IFERROR(INDEX('List of Leagues'!E:E, MATCH(W100, 'List of Leagues'!F:F, 0)), 0)</f>
        <v>71</v>
      </c>
      <c r="Y100" t="s">
        <v>762</v>
      </c>
      <c r="Z100">
        <f>IFERROR(INDEX('List of Leagues'!E:E, MATCH(Y100, 'List of Leagues'!F:F, 0)), 0)</f>
        <v>0</v>
      </c>
      <c r="AA100" t="s">
        <v>762</v>
      </c>
      <c r="AB100">
        <f>IFERROR(INDEX('List of Leagues'!E:E, MATCH(AA100, 'List of Leagues'!F:F, 0)), 0)</f>
        <v>0</v>
      </c>
      <c r="AC100" t="s">
        <v>762</v>
      </c>
      <c r="AD100">
        <f>IFERROR(INDEX('List of Leagues'!E:E, MATCH(AC100, 'List of Leagues'!F:F, 0)), 0)</f>
        <v>0</v>
      </c>
      <c r="AE100" t="s">
        <v>762</v>
      </c>
      <c r="AF100">
        <f>IFERROR(INDEX('List of Leagues'!E:E, MATCH(AE100, 'List of Leagues'!F:F, 0)), 0)</f>
        <v>0</v>
      </c>
      <c r="AG100" t="s">
        <v>762</v>
      </c>
      <c r="AH100">
        <f>IFERROR(INDEX('List of Leagues'!E:E, MATCH(AG100, 'List of Leagues'!F:F, 0)), 0)</f>
        <v>0</v>
      </c>
      <c r="AI100">
        <f t="shared" si="11"/>
        <v>8.875</v>
      </c>
      <c r="AJ100" t="s">
        <v>197</v>
      </c>
      <c r="AK100">
        <f>IFERROR(INDEX('List of Leagues'!$E:$E, MATCH(AJ100, 'List of Leagues'!$F:$F, 0)), 0)</f>
        <v>78.400000000000006</v>
      </c>
      <c r="AL100" t="s">
        <v>762</v>
      </c>
      <c r="AM100">
        <f>IFERROR(INDEX('List of Leagues'!$E:$E, MATCH(AL100, 'List of Leagues'!$F:$F, 0)), 0)</f>
        <v>0</v>
      </c>
      <c r="AN100" t="s">
        <v>762</v>
      </c>
      <c r="AO100">
        <f>IFERROR(INDEX('List of Leagues'!$E:$E, MATCH(AN100, 'List of Leagues'!$F:$F, 0)), 0)</f>
        <v>0</v>
      </c>
      <c r="AP100" t="s">
        <v>762</v>
      </c>
      <c r="AQ100">
        <f>IFERROR(INDEX('List of Leagues'!$E:$E, MATCH(AP100, 'List of Leagues'!$F:$F, 0)), 0)</f>
        <v>0</v>
      </c>
      <c r="AR100" t="s">
        <v>762</v>
      </c>
      <c r="AS100">
        <f>IFERROR(INDEX('List of Leagues'!$E:$E, MATCH(AR100, 'List of Leagues'!$F:$F, 0)), 0)</f>
        <v>0</v>
      </c>
      <c r="AT100" t="s">
        <v>762</v>
      </c>
      <c r="AU100">
        <f>IFERROR(INDEX('List of Leagues'!$E:$E, MATCH(AT100, 'List of Leagues'!$F:$F, 0)), 0)</f>
        <v>0</v>
      </c>
      <c r="AV100">
        <f t="shared" si="8"/>
        <v>13.066666666666668</v>
      </c>
    </row>
    <row r="101" spans="1:48" x14ac:dyDescent="0.35">
      <c r="A101" t="s">
        <v>102</v>
      </c>
      <c r="B101">
        <v>44</v>
      </c>
      <c r="C101">
        <v>2021</v>
      </c>
      <c r="D101" t="s">
        <v>45</v>
      </c>
      <c r="E101" t="s">
        <v>6</v>
      </c>
      <c r="F101" t="s">
        <v>131</v>
      </c>
      <c r="G101" t="s">
        <v>158</v>
      </c>
      <c r="H101">
        <f t="shared" si="9"/>
        <v>68</v>
      </c>
      <c r="I101">
        <v>32</v>
      </c>
      <c r="J101">
        <v>15</v>
      </c>
      <c r="K101">
        <v>21</v>
      </c>
      <c r="L101">
        <f t="shared" si="10"/>
        <v>111</v>
      </c>
      <c r="M101" s="2">
        <f>AVERAGE(13500594, 12920267)</f>
        <v>13210430.5</v>
      </c>
      <c r="N101">
        <v>2</v>
      </c>
      <c r="O101">
        <v>6</v>
      </c>
      <c r="P101">
        <v>5</v>
      </c>
      <c r="Q101">
        <f>IF(COUNTIF($A$2:A101, A101) &gt; 1, 1, 0)</f>
        <v>0</v>
      </c>
      <c r="R101" t="b">
        <v>1</v>
      </c>
      <c r="S101" t="s">
        <v>212</v>
      </c>
      <c r="T101">
        <f>IFERROR(INDEX('List of Leagues'!E:E, MATCH(S101, 'List of Leagues'!F:F, 0)), 0)</f>
        <v>0</v>
      </c>
      <c r="U101" t="s">
        <v>762</v>
      </c>
      <c r="V101">
        <f>IFERROR(INDEX('List of Leagues'!E:E, MATCH(U101, 'List of Leagues'!F:F, 0)), 0)</f>
        <v>0</v>
      </c>
      <c r="W101" t="s">
        <v>762</v>
      </c>
      <c r="X101">
        <f>IFERROR(INDEX('List of Leagues'!E:E, MATCH(W101, 'List of Leagues'!F:F, 0)), 0)</f>
        <v>0</v>
      </c>
      <c r="Y101" t="s">
        <v>762</v>
      </c>
      <c r="Z101">
        <f>IFERROR(INDEX('List of Leagues'!E:E, MATCH(Y101, 'List of Leagues'!F:F, 0)), 0)</f>
        <v>0</v>
      </c>
      <c r="AA101" t="s">
        <v>762</v>
      </c>
      <c r="AB101">
        <f>IFERROR(INDEX('List of Leagues'!E:E, MATCH(AA101, 'List of Leagues'!F:F, 0)), 0)</f>
        <v>0</v>
      </c>
      <c r="AC101" t="s">
        <v>762</v>
      </c>
      <c r="AD101">
        <f>IFERROR(INDEX('List of Leagues'!E:E, MATCH(AC101, 'List of Leagues'!F:F, 0)), 0)</f>
        <v>0</v>
      </c>
      <c r="AE101" t="s">
        <v>762</v>
      </c>
      <c r="AF101">
        <f>IFERROR(INDEX('List of Leagues'!E:E, MATCH(AE101, 'List of Leagues'!F:F, 0)), 0)</f>
        <v>0</v>
      </c>
      <c r="AG101" t="s">
        <v>762</v>
      </c>
      <c r="AH101">
        <f>IFERROR(INDEX('List of Leagues'!E:E, MATCH(AG101, 'List of Leagues'!F:F, 0)), 0)</f>
        <v>0</v>
      </c>
      <c r="AI101">
        <f t="shared" si="11"/>
        <v>0</v>
      </c>
      <c r="AJ101" t="s">
        <v>754</v>
      </c>
      <c r="AK101">
        <f>IFERROR(INDEX('List of Leagues'!$E:$E, MATCH(AJ101, 'List of Leagues'!$F:$F, 0)), 0)</f>
        <v>72.099999999999994</v>
      </c>
      <c r="AL101" t="s">
        <v>751</v>
      </c>
      <c r="AM101">
        <f>IFERROR(INDEX('List of Leagues'!$E:$E, MATCH(AL101, 'List of Leagues'!$F:$F, 0)), 0)</f>
        <v>68.400000000000006</v>
      </c>
      <c r="AN101" t="s">
        <v>762</v>
      </c>
      <c r="AO101">
        <f>IFERROR(INDEX('List of Leagues'!$E:$E, MATCH(AN101, 'List of Leagues'!$F:$F, 0)), 0)</f>
        <v>0</v>
      </c>
      <c r="AP101" t="s">
        <v>762</v>
      </c>
      <c r="AQ101">
        <f>IFERROR(INDEX('List of Leagues'!$E:$E, MATCH(AP101, 'List of Leagues'!$F:$F, 0)), 0)</f>
        <v>0</v>
      </c>
      <c r="AR101" t="s">
        <v>762</v>
      </c>
      <c r="AS101">
        <f>IFERROR(INDEX('List of Leagues'!$E:$E, MATCH(AR101, 'List of Leagues'!$F:$F, 0)), 0)</f>
        <v>0</v>
      </c>
      <c r="AT101" t="s">
        <v>762</v>
      </c>
      <c r="AU101">
        <f>IFERROR(INDEX('List of Leagues'!$E:$E, MATCH(AT101, 'List of Leagues'!$F:$F, 0)), 0)</f>
        <v>0</v>
      </c>
      <c r="AV101">
        <f t="shared" si="8"/>
        <v>23.416666666666668</v>
      </c>
    </row>
    <row r="102" spans="1:48" x14ac:dyDescent="0.35">
      <c r="A102" t="s">
        <v>78</v>
      </c>
      <c r="B102">
        <v>64</v>
      </c>
      <c r="C102">
        <v>2022</v>
      </c>
      <c r="D102" t="s">
        <v>21</v>
      </c>
      <c r="E102" t="s">
        <v>10</v>
      </c>
      <c r="F102" t="s">
        <v>10</v>
      </c>
      <c r="G102" t="s">
        <v>136</v>
      </c>
      <c r="H102">
        <f t="shared" ref="H102:H118" si="12">I102+J102+K102</f>
        <v>54</v>
      </c>
      <c r="I102">
        <v>12</v>
      </c>
      <c r="J102">
        <v>17</v>
      </c>
      <c r="K102">
        <f>7+18</f>
        <v>25</v>
      </c>
      <c r="L102">
        <f t="shared" ref="L102:L118" si="13">I102*3 + J102</f>
        <v>53</v>
      </c>
      <c r="M102" s="2">
        <v>37442394</v>
      </c>
      <c r="N102">
        <v>2</v>
      </c>
      <c r="O102">
        <v>20</v>
      </c>
      <c r="P102">
        <v>4</v>
      </c>
      <c r="Q102">
        <f>IF(COUNTIF($A$2:A102, A102) &gt; 1, 1, 0)</f>
        <v>1</v>
      </c>
      <c r="R102" t="b">
        <v>0</v>
      </c>
      <c r="S102" t="s">
        <v>179</v>
      </c>
      <c r="T102">
        <f>IFERROR(INDEX('List of Leagues'!E:E, MATCH(S102, 'List of Leagues'!F:F, 0)), 0)</f>
        <v>0</v>
      </c>
      <c r="U102" t="s">
        <v>762</v>
      </c>
      <c r="V102">
        <f>IFERROR(INDEX('List of Leagues'!E:E, MATCH(U102, 'List of Leagues'!F:F, 0)), 0)</f>
        <v>0</v>
      </c>
      <c r="W102" t="s">
        <v>773</v>
      </c>
      <c r="X102">
        <f>IFERROR(INDEX('List of Leagues'!E:E, MATCH(W102, 'List of Leagues'!F:F, 0)), 0)</f>
        <v>0</v>
      </c>
      <c r="Y102" t="s">
        <v>762</v>
      </c>
      <c r="Z102">
        <f>IFERROR(INDEX('List of Leagues'!E:E, MATCH(Y102, 'List of Leagues'!F:F, 0)), 0)</f>
        <v>0</v>
      </c>
      <c r="AA102" t="s">
        <v>762</v>
      </c>
      <c r="AB102">
        <f>IFERROR(INDEX('List of Leagues'!E:E, MATCH(AA102, 'List of Leagues'!F:F, 0)), 0)</f>
        <v>0</v>
      </c>
      <c r="AC102" t="s">
        <v>762</v>
      </c>
      <c r="AD102">
        <f>IFERROR(INDEX('List of Leagues'!E:E, MATCH(AC102, 'List of Leagues'!F:F, 0)), 0)</f>
        <v>0</v>
      </c>
      <c r="AE102" t="s">
        <v>762</v>
      </c>
      <c r="AF102">
        <f>IFERROR(INDEX('List of Leagues'!E:E, MATCH(AE102, 'List of Leagues'!F:F, 0)), 0)</f>
        <v>0</v>
      </c>
      <c r="AG102" t="s">
        <v>762</v>
      </c>
      <c r="AH102">
        <f>IFERROR(INDEX('List of Leagues'!E:E, MATCH(AG102, 'List of Leagues'!F:F, 0)), 0)</f>
        <v>0</v>
      </c>
      <c r="AI102">
        <f t="shared" si="11"/>
        <v>0</v>
      </c>
      <c r="AJ102" t="s">
        <v>184</v>
      </c>
      <c r="AK102">
        <f>IFERROR(INDEX('List of Leagues'!$E:$E, MATCH(AJ102, 'List of Leagues'!$F:$F, 0)), 0)</f>
        <v>93.8</v>
      </c>
      <c r="AL102" t="s">
        <v>197</v>
      </c>
      <c r="AM102">
        <f>IFERROR(INDEX('List of Leagues'!$E:$E, MATCH(AL102, 'List of Leagues'!$F:$F, 0)), 0)</f>
        <v>78.400000000000006</v>
      </c>
      <c r="AN102" t="s">
        <v>762</v>
      </c>
      <c r="AO102">
        <f>IFERROR(INDEX('List of Leagues'!$E:$E, MATCH(AN102, 'List of Leagues'!$F:$F, 0)), 0)</f>
        <v>0</v>
      </c>
      <c r="AP102" t="s">
        <v>762</v>
      </c>
      <c r="AQ102">
        <f>IFERROR(INDEX('List of Leagues'!$E:$E, MATCH(AP102, 'List of Leagues'!$F:$F, 0)), 0)</f>
        <v>0</v>
      </c>
      <c r="AR102" t="s">
        <v>762</v>
      </c>
      <c r="AS102">
        <f>IFERROR(INDEX('List of Leagues'!$E:$E, MATCH(AR102, 'List of Leagues'!$F:$F, 0)), 0)</f>
        <v>0</v>
      </c>
      <c r="AT102" t="s">
        <v>762</v>
      </c>
      <c r="AU102">
        <f>IFERROR(INDEX('List of Leagues'!$E:$E, MATCH(AT102, 'List of Leagues'!$F:$F, 0)), 0)</f>
        <v>0</v>
      </c>
      <c r="AV102">
        <f t="shared" si="8"/>
        <v>28.7</v>
      </c>
    </row>
    <row r="103" spans="1:48" x14ac:dyDescent="0.35">
      <c r="A103" t="s">
        <v>186</v>
      </c>
      <c r="B103">
        <v>51</v>
      </c>
      <c r="C103">
        <v>2022</v>
      </c>
      <c r="D103" t="s">
        <v>193</v>
      </c>
      <c r="E103" t="s">
        <v>10</v>
      </c>
      <c r="F103" t="s">
        <v>10</v>
      </c>
      <c r="G103" t="s">
        <v>166</v>
      </c>
      <c r="H103">
        <f t="shared" si="12"/>
        <v>55</v>
      </c>
      <c r="I103">
        <v>18</v>
      </c>
      <c r="J103">
        <v>16</v>
      </c>
      <c r="K103">
        <v>21</v>
      </c>
      <c r="L103">
        <f t="shared" si="13"/>
        <v>70</v>
      </c>
      <c r="M103" s="2">
        <f>AVERAGE(12774661, 15408616)</f>
        <v>14091638.5</v>
      </c>
      <c r="N103">
        <v>1</v>
      </c>
      <c r="O103">
        <v>0</v>
      </c>
      <c r="P103">
        <v>9</v>
      </c>
      <c r="Q103">
        <f>IF(COUNTIF($A$2:A103, A103) &gt; 1, 1, 0)</f>
        <v>0</v>
      </c>
      <c r="R103" t="b">
        <v>0</v>
      </c>
      <c r="S103" t="s">
        <v>179</v>
      </c>
      <c r="T103">
        <f>IFERROR(INDEX('List of Leagues'!E:E, MATCH(S103, 'List of Leagues'!F:F, 0)), 0)</f>
        <v>0</v>
      </c>
      <c r="U103" t="s">
        <v>762</v>
      </c>
      <c r="V103">
        <f>IFERROR(INDEX('List of Leagues'!E:E, MATCH(U103, 'List of Leagues'!F:F, 0)), 0)</f>
        <v>0</v>
      </c>
      <c r="W103" t="s">
        <v>178</v>
      </c>
      <c r="X103">
        <f>IFERROR(INDEX('List of Leagues'!E:E, MATCH(W103, 'List of Leagues'!F:F, 0)), 0)</f>
        <v>69.3</v>
      </c>
      <c r="Y103" t="s">
        <v>762</v>
      </c>
      <c r="Z103">
        <f>IFERROR(INDEX('List of Leagues'!E:E, MATCH(Y103, 'List of Leagues'!F:F, 0)), 0)</f>
        <v>0</v>
      </c>
      <c r="AA103" t="s">
        <v>762</v>
      </c>
      <c r="AB103">
        <f>IFERROR(INDEX('List of Leagues'!E:E, MATCH(AA103, 'List of Leagues'!F:F, 0)), 0)</f>
        <v>0</v>
      </c>
      <c r="AC103" t="s">
        <v>762</v>
      </c>
      <c r="AD103">
        <f>IFERROR(INDEX('List of Leagues'!E:E, MATCH(AC103, 'List of Leagues'!F:F, 0)), 0)</f>
        <v>0</v>
      </c>
      <c r="AE103" t="s">
        <v>762</v>
      </c>
      <c r="AF103">
        <f>IFERROR(INDEX('List of Leagues'!E:E, MATCH(AE103, 'List of Leagues'!F:F, 0)), 0)</f>
        <v>0</v>
      </c>
      <c r="AG103" t="s">
        <v>762</v>
      </c>
      <c r="AH103">
        <f>IFERROR(INDEX('List of Leagues'!E:E, MATCH(AG103, 'List of Leagues'!F:F, 0)), 0)</f>
        <v>0</v>
      </c>
      <c r="AI103">
        <f t="shared" si="11"/>
        <v>8.6624999999999996</v>
      </c>
      <c r="AJ103" t="s">
        <v>177</v>
      </c>
      <c r="AK103">
        <f>IFERROR(INDEX('List of Leagues'!$E:$E, MATCH(AJ103, 'List of Leagues'!$F:$F, 0)), 0)</f>
        <v>0</v>
      </c>
      <c r="AL103" t="s">
        <v>762</v>
      </c>
      <c r="AM103">
        <f>IFERROR(INDEX('List of Leagues'!$E:$E, MATCH(AL103, 'List of Leagues'!$F:$F, 0)), 0)</f>
        <v>0</v>
      </c>
      <c r="AN103" t="s">
        <v>762</v>
      </c>
      <c r="AO103">
        <f>IFERROR(INDEX('List of Leagues'!$E:$E, MATCH(AN103, 'List of Leagues'!$F:$F, 0)), 0)</f>
        <v>0</v>
      </c>
      <c r="AP103" t="s">
        <v>762</v>
      </c>
      <c r="AQ103">
        <f>IFERROR(INDEX('List of Leagues'!$E:$E, MATCH(AP103, 'List of Leagues'!$F:$F, 0)), 0)</f>
        <v>0</v>
      </c>
      <c r="AR103" t="s">
        <v>762</v>
      </c>
      <c r="AS103">
        <f>IFERROR(INDEX('List of Leagues'!$E:$E, MATCH(AR103, 'List of Leagues'!$F:$F, 0)), 0)</f>
        <v>0</v>
      </c>
      <c r="AT103" t="s">
        <v>762</v>
      </c>
      <c r="AU103">
        <f>IFERROR(INDEX('List of Leagues'!$E:$E, MATCH(AT103, 'List of Leagues'!$F:$F, 0)), 0)</f>
        <v>0</v>
      </c>
      <c r="AV103">
        <f t="shared" si="8"/>
        <v>0</v>
      </c>
    </row>
    <row r="104" spans="1:48" x14ac:dyDescent="0.35">
      <c r="A104" t="s">
        <v>104</v>
      </c>
      <c r="B104">
        <v>50</v>
      </c>
      <c r="C104">
        <v>2022</v>
      </c>
      <c r="D104" t="s">
        <v>5</v>
      </c>
      <c r="E104" t="s">
        <v>6</v>
      </c>
      <c r="F104" t="s">
        <v>131</v>
      </c>
      <c r="G104" t="s">
        <v>167</v>
      </c>
      <c r="H104">
        <f t="shared" si="12"/>
        <v>44</v>
      </c>
      <c r="I104">
        <v>12</v>
      </c>
      <c r="J104">
        <v>14</v>
      </c>
      <c r="K104">
        <v>18</v>
      </c>
      <c r="L104">
        <f t="shared" si="13"/>
        <v>50</v>
      </c>
      <c r="M104" s="2">
        <f>AVERAGE(19565159, 20415828)</f>
        <v>19990493.5</v>
      </c>
      <c r="N104">
        <v>1</v>
      </c>
      <c r="O104">
        <v>2</v>
      </c>
      <c r="P104">
        <v>10</v>
      </c>
      <c r="Q104">
        <f>IF(COUNTIF($A$2:A104, A104) &gt; 1, 1, 0)</f>
        <v>0</v>
      </c>
      <c r="R104" t="b">
        <v>1</v>
      </c>
      <c r="S104" t="s">
        <v>187</v>
      </c>
      <c r="T104">
        <f>IFERROR(INDEX('List of Leagues'!E:E, MATCH(S104, 'List of Leagues'!F:F, 0)), 0)</f>
        <v>58.4</v>
      </c>
      <c r="U104" t="s">
        <v>178</v>
      </c>
      <c r="V104">
        <f>IFERROR(INDEX('List of Leagues'!E:E, MATCH(U104, 'List of Leagues'!F:F, 0)), 0)</f>
        <v>69.3</v>
      </c>
      <c r="W104" t="s">
        <v>533</v>
      </c>
      <c r="X104">
        <f>IFERROR(INDEX('List of Leagues'!E:E, MATCH(W104, 'List of Leagues'!F:F, 0)), 0)</f>
        <v>80.8</v>
      </c>
      <c r="Y104" t="s">
        <v>756</v>
      </c>
      <c r="Z104">
        <f>IFERROR(INDEX('List of Leagues'!E:E, MATCH(Y104, 'List of Leagues'!F:F, 0)), 0)</f>
        <v>76.8</v>
      </c>
      <c r="AA104" t="s">
        <v>762</v>
      </c>
      <c r="AB104">
        <f>IFERROR(INDEX('List of Leagues'!E:E, MATCH(AA104, 'List of Leagues'!F:F, 0)), 0)</f>
        <v>0</v>
      </c>
      <c r="AC104" t="s">
        <v>762</v>
      </c>
      <c r="AD104">
        <f>IFERROR(INDEX('List of Leagues'!E:E, MATCH(AC104, 'List of Leagues'!F:F, 0)), 0)</f>
        <v>0</v>
      </c>
      <c r="AE104" t="s">
        <v>762</v>
      </c>
      <c r="AF104">
        <f>IFERROR(INDEX('List of Leagues'!E:E, MATCH(AE104, 'List of Leagues'!F:F, 0)), 0)</f>
        <v>0</v>
      </c>
      <c r="AG104" t="s">
        <v>762</v>
      </c>
      <c r="AH104">
        <f>IFERROR(INDEX('List of Leagues'!E:E, MATCH(AG104, 'List of Leagues'!F:F, 0)), 0)</f>
        <v>0</v>
      </c>
      <c r="AI104">
        <f t="shared" si="11"/>
        <v>35.662500000000001</v>
      </c>
      <c r="AJ104" t="s">
        <v>171</v>
      </c>
      <c r="AK104">
        <f>IFERROR(INDEX('List of Leagues'!$E:$E, MATCH(AJ104, 'List of Leagues'!$F:$F, 0)), 0)</f>
        <v>0</v>
      </c>
      <c r="AL104" t="s">
        <v>762</v>
      </c>
      <c r="AM104">
        <f>IFERROR(INDEX('List of Leagues'!$E:$E, MATCH(AL104, 'List of Leagues'!$F:$F, 0)), 0)</f>
        <v>0</v>
      </c>
      <c r="AN104" t="s">
        <v>762</v>
      </c>
      <c r="AO104">
        <f>IFERROR(INDEX('List of Leagues'!$E:$E, MATCH(AN104, 'List of Leagues'!$F:$F, 0)), 0)</f>
        <v>0</v>
      </c>
      <c r="AP104" t="s">
        <v>762</v>
      </c>
      <c r="AQ104">
        <f>IFERROR(INDEX('List of Leagues'!$E:$E, MATCH(AP104, 'List of Leagues'!$F:$F, 0)), 0)</f>
        <v>0</v>
      </c>
      <c r="AR104" t="s">
        <v>762</v>
      </c>
      <c r="AS104">
        <f>IFERROR(INDEX('List of Leagues'!$E:$E, MATCH(AR104, 'List of Leagues'!$F:$F, 0)), 0)</f>
        <v>0</v>
      </c>
      <c r="AT104" t="s">
        <v>762</v>
      </c>
      <c r="AU104">
        <f>IFERROR(INDEX('List of Leagues'!$E:$E, MATCH(AT104, 'List of Leagues'!$F:$F, 0)), 0)</f>
        <v>0</v>
      </c>
      <c r="AV104">
        <f t="shared" si="8"/>
        <v>0</v>
      </c>
    </row>
    <row r="105" spans="1:48" x14ac:dyDescent="0.35">
      <c r="A105" t="s">
        <v>103</v>
      </c>
      <c r="B105">
        <v>38</v>
      </c>
      <c r="C105">
        <v>2022</v>
      </c>
      <c r="D105" t="s">
        <v>193</v>
      </c>
      <c r="E105" t="s">
        <v>10</v>
      </c>
      <c r="F105" t="s">
        <v>10</v>
      </c>
      <c r="G105" t="s">
        <v>159</v>
      </c>
      <c r="H105">
        <f t="shared" si="12"/>
        <v>14</v>
      </c>
      <c r="I105">
        <v>5</v>
      </c>
      <c r="J105">
        <v>1</v>
      </c>
      <c r="K105">
        <v>8</v>
      </c>
      <c r="L105">
        <f t="shared" si="13"/>
        <v>16</v>
      </c>
      <c r="M105" s="1">
        <v>12774661</v>
      </c>
      <c r="N105">
        <v>1</v>
      </c>
      <c r="O105">
        <v>17</v>
      </c>
      <c r="P105">
        <v>0</v>
      </c>
      <c r="Q105">
        <f>IF(COUNTIF($A$2:A105, A105) &gt; 1, 1, 0)</f>
        <v>0</v>
      </c>
      <c r="R105" t="b">
        <v>0</v>
      </c>
      <c r="S105" t="s">
        <v>179</v>
      </c>
      <c r="T105">
        <f>IFERROR(INDEX('List of Leagues'!E:E, MATCH(S105, 'List of Leagues'!F:F, 0)), 0)</f>
        <v>0</v>
      </c>
      <c r="U105" t="s">
        <v>762</v>
      </c>
      <c r="V105">
        <f>IFERROR(INDEX('List of Leagues'!E:E, MATCH(U105, 'List of Leagues'!F:F, 0)), 0)</f>
        <v>0</v>
      </c>
      <c r="W105" t="s">
        <v>762</v>
      </c>
      <c r="X105">
        <f>IFERROR(INDEX('List of Leagues'!E:E, MATCH(W105, 'List of Leagues'!F:F, 0)), 0)</f>
        <v>0</v>
      </c>
      <c r="Y105" t="s">
        <v>762</v>
      </c>
      <c r="Z105">
        <f>IFERROR(INDEX('List of Leagues'!E:E, MATCH(Y105, 'List of Leagues'!F:F, 0)), 0)</f>
        <v>0</v>
      </c>
      <c r="AA105" t="s">
        <v>762</v>
      </c>
      <c r="AB105">
        <f>IFERROR(INDEX('List of Leagues'!E:E, MATCH(AA105, 'List of Leagues'!F:F, 0)), 0)</f>
        <v>0</v>
      </c>
      <c r="AC105" t="s">
        <v>762</v>
      </c>
      <c r="AD105">
        <f>IFERROR(INDEX('List of Leagues'!E:E, MATCH(AC105, 'List of Leagues'!F:F, 0)), 0)</f>
        <v>0</v>
      </c>
      <c r="AE105" t="s">
        <v>762</v>
      </c>
      <c r="AF105">
        <f>IFERROR(INDEX('List of Leagues'!E:E, MATCH(AE105, 'List of Leagues'!F:F, 0)), 0)</f>
        <v>0</v>
      </c>
      <c r="AG105" t="s">
        <v>762</v>
      </c>
      <c r="AH105">
        <f>IFERROR(INDEX('List of Leagues'!E:E, MATCH(AG105, 'List of Leagues'!F:F, 0)), 0)</f>
        <v>0</v>
      </c>
      <c r="AI105">
        <f t="shared" si="11"/>
        <v>0</v>
      </c>
      <c r="AJ105" t="s">
        <v>171</v>
      </c>
      <c r="AK105">
        <f>IFERROR(INDEX('List of Leagues'!$E:$E, MATCH(AJ105, 'List of Leagues'!$F:$F, 0)), 0)</f>
        <v>0</v>
      </c>
      <c r="AL105" t="s">
        <v>178</v>
      </c>
      <c r="AM105">
        <f>IFERROR(INDEX('List of Leagues'!$E:$E, MATCH(AL105, 'List of Leagues'!$F:$F, 0)), 0)</f>
        <v>69.3</v>
      </c>
      <c r="AN105" t="s">
        <v>205</v>
      </c>
      <c r="AO105">
        <f>IFERROR(INDEX('List of Leagues'!$E:$E, MATCH(AN105, 'List of Leagues'!$F:$F, 0)), 0)</f>
        <v>55.1</v>
      </c>
      <c r="AP105" t="s">
        <v>762</v>
      </c>
      <c r="AQ105">
        <f>IFERROR(INDEX('List of Leagues'!$E:$E, MATCH(AP105, 'List of Leagues'!$F:$F, 0)), 0)</f>
        <v>0</v>
      </c>
      <c r="AR105" t="s">
        <v>762</v>
      </c>
      <c r="AS105">
        <f>IFERROR(INDEX('List of Leagues'!$E:$E, MATCH(AR105, 'List of Leagues'!$F:$F, 0)), 0)</f>
        <v>0</v>
      </c>
      <c r="AT105" t="s">
        <v>762</v>
      </c>
      <c r="AU105">
        <f>IFERROR(INDEX('List of Leagues'!$E:$E, MATCH(AT105, 'List of Leagues'!$F:$F, 0)), 0)</f>
        <v>0</v>
      </c>
      <c r="AV105">
        <f t="shared" si="8"/>
        <v>20.733333333333334</v>
      </c>
    </row>
    <row r="106" spans="1:48" x14ac:dyDescent="0.35">
      <c r="A106" t="s">
        <v>121</v>
      </c>
      <c r="B106">
        <v>38</v>
      </c>
      <c r="C106">
        <v>2022</v>
      </c>
      <c r="D106" t="s">
        <v>195</v>
      </c>
      <c r="E106" t="s">
        <v>10</v>
      </c>
      <c r="F106" t="s">
        <v>10</v>
      </c>
      <c r="G106" t="s">
        <v>147</v>
      </c>
      <c r="H106">
        <f t="shared" si="12"/>
        <v>55</v>
      </c>
      <c r="I106">
        <v>17</v>
      </c>
      <c r="J106">
        <v>19</v>
      </c>
      <c r="K106">
        <v>19</v>
      </c>
      <c r="L106">
        <f t="shared" si="13"/>
        <v>70</v>
      </c>
      <c r="M106" s="2">
        <v>17604133</v>
      </c>
      <c r="N106">
        <v>1</v>
      </c>
      <c r="O106">
        <v>7</v>
      </c>
      <c r="P106">
        <v>2</v>
      </c>
      <c r="Q106">
        <f>IF(COUNTIF($A$2:A106, A106) &gt; 1, 1, 0)</f>
        <v>0</v>
      </c>
      <c r="R106" t="b">
        <v>0</v>
      </c>
      <c r="S106" t="s">
        <v>179</v>
      </c>
      <c r="T106">
        <f>IFERROR(INDEX('List of Leagues'!E:E, MATCH(S106, 'List of Leagues'!F:F, 0)), 0)</f>
        <v>0</v>
      </c>
      <c r="U106" t="s">
        <v>762</v>
      </c>
      <c r="V106">
        <f>IFERROR(INDEX('List of Leagues'!E:E, MATCH(U106, 'List of Leagues'!F:F, 0)), 0)</f>
        <v>0</v>
      </c>
      <c r="W106" t="s">
        <v>762</v>
      </c>
      <c r="X106">
        <f>IFERROR(INDEX('List of Leagues'!E:E, MATCH(W106, 'List of Leagues'!F:F, 0)), 0)</f>
        <v>0</v>
      </c>
      <c r="Y106" t="s">
        <v>762</v>
      </c>
      <c r="Z106">
        <f>IFERROR(INDEX('List of Leagues'!E:E, MATCH(Y106, 'List of Leagues'!F:F, 0)), 0)</f>
        <v>0</v>
      </c>
      <c r="AA106" t="s">
        <v>762</v>
      </c>
      <c r="AB106">
        <f>IFERROR(INDEX('List of Leagues'!E:E, MATCH(AA106, 'List of Leagues'!F:F, 0)), 0)</f>
        <v>0</v>
      </c>
      <c r="AC106" t="s">
        <v>762</v>
      </c>
      <c r="AD106">
        <f>IFERROR(INDEX('List of Leagues'!E:E, MATCH(AC106, 'List of Leagues'!F:F, 0)), 0)</f>
        <v>0</v>
      </c>
      <c r="AE106" t="s">
        <v>762</v>
      </c>
      <c r="AF106">
        <f>IFERROR(INDEX('List of Leagues'!E:E, MATCH(AE106, 'List of Leagues'!F:F, 0)), 0)</f>
        <v>0</v>
      </c>
      <c r="AG106" t="s">
        <v>762</v>
      </c>
      <c r="AH106">
        <f>IFERROR(INDEX('List of Leagues'!E:E, MATCH(AG106, 'List of Leagues'!F:F, 0)), 0)</f>
        <v>0</v>
      </c>
      <c r="AI106">
        <f t="shared" si="11"/>
        <v>0</v>
      </c>
      <c r="AJ106" t="s">
        <v>171</v>
      </c>
      <c r="AK106">
        <f>IFERROR(INDEX('List of Leagues'!$E:$E, MATCH(AJ106, 'List of Leagues'!$F:$F, 0)), 0)</f>
        <v>0</v>
      </c>
      <c r="AL106" t="s">
        <v>178</v>
      </c>
      <c r="AM106">
        <f>IFERROR(INDEX('List of Leagues'!$E:$E, MATCH(AL106, 'List of Leagues'!$F:$F, 0)), 0)</f>
        <v>69.3</v>
      </c>
      <c r="AN106" t="s">
        <v>205</v>
      </c>
      <c r="AO106">
        <f>IFERROR(INDEX('List of Leagues'!$E:$E, MATCH(AN106, 'List of Leagues'!$F:$F, 0)), 0)</f>
        <v>55.1</v>
      </c>
      <c r="AP106" t="s">
        <v>762</v>
      </c>
      <c r="AQ106">
        <f>IFERROR(INDEX('List of Leagues'!$E:$E, MATCH(AP106, 'List of Leagues'!$F:$F, 0)), 0)</f>
        <v>0</v>
      </c>
      <c r="AR106" t="s">
        <v>762</v>
      </c>
      <c r="AS106">
        <f>IFERROR(INDEX('List of Leagues'!$E:$E, MATCH(AR106, 'List of Leagues'!$F:$F, 0)), 0)</f>
        <v>0</v>
      </c>
      <c r="AT106" t="s">
        <v>762</v>
      </c>
      <c r="AU106">
        <f>IFERROR(INDEX('List of Leagues'!$E:$E, MATCH(AT106, 'List of Leagues'!$F:$F, 0)), 0)</f>
        <v>0</v>
      </c>
      <c r="AV106">
        <f t="shared" si="8"/>
        <v>20.733333333333334</v>
      </c>
    </row>
    <row r="107" spans="1:48" x14ac:dyDescent="0.35">
      <c r="A107" t="s">
        <v>123</v>
      </c>
      <c r="B107">
        <v>42</v>
      </c>
      <c r="C107">
        <v>2022</v>
      </c>
      <c r="D107" t="s">
        <v>11</v>
      </c>
      <c r="E107" t="s">
        <v>10</v>
      </c>
      <c r="F107" t="s">
        <v>10</v>
      </c>
      <c r="G107" t="s">
        <v>159</v>
      </c>
      <c r="H107">
        <f t="shared" si="12"/>
        <v>68</v>
      </c>
      <c r="I107">
        <f>14+11</f>
        <v>25</v>
      </c>
      <c r="J107">
        <f>11+13</f>
        <v>24</v>
      </c>
      <c r="K107">
        <f>9+10</f>
        <v>19</v>
      </c>
      <c r="L107">
        <f t="shared" si="13"/>
        <v>99</v>
      </c>
      <c r="M107" s="2">
        <v>15581889.5</v>
      </c>
      <c r="N107">
        <v>2</v>
      </c>
      <c r="O107">
        <v>2</v>
      </c>
      <c r="P107">
        <v>4</v>
      </c>
      <c r="Q107">
        <f>IF(COUNTIF($A$2:A107, A107) &gt; 1, 1, 0)</f>
        <v>0</v>
      </c>
      <c r="R107" t="b">
        <v>0</v>
      </c>
      <c r="S107" t="s">
        <v>179</v>
      </c>
      <c r="T107">
        <f>IFERROR(INDEX('List of Leagues'!E:E, MATCH(S107, 'List of Leagues'!F:F, 0)), 0)</f>
        <v>0</v>
      </c>
      <c r="U107" t="s">
        <v>762</v>
      </c>
      <c r="V107">
        <f>IFERROR(INDEX('List of Leagues'!E:E, MATCH(U107, 'List of Leagues'!F:F, 0)), 0)</f>
        <v>0</v>
      </c>
      <c r="W107" t="s">
        <v>756</v>
      </c>
      <c r="X107">
        <f>IFERROR(INDEX('List of Leagues'!E:E, MATCH(W107, 'List of Leagues'!F:F, 0)), 0)</f>
        <v>76.8</v>
      </c>
      <c r="Y107" t="s">
        <v>762</v>
      </c>
      <c r="Z107">
        <f>IFERROR(INDEX('List of Leagues'!E:E, MATCH(Y107, 'List of Leagues'!F:F, 0)), 0)</f>
        <v>0</v>
      </c>
      <c r="AA107" t="s">
        <v>762</v>
      </c>
      <c r="AB107">
        <f>IFERROR(INDEX('List of Leagues'!E:E, MATCH(AA107, 'List of Leagues'!F:F, 0)), 0)</f>
        <v>0</v>
      </c>
      <c r="AC107" t="s">
        <v>762</v>
      </c>
      <c r="AD107">
        <f>IFERROR(INDEX('List of Leagues'!E:E, MATCH(AC107, 'List of Leagues'!F:F, 0)), 0)</f>
        <v>0</v>
      </c>
      <c r="AE107" t="s">
        <v>762</v>
      </c>
      <c r="AF107">
        <f>IFERROR(INDEX('List of Leagues'!E:E, MATCH(AE107, 'List of Leagues'!F:F, 0)), 0)</f>
        <v>0</v>
      </c>
      <c r="AG107" t="s">
        <v>762</v>
      </c>
      <c r="AH107">
        <f>IFERROR(INDEX('List of Leagues'!E:E, MATCH(AG107, 'List of Leagues'!F:F, 0)), 0)</f>
        <v>0</v>
      </c>
      <c r="AI107">
        <f t="shared" si="11"/>
        <v>9.6</v>
      </c>
      <c r="AJ107" t="s">
        <v>216</v>
      </c>
      <c r="AK107">
        <f>IFERROR(INDEX('List of Leagues'!$E:$E, MATCH(AJ107, 'List of Leagues'!$F:$F, 0)), 0)</f>
        <v>0</v>
      </c>
      <c r="AL107" t="s">
        <v>187</v>
      </c>
      <c r="AM107">
        <f>IFERROR(INDEX('List of Leagues'!$E:$E, MATCH(AL107, 'List of Leagues'!$F:$F, 0)), 0)</f>
        <v>58.4</v>
      </c>
      <c r="AN107" t="s">
        <v>762</v>
      </c>
      <c r="AO107">
        <f>IFERROR(INDEX('List of Leagues'!$E:$E, MATCH(AN107, 'List of Leagues'!$F:$F, 0)), 0)</f>
        <v>0</v>
      </c>
      <c r="AP107" t="s">
        <v>762</v>
      </c>
      <c r="AQ107">
        <f>IFERROR(INDEX('List of Leagues'!$E:$E, MATCH(AP107, 'List of Leagues'!$F:$F, 0)), 0)</f>
        <v>0</v>
      </c>
      <c r="AR107" t="s">
        <v>762</v>
      </c>
      <c r="AS107">
        <f>IFERROR(INDEX('List of Leagues'!$E:$E, MATCH(AR107, 'List of Leagues'!$F:$F, 0)), 0)</f>
        <v>0</v>
      </c>
      <c r="AT107" t="s">
        <v>762</v>
      </c>
      <c r="AU107">
        <f>IFERROR(INDEX('List of Leagues'!$E:$E, MATCH(AT107, 'List of Leagues'!$F:$F, 0)), 0)</f>
        <v>0</v>
      </c>
      <c r="AV107">
        <f t="shared" si="8"/>
        <v>9.7333333333333325</v>
      </c>
    </row>
    <row r="108" spans="1:48" x14ac:dyDescent="0.35">
      <c r="A108" t="s">
        <v>127</v>
      </c>
      <c r="B108">
        <v>42</v>
      </c>
      <c r="C108">
        <v>2022</v>
      </c>
      <c r="D108" t="s">
        <v>196</v>
      </c>
      <c r="E108" t="s">
        <v>10</v>
      </c>
      <c r="F108" t="s">
        <v>10</v>
      </c>
      <c r="G108" t="s">
        <v>136</v>
      </c>
      <c r="H108">
        <f t="shared" si="12"/>
        <v>68</v>
      </c>
      <c r="I108">
        <f>12+20</f>
        <v>32</v>
      </c>
      <c r="J108">
        <f>13+9</f>
        <v>22</v>
      </c>
      <c r="K108">
        <f>5+9</f>
        <v>14</v>
      </c>
      <c r="L108">
        <f t="shared" si="13"/>
        <v>118</v>
      </c>
      <c r="M108" s="1">
        <f>AVERAGE(16529837, 16567328)</f>
        <v>16548582.5</v>
      </c>
      <c r="N108">
        <v>2</v>
      </c>
      <c r="O108">
        <v>0</v>
      </c>
      <c r="P108">
        <v>7</v>
      </c>
      <c r="Q108">
        <f>IF(COUNTIF($A$2:A108, A108) &gt; 1, 1, 0)</f>
        <v>0</v>
      </c>
      <c r="R108" t="b">
        <v>1</v>
      </c>
      <c r="S108" t="s">
        <v>187</v>
      </c>
      <c r="T108">
        <f>IFERROR(INDEX('List of Leagues'!E:E, MATCH(S108, 'List of Leagues'!F:F, 0)), 0)</f>
        <v>58.4</v>
      </c>
      <c r="U108" t="s">
        <v>178</v>
      </c>
      <c r="V108">
        <f>IFERROR(INDEX('List of Leagues'!E:E, MATCH(U108, 'List of Leagues'!F:F, 0)), 0)</f>
        <v>69.3</v>
      </c>
      <c r="W108" t="s">
        <v>756</v>
      </c>
      <c r="X108">
        <f>IFERROR(INDEX('List of Leagues'!E:E, MATCH(W108, 'List of Leagues'!F:F, 0)), 0)</f>
        <v>76.8</v>
      </c>
      <c r="Y108" t="s">
        <v>756</v>
      </c>
      <c r="Z108">
        <f>IFERROR(INDEX('List of Leagues'!E:E, MATCH(Y108, 'List of Leagues'!F:F, 0)), 0)</f>
        <v>76.8</v>
      </c>
      <c r="AA108" t="s">
        <v>762</v>
      </c>
      <c r="AB108">
        <f>IFERROR(INDEX('List of Leagues'!E:E, MATCH(AA108, 'List of Leagues'!F:F, 0)), 0)</f>
        <v>0</v>
      </c>
      <c r="AC108" t="s">
        <v>762</v>
      </c>
      <c r="AD108">
        <f>IFERROR(INDEX('List of Leagues'!E:E, MATCH(AC108, 'List of Leagues'!F:F, 0)), 0)</f>
        <v>0</v>
      </c>
      <c r="AE108" t="s">
        <v>762</v>
      </c>
      <c r="AF108">
        <f>IFERROR(INDEX('List of Leagues'!E:E, MATCH(AE108, 'List of Leagues'!F:F, 0)), 0)</f>
        <v>0</v>
      </c>
      <c r="AG108" t="s">
        <v>762</v>
      </c>
      <c r="AH108">
        <f>IFERROR(INDEX('List of Leagues'!E:E, MATCH(AG108, 'List of Leagues'!F:F, 0)), 0)</f>
        <v>0</v>
      </c>
      <c r="AI108">
        <f t="shared" si="11"/>
        <v>35.162500000000001</v>
      </c>
      <c r="AJ108" t="s">
        <v>205</v>
      </c>
      <c r="AK108">
        <f>IFERROR(INDEX('List of Leagues'!$E:$E, MATCH(AJ108, 'List of Leagues'!$F:$F, 0)), 0)</f>
        <v>55.1</v>
      </c>
      <c r="AL108" t="s">
        <v>762</v>
      </c>
      <c r="AM108">
        <f>IFERROR(INDEX('List of Leagues'!$E:$E, MATCH(AL108, 'List of Leagues'!$F:$F, 0)), 0)</f>
        <v>0</v>
      </c>
      <c r="AN108" t="s">
        <v>762</v>
      </c>
      <c r="AO108">
        <f>IFERROR(INDEX('List of Leagues'!$E:$E, MATCH(AN108, 'List of Leagues'!$F:$F, 0)), 0)</f>
        <v>0</v>
      </c>
      <c r="AP108" t="s">
        <v>762</v>
      </c>
      <c r="AQ108">
        <f>IFERROR(INDEX('List of Leagues'!$E:$E, MATCH(AP108, 'List of Leagues'!$F:$F, 0)), 0)</f>
        <v>0</v>
      </c>
      <c r="AR108" t="s">
        <v>762</v>
      </c>
      <c r="AS108">
        <f>IFERROR(INDEX('List of Leagues'!$E:$E, MATCH(AR108, 'List of Leagues'!$F:$F, 0)), 0)</f>
        <v>0</v>
      </c>
      <c r="AT108" t="s">
        <v>762</v>
      </c>
      <c r="AU108">
        <f>IFERROR(INDEX('List of Leagues'!$E:$E, MATCH(AT108, 'List of Leagues'!$F:$F, 0)), 0)</f>
        <v>0</v>
      </c>
      <c r="AV108">
        <f t="shared" si="8"/>
        <v>9.1833333333333336</v>
      </c>
    </row>
    <row r="109" spans="1:48" x14ac:dyDescent="0.35">
      <c r="A109" t="s">
        <v>106</v>
      </c>
      <c r="B109">
        <v>39</v>
      </c>
      <c r="C109">
        <v>2022</v>
      </c>
      <c r="D109" t="s">
        <v>64</v>
      </c>
      <c r="E109" t="s">
        <v>6</v>
      </c>
      <c r="F109" t="s">
        <v>132</v>
      </c>
      <c r="G109" t="s">
        <v>141</v>
      </c>
      <c r="H109">
        <f t="shared" si="12"/>
        <v>29</v>
      </c>
      <c r="I109">
        <v>8</v>
      </c>
      <c r="J109">
        <v>5</v>
      </c>
      <c r="K109">
        <v>16</v>
      </c>
      <c r="L109">
        <f t="shared" si="13"/>
        <v>29</v>
      </c>
      <c r="M109" s="2">
        <v>17032866</v>
      </c>
      <c r="N109">
        <v>1</v>
      </c>
      <c r="O109">
        <v>4</v>
      </c>
      <c r="P109">
        <v>1</v>
      </c>
      <c r="Q109">
        <f>IF(COUNTIF($A$2:A109, A109) &gt; 1, 1, 0)</f>
        <v>0</v>
      </c>
      <c r="R109" t="b">
        <v>1</v>
      </c>
      <c r="S109" t="s">
        <v>178</v>
      </c>
      <c r="T109">
        <f>IFERROR(INDEX('List of Leagues'!E:E, MATCH(S109, 'List of Leagues'!F:F, 0)), 0)</f>
        <v>69.3</v>
      </c>
      <c r="U109" t="s">
        <v>201</v>
      </c>
      <c r="V109">
        <f>IFERROR(INDEX('List of Leagues'!E:E, MATCH(U109, 'List of Leagues'!F:F, 0)), 0)</f>
        <v>80</v>
      </c>
      <c r="W109" t="s">
        <v>671</v>
      </c>
      <c r="X109">
        <f>IFERROR(INDEX('List of Leagues'!E:E, MATCH(W109, 'List of Leagues'!F:F, 0)), 0)</f>
        <v>61.4</v>
      </c>
      <c r="Y109" t="s">
        <v>762</v>
      </c>
      <c r="Z109">
        <f>IFERROR(INDEX('List of Leagues'!E:E, MATCH(Y109, 'List of Leagues'!F:F, 0)), 0)</f>
        <v>0</v>
      </c>
      <c r="AA109" t="s">
        <v>762</v>
      </c>
      <c r="AB109">
        <f>IFERROR(INDEX('List of Leagues'!E:E, MATCH(AA109, 'List of Leagues'!F:F, 0)), 0)</f>
        <v>0</v>
      </c>
      <c r="AC109" t="s">
        <v>762</v>
      </c>
      <c r="AD109">
        <f>IFERROR(INDEX('List of Leagues'!E:E, MATCH(AC109, 'List of Leagues'!F:F, 0)), 0)</f>
        <v>0</v>
      </c>
      <c r="AE109" t="s">
        <v>762</v>
      </c>
      <c r="AF109">
        <f>IFERROR(INDEX('List of Leagues'!E:E, MATCH(AE109, 'List of Leagues'!F:F, 0)), 0)</f>
        <v>0</v>
      </c>
      <c r="AG109" t="s">
        <v>762</v>
      </c>
      <c r="AH109">
        <f>IFERROR(INDEX('List of Leagues'!E:E, MATCH(AG109, 'List of Leagues'!F:F, 0)), 0)</f>
        <v>0</v>
      </c>
      <c r="AI109">
        <f t="shared" si="11"/>
        <v>26.337500000000002</v>
      </c>
      <c r="AJ109" t="s">
        <v>754</v>
      </c>
      <c r="AK109">
        <f>IFERROR(INDEX('List of Leagues'!$E:$E, MATCH(AJ109, 'List of Leagues'!$F:$F, 0)), 0)</f>
        <v>72.099999999999994</v>
      </c>
      <c r="AL109" t="s">
        <v>769</v>
      </c>
      <c r="AM109">
        <f>IFERROR(INDEX('List of Leagues'!$E:$E, MATCH(AL109, 'List of Leagues'!$F:$F, 0)), 0)</f>
        <v>74.2</v>
      </c>
      <c r="AN109" t="s">
        <v>755</v>
      </c>
      <c r="AO109">
        <f>IFERROR(INDEX('List of Leagues'!$E:$E, MATCH(AN109, 'List of Leagues'!$F:$F, 0)), 0)</f>
        <v>64.8</v>
      </c>
      <c r="AP109" t="s">
        <v>756</v>
      </c>
      <c r="AQ109">
        <f>IFERROR(INDEX('List of Leagues'!$E:$E, MATCH(AP109, 'List of Leagues'!$F:$F, 0)), 0)</f>
        <v>76.8</v>
      </c>
      <c r="AR109" t="s">
        <v>762</v>
      </c>
      <c r="AS109">
        <f>IFERROR(INDEX('List of Leagues'!$E:$E, MATCH(AR109, 'List of Leagues'!$F:$F, 0)), 0)</f>
        <v>0</v>
      </c>
      <c r="AT109" t="s">
        <v>762</v>
      </c>
      <c r="AU109">
        <f>IFERROR(INDEX('List of Leagues'!$E:$E, MATCH(AT109, 'List of Leagues'!$F:$F, 0)), 0)</f>
        <v>0</v>
      </c>
      <c r="AV109">
        <f t="shared" si="8"/>
        <v>47.983333333333341</v>
      </c>
    </row>
    <row r="110" spans="1:48" x14ac:dyDescent="0.35">
      <c r="A110" t="s">
        <v>122</v>
      </c>
      <c r="B110">
        <v>43</v>
      </c>
      <c r="C110">
        <v>2022</v>
      </c>
      <c r="D110" t="s">
        <v>79</v>
      </c>
      <c r="E110" t="s">
        <v>10</v>
      </c>
      <c r="F110" t="s">
        <v>10</v>
      </c>
      <c r="G110" t="s">
        <v>136</v>
      </c>
      <c r="H110">
        <f t="shared" si="12"/>
        <v>68</v>
      </c>
      <c r="I110">
        <f>21+14</f>
        <v>35</v>
      </c>
      <c r="J110">
        <f>10+4</f>
        <v>14</v>
      </c>
      <c r="K110">
        <f>10+9</f>
        <v>19</v>
      </c>
      <c r="L110">
        <f t="shared" si="13"/>
        <v>119</v>
      </c>
      <c r="M110" s="2">
        <v>21451218.5</v>
      </c>
      <c r="N110">
        <v>2</v>
      </c>
      <c r="O110">
        <v>4</v>
      </c>
      <c r="P110">
        <v>4</v>
      </c>
      <c r="Q110">
        <f>IF(COUNTIF($A$2:A110, A110) &gt; 1, 1, 0)</f>
        <v>0</v>
      </c>
      <c r="R110" t="b">
        <v>1</v>
      </c>
      <c r="S110" t="s">
        <v>542</v>
      </c>
      <c r="T110">
        <f>IFERROR(INDEX('List of Leagues'!E:E, MATCH(S110, 'List of Leagues'!F:F, 0)), 0)</f>
        <v>90.3</v>
      </c>
      <c r="U110" t="s">
        <v>756</v>
      </c>
      <c r="V110">
        <f>IFERROR(INDEX('List of Leagues'!E:E, MATCH(U110, 'List of Leagues'!F:F, 0)), 0)</f>
        <v>76.8</v>
      </c>
      <c r="W110" t="s">
        <v>176</v>
      </c>
      <c r="X110">
        <f>IFERROR(INDEX('List of Leagues'!E:E, MATCH(W110, 'List of Leagues'!F:F, 0)), 0)</f>
        <v>0</v>
      </c>
      <c r="Y110" t="s">
        <v>762</v>
      </c>
      <c r="Z110">
        <f>IFERROR(INDEX('List of Leagues'!E:E, MATCH(Y110, 'List of Leagues'!F:F, 0)), 0)</f>
        <v>0</v>
      </c>
      <c r="AA110" t="s">
        <v>762</v>
      </c>
      <c r="AB110">
        <f>IFERROR(INDEX('List of Leagues'!E:E, MATCH(AA110, 'List of Leagues'!F:F, 0)), 0)</f>
        <v>0</v>
      </c>
      <c r="AC110" t="s">
        <v>762</v>
      </c>
      <c r="AD110">
        <f>IFERROR(INDEX('List of Leagues'!E:E, MATCH(AC110, 'List of Leagues'!F:F, 0)), 0)</f>
        <v>0</v>
      </c>
      <c r="AE110" t="s">
        <v>762</v>
      </c>
      <c r="AF110">
        <f>IFERROR(INDEX('List of Leagues'!E:E, MATCH(AE110, 'List of Leagues'!F:F, 0)), 0)</f>
        <v>0</v>
      </c>
      <c r="AG110" t="s">
        <v>762</v>
      </c>
      <c r="AH110">
        <f>IFERROR(INDEX('List of Leagues'!E:E, MATCH(AG110, 'List of Leagues'!F:F, 0)), 0)</f>
        <v>0</v>
      </c>
      <c r="AI110">
        <f t="shared" si="11"/>
        <v>20.887499999999999</v>
      </c>
      <c r="AJ110" t="s">
        <v>208</v>
      </c>
      <c r="AK110">
        <f>IFERROR(INDEX('List of Leagues'!$E:$E, MATCH(AJ110, 'List of Leagues'!$F:$F, 0)), 0)</f>
        <v>85.1</v>
      </c>
      <c r="AL110" t="s">
        <v>762</v>
      </c>
      <c r="AM110">
        <f>IFERROR(INDEX('List of Leagues'!$E:$E, MATCH(AL110, 'List of Leagues'!$F:$F, 0)), 0)</f>
        <v>0</v>
      </c>
      <c r="AN110" t="s">
        <v>762</v>
      </c>
      <c r="AO110">
        <f>IFERROR(INDEX('List of Leagues'!$E:$E, MATCH(AN110, 'List of Leagues'!$F:$F, 0)), 0)</f>
        <v>0</v>
      </c>
      <c r="AP110" t="s">
        <v>762</v>
      </c>
      <c r="AQ110">
        <f>IFERROR(INDEX('List of Leagues'!$E:$E, MATCH(AP110, 'List of Leagues'!$F:$F, 0)), 0)</f>
        <v>0</v>
      </c>
      <c r="AR110" t="s">
        <v>762</v>
      </c>
      <c r="AS110">
        <f>IFERROR(INDEX('List of Leagues'!$E:$E, MATCH(AR110, 'List of Leagues'!$F:$F, 0)), 0)</f>
        <v>0</v>
      </c>
      <c r="AT110" t="s">
        <v>762</v>
      </c>
      <c r="AU110">
        <f>IFERROR(INDEX('List of Leagues'!$E:$E, MATCH(AT110, 'List of Leagues'!$F:$F, 0)), 0)</f>
        <v>0</v>
      </c>
      <c r="AV110">
        <f t="shared" si="8"/>
        <v>14.183333333333332</v>
      </c>
    </row>
    <row r="111" spans="1:48" x14ac:dyDescent="0.35">
      <c r="A111" t="s">
        <v>105</v>
      </c>
      <c r="B111">
        <v>37</v>
      </c>
      <c r="C111">
        <v>2022</v>
      </c>
      <c r="D111" t="s">
        <v>198</v>
      </c>
      <c r="E111" t="s">
        <v>10</v>
      </c>
      <c r="F111" t="s">
        <v>10</v>
      </c>
      <c r="G111" t="s">
        <v>147</v>
      </c>
      <c r="H111">
        <f t="shared" si="12"/>
        <v>48</v>
      </c>
      <c r="I111">
        <v>12</v>
      </c>
      <c r="J111">
        <v>13</v>
      </c>
      <c r="K111">
        <f>9+14</f>
        <v>23</v>
      </c>
      <c r="L111">
        <f t="shared" si="13"/>
        <v>49</v>
      </c>
      <c r="M111" s="2">
        <v>20430480</v>
      </c>
      <c r="N111">
        <v>1</v>
      </c>
      <c r="O111">
        <v>3</v>
      </c>
      <c r="P111">
        <v>0</v>
      </c>
      <c r="Q111">
        <f>IF(COUNTIF($A$2:A111, A111) &gt; 1, 1, 0)</f>
        <v>0</v>
      </c>
      <c r="R111" t="b">
        <v>1</v>
      </c>
      <c r="S111" t="s">
        <v>184</v>
      </c>
      <c r="T111">
        <f>IFERROR(INDEX('List of Leagues'!E:E, MATCH(S111, 'List of Leagues'!F:F, 0)), 0)</f>
        <v>93.8</v>
      </c>
      <c r="U111" t="s">
        <v>185</v>
      </c>
      <c r="V111">
        <f>IFERROR(INDEX('List of Leagues'!E:E, MATCH(U111, 'List of Leagues'!F:F, 0)), 0)</f>
        <v>75.400000000000006</v>
      </c>
      <c r="W111" t="s">
        <v>762</v>
      </c>
      <c r="X111">
        <f>IFERROR(INDEX('List of Leagues'!E:E, MATCH(W111, 'List of Leagues'!F:F, 0)), 0)</f>
        <v>0</v>
      </c>
      <c r="Y111" t="s">
        <v>178</v>
      </c>
      <c r="Z111">
        <f>IFERROR(INDEX('List of Leagues'!E:E, MATCH(Y111, 'List of Leagues'!F:F, 0)), 0)</f>
        <v>69.3</v>
      </c>
      <c r="AA111" t="s">
        <v>762</v>
      </c>
      <c r="AB111">
        <f>IFERROR(INDEX('List of Leagues'!E:E, MATCH(AA111, 'List of Leagues'!F:F, 0)), 0)</f>
        <v>0</v>
      </c>
      <c r="AC111" t="s">
        <v>762</v>
      </c>
      <c r="AD111">
        <f>IFERROR(INDEX('List of Leagues'!E:E, MATCH(AC111, 'List of Leagues'!F:F, 0)), 0)</f>
        <v>0</v>
      </c>
      <c r="AE111" t="s">
        <v>762</v>
      </c>
      <c r="AF111">
        <f>IFERROR(INDEX('List of Leagues'!E:E, MATCH(AE111, 'List of Leagues'!F:F, 0)), 0)</f>
        <v>0</v>
      </c>
      <c r="AG111" t="s">
        <v>762</v>
      </c>
      <c r="AH111">
        <f>IFERROR(INDEX('List of Leagues'!E:E, MATCH(AG111, 'List of Leagues'!F:F, 0)), 0)</f>
        <v>0</v>
      </c>
      <c r="AI111">
        <f t="shared" si="11"/>
        <v>29.8125</v>
      </c>
      <c r="AJ111" t="s">
        <v>187</v>
      </c>
      <c r="AK111">
        <f>IFERROR(INDEX('List of Leagues'!$E:$E, MATCH(AJ111, 'List of Leagues'!$F:$F, 0)), 0)</f>
        <v>58.4</v>
      </c>
      <c r="AL111" t="s">
        <v>762</v>
      </c>
      <c r="AM111">
        <f>IFERROR(INDEX('List of Leagues'!$E:$E, MATCH(AL111, 'List of Leagues'!$F:$F, 0)), 0)</f>
        <v>0</v>
      </c>
      <c r="AN111" t="s">
        <v>762</v>
      </c>
      <c r="AO111">
        <f>IFERROR(INDEX('List of Leagues'!$E:$E, MATCH(AN111, 'List of Leagues'!$F:$F, 0)), 0)</f>
        <v>0</v>
      </c>
      <c r="AP111" t="s">
        <v>762</v>
      </c>
      <c r="AQ111">
        <f>IFERROR(INDEX('List of Leagues'!$E:$E, MATCH(AP111, 'List of Leagues'!$F:$F, 0)), 0)</f>
        <v>0</v>
      </c>
      <c r="AR111" t="s">
        <v>762</v>
      </c>
      <c r="AS111">
        <f>IFERROR(INDEX('List of Leagues'!$E:$E, MATCH(AR111, 'List of Leagues'!$F:$F, 0)), 0)</f>
        <v>0</v>
      </c>
      <c r="AT111" t="s">
        <v>762</v>
      </c>
      <c r="AU111">
        <f>IFERROR(INDEX('List of Leagues'!$E:$E, MATCH(AT111, 'List of Leagues'!$F:$F, 0)), 0)</f>
        <v>0</v>
      </c>
      <c r="AV111">
        <f t="shared" si="8"/>
        <v>9.7333333333333325</v>
      </c>
    </row>
    <row r="112" spans="1:48" x14ac:dyDescent="0.35">
      <c r="A112" t="s">
        <v>117</v>
      </c>
      <c r="B112">
        <v>46</v>
      </c>
      <c r="C112">
        <v>2023</v>
      </c>
      <c r="D112" t="s">
        <v>64</v>
      </c>
      <c r="E112" t="s">
        <v>10</v>
      </c>
      <c r="F112" t="s">
        <v>10</v>
      </c>
      <c r="G112" t="s">
        <v>136</v>
      </c>
      <c r="H112">
        <f t="shared" si="12"/>
        <v>34</v>
      </c>
      <c r="I112">
        <v>14</v>
      </c>
      <c r="J112">
        <v>9</v>
      </c>
      <c r="K112">
        <v>11</v>
      </c>
      <c r="L112">
        <f t="shared" si="13"/>
        <v>51</v>
      </c>
      <c r="M112" s="2">
        <v>17879676</v>
      </c>
      <c r="N112">
        <v>1</v>
      </c>
      <c r="O112">
        <v>10</v>
      </c>
      <c r="P112">
        <v>1</v>
      </c>
      <c r="Q112">
        <f>IF(COUNTIF($A$2:A112, A112) &gt; 1, 1, 0)</f>
        <v>1</v>
      </c>
      <c r="R112" t="b">
        <v>1</v>
      </c>
      <c r="S112" t="s">
        <v>178</v>
      </c>
      <c r="T112">
        <f>IFERROR(INDEX('List of Leagues'!E:E, MATCH(S112, 'List of Leagues'!F:F, 0)), 0)</f>
        <v>69.3</v>
      </c>
      <c r="U112" t="s">
        <v>185</v>
      </c>
      <c r="V112">
        <f>IFERROR(INDEX('List of Leagues'!E:E, MATCH(U112, 'List of Leagues'!F:F, 0)), 0)</f>
        <v>75.400000000000006</v>
      </c>
      <c r="W112" t="s">
        <v>762</v>
      </c>
      <c r="X112">
        <f>IFERROR(INDEX('List of Leagues'!E:E, MATCH(W112, 'List of Leagues'!F:F, 0)), 0)</f>
        <v>0</v>
      </c>
      <c r="Y112" t="s">
        <v>762</v>
      </c>
      <c r="Z112">
        <f>IFERROR(INDEX('List of Leagues'!E:E, MATCH(Y112, 'List of Leagues'!F:F, 0)), 0)</f>
        <v>0</v>
      </c>
      <c r="AA112" t="s">
        <v>762</v>
      </c>
      <c r="AB112">
        <f>IFERROR(INDEX('List of Leagues'!E:E, MATCH(AA112, 'List of Leagues'!F:F, 0)), 0)</f>
        <v>0</v>
      </c>
      <c r="AC112" t="s">
        <v>762</v>
      </c>
      <c r="AD112">
        <f>IFERROR(INDEX('List of Leagues'!E:E, MATCH(AC112, 'List of Leagues'!F:F, 0)), 0)</f>
        <v>0</v>
      </c>
      <c r="AE112" t="s">
        <v>762</v>
      </c>
      <c r="AF112">
        <f>IFERROR(INDEX('List of Leagues'!E:E, MATCH(AE112, 'List of Leagues'!F:F, 0)), 0)</f>
        <v>0</v>
      </c>
      <c r="AG112" t="s">
        <v>762</v>
      </c>
      <c r="AH112">
        <f>IFERROR(INDEX('List of Leagues'!E:E, MATCH(AG112, 'List of Leagues'!F:F, 0)), 0)</f>
        <v>0</v>
      </c>
      <c r="AI112">
        <f t="shared" si="11"/>
        <v>18.087499999999999</v>
      </c>
      <c r="AJ112" t="s">
        <v>759</v>
      </c>
      <c r="AK112">
        <f>IFERROR(INDEX('List of Leagues'!$E:$E, MATCH(AJ112, 'List of Leagues'!$F:$F, 0)), 0)</f>
        <v>0</v>
      </c>
      <c r="AL112" t="s">
        <v>213</v>
      </c>
      <c r="AM112">
        <f>IFERROR(INDEX('List of Leagues'!$E:$E, MATCH(AL112, 'List of Leagues'!$F:$F, 0)), 0)</f>
        <v>0</v>
      </c>
      <c r="AN112" t="s">
        <v>762</v>
      </c>
      <c r="AO112">
        <f>IFERROR(INDEX('List of Leagues'!$E:$E, MATCH(AN112, 'List of Leagues'!$F:$F, 0)), 0)</f>
        <v>0</v>
      </c>
      <c r="AP112" t="s">
        <v>762</v>
      </c>
      <c r="AQ112">
        <f>IFERROR(INDEX('List of Leagues'!$E:$E, MATCH(AP112, 'List of Leagues'!$F:$F, 0)), 0)</f>
        <v>0</v>
      </c>
      <c r="AR112" t="s">
        <v>762</v>
      </c>
      <c r="AS112">
        <f>IFERROR(INDEX('List of Leagues'!$E:$E, MATCH(AR112, 'List of Leagues'!$F:$F, 0)), 0)</f>
        <v>0</v>
      </c>
      <c r="AT112" t="s">
        <v>762</v>
      </c>
      <c r="AU112">
        <f>IFERROR(INDEX('List of Leagues'!$E:$E, MATCH(AT112, 'List of Leagues'!$F:$F, 0)), 0)</f>
        <v>0</v>
      </c>
      <c r="AV112">
        <f t="shared" si="8"/>
        <v>0</v>
      </c>
    </row>
    <row r="113" spans="1:48" x14ac:dyDescent="0.35">
      <c r="A113" t="s">
        <v>119</v>
      </c>
      <c r="B113">
        <v>46</v>
      </c>
      <c r="C113">
        <v>2023</v>
      </c>
      <c r="D113" t="s">
        <v>107</v>
      </c>
      <c r="E113" t="s">
        <v>10</v>
      </c>
      <c r="F113" t="s">
        <v>10</v>
      </c>
      <c r="G113" t="s">
        <v>161</v>
      </c>
      <c r="H113">
        <f t="shared" si="12"/>
        <v>34</v>
      </c>
      <c r="I113">
        <v>17</v>
      </c>
      <c r="J113">
        <v>5</v>
      </c>
      <c r="K113">
        <v>12</v>
      </c>
      <c r="L113">
        <f t="shared" si="13"/>
        <v>56</v>
      </c>
      <c r="M113" s="2">
        <v>11186787</v>
      </c>
      <c r="N113">
        <v>1</v>
      </c>
      <c r="O113">
        <v>0</v>
      </c>
      <c r="P113">
        <v>3</v>
      </c>
      <c r="Q113">
        <f>IF(COUNTIF($A$2:A113, A113) &gt; 1, 1, 0)</f>
        <v>0</v>
      </c>
      <c r="R113" t="b">
        <v>1</v>
      </c>
      <c r="S113" t="s">
        <v>210</v>
      </c>
      <c r="T113">
        <f>IFERROR(INDEX('List of Leagues'!E:E, MATCH(S113, 'List of Leagues'!F:F, 0)), 0)</f>
        <v>58.9</v>
      </c>
      <c r="U113" t="s">
        <v>756</v>
      </c>
      <c r="V113">
        <f>IFERROR(INDEX('List of Leagues'!E:E, MATCH(U113, 'List of Leagues'!F:F, 0)), 0)</f>
        <v>76.8</v>
      </c>
      <c r="W113" t="s">
        <v>762</v>
      </c>
      <c r="X113">
        <f>IFERROR(INDEX('List of Leagues'!E:E, MATCH(W113, 'List of Leagues'!F:F, 0)), 0)</f>
        <v>0</v>
      </c>
      <c r="Y113" t="s">
        <v>653</v>
      </c>
      <c r="Z113">
        <f>IFERROR(INDEX('List of Leagues'!E:E, MATCH(Y113, 'List of Leagues'!F:F, 0)), 0)</f>
        <v>77.099999999999994</v>
      </c>
      <c r="AA113" t="s">
        <v>762</v>
      </c>
      <c r="AB113">
        <f>IFERROR(INDEX('List of Leagues'!E:E, MATCH(AA113, 'List of Leagues'!F:F, 0)), 0)</f>
        <v>0</v>
      </c>
      <c r="AC113" t="s">
        <v>762</v>
      </c>
      <c r="AD113">
        <f>IFERROR(INDEX('List of Leagues'!E:E, MATCH(AC113, 'List of Leagues'!F:F, 0)), 0)</f>
        <v>0</v>
      </c>
      <c r="AE113" t="s">
        <v>762</v>
      </c>
      <c r="AF113">
        <f>IFERROR(INDEX('List of Leagues'!E:E, MATCH(AE113, 'List of Leagues'!F:F, 0)), 0)</f>
        <v>0</v>
      </c>
      <c r="AG113" t="s">
        <v>762</v>
      </c>
      <c r="AH113">
        <f>IFERROR(INDEX('List of Leagues'!E:E, MATCH(AG113, 'List of Leagues'!F:F, 0)), 0)</f>
        <v>0</v>
      </c>
      <c r="AI113">
        <f t="shared" si="11"/>
        <v>26.599999999999998</v>
      </c>
      <c r="AJ113" t="s">
        <v>216</v>
      </c>
      <c r="AK113">
        <f>IFERROR(INDEX('List of Leagues'!$E:$E, MATCH(AJ113, 'List of Leagues'!$F:$F, 0)), 0)</f>
        <v>0</v>
      </c>
      <c r="AL113" t="s">
        <v>205</v>
      </c>
      <c r="AM113">
        <f>IFERROR(INDEX('List of Leagues'!$E:$E, MATCH(AL113, 'List of Leagues'!$F:$F, 0)), 0)</f>
        <v>55.1</v>
      </c>
      <c r="AN113" t="s">
        <v>762</v>
      </c>
      <c r="AO113">
        <f>IFERROR(INDEX('List of Leagues'!$E:$E, MATCH(AN113, 'List of Leagues'!$F:$F, 0)), 0)</f>
        <v>0</v>
      </c>
      <c r="AP113" t="s">
        <v>762</v>
      </c>
      <c r="AQ113">
        <f>IFERROR(INDEX('List of Leagues'!$E:$E, MATCH(AP113, 'List of Leagues'!$F:$F, 0)), 0)</f>
        <v>0</v>
      </c>
      <c r="AR113" t="s">
        <v>762</v>
      </c>
      <c r="AS113">
        <f>IFERROR(INDEX('List of Leagues'!$E:$E, MATCH(AR113, 'List of Leagues'!$F:$F, 0)), 0)</f>
        <v>0</v>
      </c>
      <c r="AT113" t="s">
        <v>762</v>
      </c>
      <c r="AU113">
        <f>IFERROR(INDEX('List of Leagues'!$E:$E, MATCH(AT113, 'List of Leagues'!$F:$F, 0)), 0)</f>
        <v>0</v>
      </c>
      <c r="AV113">
        <f t="shared" si="8"/>
        <v>9.1833333333333336</v>
      </c>
    </row>
    <row r="114" spans="1:48" x14ac:dyDescent="0.35">
      <c r="A114" t="s">
        <v>128</v>
      </c>
      <c r="B114">
        <v>61</v>
      </c>
      <c r="C114">
        <v>2023</v>
      </c>
      <c r="D114" t="s">
        <v>94</v>
      </c>
      <c r="E114" t="s">
        <v>10</v>
      </c>
      <c r="F114" t="s">
        <v>10</v>
      </c>
      <c r="G114" t="s">
        <v>155</v>
      </c>
      <c r="H114">
        <f t="shared" si="12"/>
        <v>34</v>
      </c>
      <c r="I114">
        <v>9</v>
      </c>
      <c r="J114">
        <v>7</v>
      </c>
      <c r="K114">
        <v>18</v>
      </c>
      <c r="L114">
        <f t="shared" si="13"/>
        <v>34</v>
      </c>
      <c r="M114" s="1">
        <v>43356256</v>
      </c>
      <c r="N114">
        <v>1</v>
      </c>
      <c r="O114">
        <v>23</v>
      </c>
      <c r="P114">
        <v>0</v>
      </c>
      <c r="Q114">
        <f>IF(COUNTIF($A$2:A114, A114) &gt; 1, 1, 0)</f>
        <v>1</v>
      </c>
      <c r="R114" t="b">
        <v>1</v>
      </c>
      <c r="S114" t="s">
        <v>532</v>
      </c>
      <c r="T114">
        <f>IFERROR(INDEX('List of Leagues'!E:E, MATCH(S114, 'List of Leagues'!F:F, 0)), 0)</f>
        <v>80.8</v>
      </c>
      <c r="U114" t="s">
        <v>538</v>
      </c>
      <c r="V114">
        <f>IFERROR(INDEX('List of Leagues'!E:E, MATCH(U114, 'List of Leagues'!F:F, 0)), 0)</f>
        <v>77.3</v>
      </c>
      <c r="W114" t="s">
        <v>762</v>
      </c>
      <c r="X114">
        <f>IFERROR(INDEX('List of Leagues'!E:E, MATCH(W114, 'List of Leagues'!F:F, 0)), 0)</f>
        <v>0</v>
      </c>
      <c r="Y114" t="s">
        <v>555</v>
      </c>
      <c r="Z114">
        <f>IFERROR(INDEX('List of Leagues'!E:E, MATCH(Y114, 'List of Leagues'!F:F, 0)), 0)</f>
        <v>71.400000000000006</v>
      </c>
      <c r="AA114" t="s">
        <v>762</v>
      </c>
      <c r="AB114">
        <f>IFERROR(INDEX('List of Leagues'!E:E, MATCH(AA114, 'List of Leagues'!F:F, 0)), 0)</f>
        <v>0</v>
      </c>
      <c r="AC114" t="s">
        <v>762</v>
      </c>
      <c r="AD114">
        <f>IFERROR(INDEX('List of Leagues'!E:E, MATCH(AC114, 'List of Leagues'!F:F, 0)), 0)</f>
        <v>0</v>
      </c>
      <c r="AE114" t="s">
        <v>762</v>
      </c>
      <c r="AF114">
        <f>IFERROR(INDEX('List of Leagues'!E:E, MATCH(AE114, 'List of Leagues'!F:F, 0)), 0)</f>
        <v>0</v>
      </c>
      <c r="AG114" t="s">
        <v>762</v>
      </c>
      <c r="AH114">
        <f>IFERROR(INDEX('List of Leagues'!E:E, MATCH(AG114, 'List of Leagues'!F:F, 0)), 0)</f>
        <v>0</v>
      </c>
      <c r="AI114">
        <f t="shared" si="11"/>
        <v>28.6875</v>
      </c>
      <c r="AJ114" t="s">
        <v>185</v>
      </c>
      <c r="AK114">
        <f>IFERROR(INDEX('List of Leagues'!$E:$E, MATCH(AJ114, 'List of Leagues'!$F:$F, 0)), 0)</f>
        <v>75.400000000000006</v>
      </c>
      <c r="AL114" t="s">
        <v>762</v>
      </c>
      <c r="AM114">
        <f>IFERROR(INDEX('List of Leagues'!$E:$E, MATCH(AL114, 'List of Leagues'!$F:$F, 0)), 0)</f>
        <v>0</v>
      </c>
      <c r="AN114" t="s">
        <v>762</v>
      </c>
      <c r="AO114">
        <f>IFERROR(INDEX('List of Leagues'!$E:$E, MATCH(AN114, 'List of Leagues'!$F:$F, 0)), 0)</f>
        <v>0</v>
      </c>
      <c r="AP114" t="s">
        <v>762</v>
      </c>
      <c r="AQ114">
        <f>IFERROR(INDEX('List of Leagues'!$E:$E, MATCH(AP114, 'List of Leagues'!$F:$F, 0)), 0)</f>
        <v>0</v>
      </c>
      <c r="AR114" t="s">
        <v>762</v>
      </c>
      <c r="AS114">
        <f>IFERROR(INDEX('List of Leagues'!$E:$E, MATCH(AR114, 'List of Leagues'!$F:$F, 0)), 0)</f>
        <v>0</v>
      </c>
      <c r="AT114" t="s">
        <v>762</v>
      </c>
      <c r="AU114">
        <f>IFERROR(INDEX('List of Leagues'!$E:$E, MATCH(AT114, 'List of Leagues'!$F:$F, 0)), 0)</f>
        <v>0</v>
      </c>
      <c r="AV114">
        <f t="shared" si="8"/>
        <v>12.566666666666668</v>
      </c>
    </row>
    <row r="115" spans="1:48" x14ac:dyDescent="0.35">
      <c r="A115" t="s">
        <v>116</v>
      </c>
      <c r="B115">
        <v>41</v>
      </c>
      <c r="C115">
        <v>2023</v>
      </c>
      <c r="D115" t="s">
        <v>45</v>
      </c>
      <c r="E115" t="s">
        <v>10</v>
      </c>
      <c r="F115" t="s">
        <v>10</v>
      </c>
      <c r="G115" t="s">
        <v>155</v>
      </c>
      <c r="H115">
        <f t="shared" si="12"/>
        <v>34</v>
      </c>
      <c r="I115">
        <v>12</v>
      </c>
      <c r="J115">
        <v>5</v>
      </c>
      <c r="K115">
        <v>17</v>
      </c>
      <c r="L115">
        <f t="shared" si="13"/>
        <v>41</v>
      </c>
      <c r="M115" s="2">
        <v>11474537</v>
      </c>
      <c r="N115">
        <v>1</v>
      </c>
      <c r="O115">
        <v>5</v>
      </c>
      <c r="P115">
        <v>0</v>
      </c>
      <c r="Q115">
        <f>IF(COUNTIF($A$2:A115, A115) &gt; 1, 1, 0)</f>
        <v>1</v>
      </c>
      <c r="R115" t="b">
        <v>1</v>
      </c>
      <c r="S115" t="s">
        <v>532</v>
      </c>
      <c r="T115">
        <f>IFERROR(INDEX('List of Leagues'!E:E, MATCH(S115, 'List of Leagues'!F:F, 0)), 0)</f>
        <v>80.8</v>
      </c>
      <c r="U115" t="s">
        <v>203</v>
      </c>
      <c r="V115">
        <f>IFERROR(INDEX('List of Leagues'!E:E, MATCH(U115, 'List of Leagues'!F:F, 0)), 0)</f>
        <v>76.8</v>
      </c>
      <c r="W115" t="s">
        <v>184</v>
      </c>
      <c r="X115">
        <f>IFERROR(INDEX('List of Leagues'!E:E, MATCH(W115, 'List of Leagues'!F:F, 0)), 0)</f>
        <v>93.8</v>
      </c>
      <c r="Y115" t="s">
        <v>762</v>
      </c>
      <c r="Z115">
        <f>IFERROR(INDEX('List of Leagues'!E:E, MATCH(Y115, 'List of Leagues'!F:F, 0)), 0)</f>
        <v>0</v>
      </c>
      <c r="AA115" t="s">
        <v>762</v>
      </c>
      <c r="AB115">
        <f>IFERROR(INDEX('List of Leagues'!E:E, MATCH(AA115, 'List of Leagues'!F:F, 0)), 0)</f>
        <v>0</v>
      </c>
      <c r="AC115" t="s">
        <v>762</v>
      </c>
      <c r="AD115">
        <f>IFERROR(INDEX('List of Leagues'!E:E, MATCH(AC115, 'List of Leagues'!F:F, 0)), 0)</f>
        <v>0</v>
      </c>
      <c r="AE115" t="s">
        <v>762</v>
      </c>
      <c r="AF115">
        <f>IFERROR(INDEX('List of Leagues'!E:E, MATCH(AE115, 'List of Leagues'!F:F, 0)), 0)</f>
        <v>0</v>
      </c>
      <c r="AG115" t="s">
        <v>762</v>
      </c>
      <c r="AH115">
        <f>IFERROR(INDEX('List of Leagues'!E:E, MATCH(AG115, 'List of Leagues'!F:F, 0)), 0)</f>
        <v>0</v>
      </c>
      <c r="AI115">
        <f t="shared" si="11"/>
        <v>31.424999999999997</v>
      </c>
      <c r="AJ115" t="s">
        <v>215</v>
      </c>
      <c r="AK115">
        <f>IFERROR(INDEX('List of Leagues'!$E:$E, MATCH(AJ115, 'List of Leagues'!$F:$F, 0)), 0)</f>
        <v>0</v>
      </c>
      <c r="AL115" t="s">
        <v>762</v>
      </c>
      <c r="AM115">
        <f>IFERROR(INDEX('List of Leagues'!$E:$E, MATCH(AL115, 'List of Leagues'!$F:$F, 0)), 0)</f>
        <v>0</v>
      </c>
      <c r="AN115" t="s">
        <v>762</v>
      </c>
      <c r="AO115">
        <f>IFERROR(INDEX('List of Leagues'!$E:$E, MATCH(AN115, 'List of Leagues'!$F:$F, 0)), 0)</f>
        <v>0</v>
      </c>
      <c r="AP115" t="s">
        <v>762</v>
      </c>
      <c r="AQ115">
        <f>IFERROR(INDEX('List of Leagues'!$E:$E, MATCH(AP115, 'List of Leagues'!$F:$F, 0)), 0)</f>
        <v>0</v>
      </c>
      <c r="AR115" t="s">
        <v>762</v>
      </c>
      <c r="AS115">
        <f>IFERROR(INDEX('List of Leagues'!$E:$E, MATCH(AR115, 'List of Leagues'!$F:$F, 0)), 0)</f>
        <v>0</v>
      </c>
      <c r="AT115" t="s">
        <v>762</v>
      </c>
      <c r="AU115">
        <f>IFERROR(INDEX('List of Leagues'!$E:$E, MATCH(AT115, 'List of Leagues'!$F:$F, 0)), 0)</f>
        <v>0</v>
      </c>
      <c r="AV115">
        <f t="shared" si="8"/>
        <v>0</v>
      </c>
    </row>
    <row r="116" spans="1:48" x14ac:dyDescent="0.35">
      <c r="A116" t="s">
        <v>112</v>
      </c>
      <c r="B116">
        <v>43</v>
      </c>
      <c r="C116">
        <v>2023</v>
      </c>
      <c r="D116" t="s">
        <v>19</v>
      </c>
      <c r="E116" t="s">
        <v>10</v>
      </c>
      <c r="F116" t="s">
        <v>10</v>
      </c>
      <c r="G116" t="s">
        <v>136</v>
      </c>
      <c r="H116">
        <f t="shared" si="12"/>
        <v>34</v>
      </c>
      <c r="I116">
        <v>10</v>
      </c>
      <c r="J116">
        <v>14</v>
      </c>
      <c r="K116">
        <v>10</v>
      </c>
      <c r="L116">
        <f t="shared" si="13"/>
        <v>44</v>
      </c>
      <c r="M116" s="2">
        <v>13764233.5</v>
      </c>
      <c r="N116">
        <v>1</v>
      </c>
      <c r="O116">
        <v>3</v>
      </c>
      <c r="P116">
        <v>0</v>
      </c>
      <c r="Q116">
        <f>IF(COUNTIF($A$2:A116, A116) &gt; 1, 1, 0)</f>
        <v>1</v>
      </c>
      <c r="R116" t="b">
        <v>1</v>
      </c>
      <c r="S116" t="s">
        <v>178</v>
      </c>
      <c r="T116">
        <f>IFERROR(INDEX('List of Leagues'!E:E, MATCH(S116, 'List of Leagues'!F:F, 0)), 0)</f>
        <v>69.3</v>
      </c>
      <c r="U116" t="s">
        <v>187</v>
      </c>
      <c r="V116">
        <f>IFERROR(INDEX('List of Leagues'!E:E, MATCH(U116, 'List of Leagues'!F:F, 0)), 0)</f>
        <v>58.4</v>
      </c>
      <c r="W116" t="s">
        <v>762</v>
      </c>
      <c r="X116">
        <f>IFERROR(INDEX('List of Leagues'!E:E, MATCH(W116, 'List of Leagues'!F:F, 0)), 0)</f>
        <v>0</v>
      </c>
      <c r="Y116" t="s">
        <v>553</v>
      </c>
      <c r="Z116">
        <f>IFERROR(INDEX('List of Leagues'!E:E, MATCH(Y116, 'List of Leagues'!F:F, 0)), 0)</f>
        <v>69.400000000000006</v>
      </c>
      <c r="AA116" t="s">
        <v>772</v>
      </c>
      <c r="AB116">
        <f>IFERROR(INDEX('List of Leagues'!E:E, MATCH(AA116, 'List of Leagues'!F:F, 0)), 0)</f>
        <v>43.8</v>
      </c>
      <c r="AC116" t="s">
        <v>762</v>
      </c>
      <c r="AD116">
        <f>IFERROR(INDEX('List of Leagues'!E:E, MATCH(AC116, 'List of Leagues'!F:F, 0)), 0)</f>
        <v>0</v>
      </c>
      <c r="AE116" t="s">
        <v>762</v>
      </c>
      <c r="AF116">
        <f>IFERROR(INDEX('List of Leagues'!E:E, MATCH(AE116, 'List of Leagues'!F:F, 0)), 0)</f>
        <v>0</v>
      </c>
      <c r="AG116" t="s">
        <v>762</v>
      </c>
      <c r="AH116">
        <f>IFERROR(INDEX('List of Leagues'!E:E, MATCH(AG116, 'List of Leagues'!F:F, 0)), 0)</f>
        <v>0</v>
      </c>
      <c r="AI116">
        <f t="shared" si="11"/>
        <v>30.112499999999997</v>
      </c>
      <c r="AJ116" t="s">
        <v>215</v>
      </c>
      <c r="AK116">
        <f>IFERROR(INDEX('List of Leagues'!$E:$E, MATCH(AJ116, 'List of Leagues'!$F:$F, 0)), 0)</f>
        <v>0</v>
      </c>
      <c r="AL116" t="s">
        <v>178</v>
      </c>
      <c r="AM116">
        <f>IFERROR(INDEX('List of Leagues'!$E:$E, MATCH(AL116, 'List of Leagues'!$F:$F, 0)), 0)</f>
        <v>69.3</v>
      </c>
      <c r="AN116" t="s">
        <v>762</v>
      </c>
      <c r="AO116">
        <f>IFERROR(INDEX('List of Leagues'!$E:$E, MATCH(AN116, 'List of Leagues'!$F:$F, 0)), 0)</f>
        <v>0</v>
      </c>
      <c r="AP116" t="s">
        <v>762</v>
      </c>
      <c r="AQ116">
        <f>IFERROR(INDEX('List of Leagues'!$E:$E, MATCH(AP116, 'List of Leagues'!$F:$F, 0)), 0)</f>
        <v>0</v>
      </c>
      <c r="AR116" t="s">
        <v>762</v>
      </c>
      <c r="AS116">
        <f>IFERROR(INDEX('List of Leagues'!$E:$E, MATCH(AR116, 'List of Leagues'!$F:$F, 0)), 0)</f>
        <v>0</v>
      </c>
      <c r="AT116" t="s">
        <v>762</v>
      </c>
      <c r="AU116">
        <f>IFERROR(INDEX('List of Leagues'!$E:$E, MATCH(AT116, 'List of Leagues'!$F:$F, 0)), 0)</f>
        <v>0</v>
      </c>
      <c r="AV116">
        <f t="shared" si="8"/>
        <v>11.549999999999999</v>
      </c>
    </row>
    <row r="117" spans="1:48" x14ac:dyDescent="0.35">
      <c r="A117" t="s">
        <v>120</v>
      </c>
      <c r="B117">
        <v>40</v>
      </c>
      <c r="C117">
        <v>2023</v>
      </c>
      <c r="D117" t="s">
        <v>17</v>
      </c>
      <c r="E117" t="s">
        <v>10</v>
      </c>
      <c r="F117" t="s">
        <v>10</v>
      </c>
      <c r="G117" t="s">
        <v>136</v>
      </c>
      <c r="H117">
        <f t="shared" si="12"/>
        <v>34</v>
      </c>
      <c r="I117">
        <v>11</v>
      </c>
      <c r="J117">
        <v>10</v>
      </c>
      <c r="K117">
        <v>13</v>
      </c>
      <c r="L117">
        <f t="shared" si="13"/>
        <v>43</v>
      </c>
      <c r="M117" s="2">
        <v>11705027</v>
      </c>
      <c r="N117">
        <v>1</v>
      </c>
      <c r="O117">
        <v>3</v>
      </c>
      <c r="P117">
        <v>14</v>
      </c>
      <c r="Q117">
        <f>IF(COUNTIF($A$2:A117, A117) &gt; 1, 1, 0)</f>
        <v>0</v>
      </c>
      <c r="R117" t="b">
        <v>1</v>
      </c>
      <c r="S117" t="s">
        <v>187</v>
      </c>
      <c r="T117">
        <f>IFERROR(INDEX('List of Leagues'!E:E, MATCH(S117, 'List of Leagues'!F:F, 0)), 0)</f>
        <v>58.4</v>
      </c>
      <c r="U117" t="s">
        <v>762</v>
      </c>
      <c r="V117">
        <f>IFERROR(INDEX('List of Leagues'!E:E, MATCH(U117, 'List of Leagues'!F:F, 0)), 0)</f>
        <v>0</v>
      </c>
      <c r="W117" t="s">
        <v>762</v>
      </c>
      <c r="X117">
        <f>IFERROR(INDEX('List of Leagues'!E:E, MATCH(W117, 'List of Leagues'!F:F, 0)), 0)</f>
        <v>0</v>
      </c>
      <c r="Y117" t="s">
        <v>762</v>
      </c>
      <c r="Z117">
        <f>IFERROR(INDEX('List of Leagues'!E:E, MATCH(Y117, 'List of Leagues'!F:F, 0)), 0)</f>
        <v>0</v>
      </c>
      <c r="AA117" t="s">
        <v>762</v>
      </c>
      <c r="AB117">
        <f>IFERROR(INDEX('List of Leagues'!E:E, MATCH(AA117, 'List of Leagues'!F:F, 0)), 0)</f>
        <v>0</v>
      </c>
      <c r="AC117" t="s">
        <v>762</v>
      </c>
      <c r="AD117">
        <f>IFERROR(INDEX('List of Leagues'!E:E, MATCH(AC117, 'List of Leagues'!F:F, 0)), 0)</f>
        <v>0</v>
      </c>
      <c r="AE117" t="s">
        <v>762</v>
      </c>
      <c r="AF117">
        <f>IFERROR(INDEX('List of Leagues'!E:E, MATCH(AE117, 'List of Leagues'!F:F, 0)), 0)</f>
        <v>0</v>
      </c>
      <c r="AG117" t="s">
        <v>762</v>
      </c>
      <c r="AH117">
        <f>IFERROR(INDEX('List of Leagues'!E:E, MATCH(AG117, 'List of Leagues'!F:F, 0)), 0)</f>
        <v>0</v>
      </c>
      <c r="AI117">
        <f t="shared" si="11"/>
        <v>7.3</v>
      </c>
      <c r="AJ117" t="s">
        <v>216</v>
      </c>
      <c r="AK117">
        <f>IFERROR(INDEX('List of Leagues'!$E:$E, MATCH(AJ117, 'List of Leagues'!$F:$F, 0)), 0)</f>
        <v>0</v>
      </c>
      <c r="AL117" t="s">
        <v>762</v>
      </c>
      <c r="AM117">
        <f>IFERROR(INDEX('List of Leagues'!$E:$E, MATCH(AL117, 'List of Leagues'!$F:$F, 0)), 0)</f>
        <v>0</v>
      </c>
      <c r="AN117" t="s">
        <v>762</v>
      </c>
      <c r="AO117">
        <f>IFERROR(INDEX('List of Leagues'!$E:$E, MATCH(AN117, 'List of Leagues'!$F:$F, 0)), 0)</f>
        <v>0</v>
      </c>
      <c r="AP117" t="s">
        <v>762</v>
      </c>
      <c r="AQ117">
        <f>IFERROR(INDEX('List of Leagues'!$E:$E, MATCH(AP117, 'List of Leagues'!$F:$F, 0)), 0)</f>
        <v>0</v>
      </c>
      <c r="AR117" t="s">
        <v>762</v>
      </c>
      <c r="AS117">
        <f>IFERROR(INDEX('List of Leagues'!$E:$E, MATCH(AR117, 'List of Leagues'!$F:$F, 0)), 0)</f>
        <v>0</v>
      </c>
      <c r="AT117" t="s">
        <v>762</v>
      </c>
      <c r="AU117">
        <f>IFERROR(INDEX('List of Leagues'!$E:$E, MATCH(AT117, 'List of Leagues'!$F:$F, 0)), 0)</f>
        <v>0</v>
      </c>
      <c r="AV117">
        <f t="shared" si="8"/>
        <v>0</v>
      </c>
    </row>
    <row r="118" spans="1:48" x14ac:dyDescent="0.35">
      <c r="A118" t="s">
        <v>118</v>
      </c>
      <c r="B118">
        <v>46</v>
      </c>
      <c r="C118">
        <v>2023</v>
      </c>
      <c r="D118" t="s">
        <v>23</v>
      </c>
      <c r="E118" t="s">
        <v>6</v>
      </c>
      <c r="F118" t="s">
        <v>131</v>
      </c>
      <c r="G118" t="s">
        <v>158</v>
      </c>
      <c r="H118">
        <f t="shared" si="12"/>
        <v>34</v>
      </c>
      <c r="I118">
        <v>16</v>
      </c>
      <c r="J118">
        <v>9</v>
      </c>
      <c r="K118">
        <v>9</v>
      </c>
      <c r="L118">
        <f t="shared" si="13"/>
        <v>57</v>
      </c>
      <c r="M118" s="1">
        <v>21369147</v>
      </c>
      <c r="N118">
        <v>1</v>
      </c>
      <c r="O118">
        <v>8</v>
      </c>
      <c r="P118">
        <v>5</v>
      </c>
      <c r="Q118">
        <f>IF(COUNTIF($A$2:A118, A118) &gt; 1, 1, 0)</f>
        <v>1</v>
      </c>
      <c r="R118" t="b">
        <v>1</v>
      </c>
      <c r="S118" t="s">
        <v>212</v>
      </c>
      <c r="T118">
        <f>IFERROR(INDEX('List of Leagues'!E:E, MATCH(S118, 'List of Leagues'!F:F, 0)), 0)</f>
        <v>0</v>
      </c>
      <c r="U118" t="s">
        <v>762</v>
      </c>
      <c r="V118">
        <f>IFERROR(INDEX('List of Leagues'!E:E, MATCH(U118, 'List of Leagues'!F:F, 0)), 0)</f>
        <v>0</v>
      </c>
      <c r="W118" t="s">
        <v>532</v>
      </c>
      <c r="X118">
        <f>IFERROR(INDEX('List of Leagues'!E:E, MATCH(W118, 'List of Leagues'!F:F, 0)), 0)</f>
        <v>80.8</v>
      </c>
      <c r="Y118" t="s">
        <v>762</v>
      </c>
      <c r="Z118">
        <f>IFERROR(INDEX('List of Leagues'!E:E, MATCH(Y118, 'List of Leagues'!F:F, 0)), 0)</f>
        <v>0</v>
      </c>
      <c r="AA118" t="s">
        <v>762</v>
      </c>
      <c r="AB118">
        <f>IFERROR(INDEX('List of Leagues'!E:E, MATCH(AA118, 'List of Leagues'!F:F, 0)), 0)</f>
        <v>0</v>
      </c>
      <c r="AC118" t="s">
        <v>762</v>
      </c>
      <c r="AD118">
        <f>IFERROR(INDEX('List of Leagues'!E:E, MATCH(AC118, 'List of Leagues'!F:F, 0)), 0)</f>
        <v>0</v>
      </c>
      <c r="AE118" t="s">
        <v>762</v>
      </c>
      <c r="AF118">
        <f>IFERROR(INDEX('List of Leagues'!E:E, MATCH(AE118, 'List of Leagues'!F:F, 0)), 0)</f>
        <v>0</v>
      </c>
      <c r="AG118" t="s">
        <v>762</v>
      </c>
      <c r="AH118">
        <f>IFERROR(INDEX('List of Leagues'!E:E, MATCH(AG118, 'List of Leagues'!F:F, 0)), 0)</f>
        <v>0</v>
      </c>
      <c r="AI118">
        <f t="shared" si="11"/>
        <v>10.1</v>
      </c>
      <c r="AJ118" t="s">
        <v>178</v>
      </c>
      <c r="AK118">
        <f>IFERROR(INDEX('List of Leagues'!$E:$E, MATCH(AJ118, 'List of Leagues'!$F:$F, 0)), 0)</f>
        <v>69.3</v>
      </c>
      <c r="AL118" t="s">
        <v>756</v>
      </c>
      <c r="AM118">
        <f>IFERROR(INDEX('List of Leagues'!$E:$E, MATCH(AL118, 'List of Leagues'!$F:$F, 0)), 0)</f>
        <v>76.8</v>
      </c>
      <c r="AN118" t="s">
        <v>762</v>
      </c>
      <c r="AO118">
        <f>IFERROR(INDEX('List of Leagues'!$E:$E, MATCH(AN118, 'List of Leagues'!$F:$F, 0)), 0)</f>
        <v>0</v>
      </c>
      <c r="AP118" t="s">
        <v>762</v>
      </c>
      <c r="AQ118">
        <f>IFERROR(INDEX('List of Leagues'!$E:$E, MATCH(AP118, 'List of Leagues'!$F:$F, 0)), 0)</f>
        <v>0</v>
      </c>
      <c r="AR118" t="s">
        <v>762</v>
      </c>
      <c r="AS118">
        <f>IFERROR(INDEX('List of Leagues'!$E:$E, MATCH(AR118, 'List of Leagues'!$F:$F, 0)), 0)</f>
        <v>0</v>
      </c>
      <c r="AT118" t="s">
        <v>762</v>
      </c>
      <c r="AU118">
        <f>IFERROR(INDEX('List of Leagues'!$E:$E, MATCH(AT118, 'List of Leagues'!$F:$F, 0)), 0)</f>
        <v>0</v>
      </c>
      <c r="AV118">
        <f t="shared" si="8"/>
        <v>24.349999999999998</v>
      </c>
    </row>
    <row r="119" spans="1:48" x14ac:dyDescent="0.35">
      <c r="U119" t="s">
        <v>762</v>
      </c>
      <c r="W119" t="s">
        <v>762</v>
      </c>
      <c r="Y119" t="s">
        <v>762</v>
      </c>
      <c r="AA119" t="s">
        <v>762</v>
      </c>
      <c r="AC119" t="s">
        <v>762</v>
      </c>
      <c r="AE119" t="s">
        <v>762</v>
      </c>
      <c r="AG119" t="s">
        <v>762</v>
      </c>
    </row>
    <row r="120" spans="1:48" x14ac:dyDescent="0.35">
      <c r="AG120" t="s">
        <v>762</v>
      </c>
    </row>
    <row r="121" spans="1:48" x14ac:dyDescent="0.35">
      <c r="AG121" t="s">
        <v>762</v>
      </c>
    </row>
    <row r="122" spans="1:48" x14ac:dyDescent="0.35">
      <c r="AG122" t="s">
        <v>762</v>
      </c>
    </row>
    <row r="123" spans="1:48" x14ac:dyDescent="0.35">
      <c r="AG123" t="s">
        <v>762</v>
      </c>
    </row>
    <row r="124" spans="1:48" x14ac:dyDescent="0.35">
      <c r="AG124" t="s">
        <v>762</v>
      </c>
    </row>
    <row r="125" spans="1:48" x14ac:dyDescent="0.35">
      <c r="AG125" t="s">
        <v>762</v>
      </c>
    </row>
    <row r="126" spans="1:48" x14ac:dyDescent="0.35">
      <c r="AG126" t="s">
        <v>762</v>
      </c>
    </row>
    <row r="127" spans="1:48" x14ac:dyDescent="0.35">
      <c r="AG127" t="s">
        <v>762</v>
      </c>
    </row>
    <row r="128" spans="1:48" x14ac:dyDescent="0.35">
      <c r="AG128" t="s">
        <v>762</v>
      </c>
    </row>
    <row r="129" spans="33:33" x14ac:dyDescent="0.35">
      <c r="AG129" t="s">
        <v>762</v>
      </c>
    </row>
    <row r="130" spans="33:33" x14ac:dyDescent="0.35">
      <c r="AG130" t="s">
        <v>762</v>
      </c>
    </row>
    <row r="131" spans="33:33" x14ac:dyDescent="0.35">
      <c r="AG131" t="s">
        <v>762</v>
      </c>
    </row>
    <row r="132" spans="33:33" x14ac:dyDescent="0.35">
      <c r="AG132" t="s">
        <v>762</v>
      </c>
    </row>
    <row r="133" spans="33:33" x14ac:dyDescent="0.35">
      <c r="AG133" t="s">
        <v>762</v>
      </c>
    </row>
    <row r="134" spans="33:33" x14ac:dyDescent="0.35">
      <c r="AG134" t="s">
        <v>762</v>
      </c>
    </row>
    <row r="135" spans="33:33" x14ac:dyDescent="0.35">
      <c r="AG135" t="s">
        <v>762</v>
      </c>
    </row>
    <row r="136" spans="33:33" x14ac:dyDescent="0.35">
      <c r="AG136" t="s">
        <v>762</v>
      </c>
    </row>
    <row r="137" spans="33:33" x14ac:dyDescent="0.35">
      <c r="AG137" t="s">
        <v>762</v>
      </c>
    </row>
    <row r="138" spans="33:33" x14ac:dyDescent="0.35">
      <c r="AG138" t="s">
        <v>762</v>
      </c>
    </row>
    <row r="139" spans="33:33" x14ac:dyDescent="0.35">
      <c r="AG139" t="s">
        <v>762</v>
      </c>
    </row>
    <row r="140" spans="33:33" x14ac:dyDescent="0.35">
      <c r="AG140" t="s">
        <v>762</v>
      </c>
    </row>
    <row r="141" spans="33:33" x14ac:dyDescent="0.35">
      <c r="AG141" t="s">
        <v>762</v>
      </c>
    </row>
    <row r="142" spans="33:33" x14ac:dyDescent="0.35">
      <c r="AG142" t="s">
        <v>762</v>
      </c>
    </row>
    <row r="143" spans="33:33" x14ac:dyDescent="0.35">
      <c r="AG143" t="s">
        <v>762</v>
      </c>
    </row>
    <row r="144" spans="33:33" x14ac:dyDescent="0.35">
      <c r="AG144" t="s">
        <v>762</v>
      </c>
    </row>
    <row r="145" spans="33:33" x14ac:dyDescent="0.35">
      <c r="AG145" t="s">
        <v>762</v>
      </c>
    </row>
    <row r="146" spans="33:33" x14ac:dyDescent="0.35">
      <c r="AG146" t="s">
        <v>762</v>
      </c>
    </row>
    <row r="147" spans="33:33" x14ac:dyDescent="0.35">
      <c r="AG147" t="s">
        <v>762</v>
      </c>
    </row>
    <row r="148" spans="33:33" x14ac:dyDescent="0.35">
      <c r="AG148" t="s">
        <v>762</v>
      </c>
    </row>
    <row r="149" spans="33:33" x14ac:dyDescent="0.35">
      <c r="AG149" t="s">
        <v>762</v>
      </c>
    </row>
    <row r="150" spans="33:33" x14ac:dyDescent="0.35">
      <c r="AG150" t="s">
        <v>762</v>
      </c>
    </row>
    <row r="151" spans="33:33" x14ac:dyDescent="0.35">
      <c r="AG151" t="s">
        <v>762</v>
      </c>
    </row>
    <row r="152" spans="33:33" x14ac:dyDescent="0.35">
      <c r="AG152" t="s">
        <v>762</v>
      </c>
    </row>
    <row r="153" spans="33:33" x14ac:dyDescent="0.35">
      <c r="AG153" t="s">
        <v>762</v>
      </c>
    </row>
    <row r="154" spans="33:33" x14ac:dyDescent="0.35">
      <c r="AG154" t="s">
        <v>762</v>
      </c>
    </row>
    <row r="155" spans="33:33" x14ac:dyDescent="0.35">
      <c r="AG155" t="s">
        <v>762</v>
      </c>
    </row>
    <row r="156" spans="33:33" x14ac:dyDescent="0.35">
      <c r="AG156" t="s">
        <v>762</v>
      </c>
    </row>
    <row r="157" spans="33:33" x14ac:dyDescent="0.35">
      <c r="AG157" t="s">
        <v>762</v>
      </c>
    </row>
    <row r="158" spans="33:33" x14ac:dyDescent="0.35">
      <c r="AG158" t="s">
        <v>762</v>
      </c>
    </row>
    <row r="159" spans="33:33" x14ac:dyDescent="0.35">
      <c r="AG159" t="s">
        <v>762</v>
      </c>
    </row>
    <row r="160" spans="33:33" x14ac:dyDescent="0.35">
      <c r="AG160" t="s">
        <v>762</v>
      </c>
    </row>
    <row r="161" spans="33:33" x14ac:dyDescent="0.35">
      <c r="AG161" t="s">
        <v>762</v>
      </c>
    </row>
    <row r="162" spans="33:33" x14ac:dyDescent="0.35">
      <c r="AG162" t="s">
        <v>762</v>
      </c>
    </row>
    <row r="163" spans="33:33" x14ac:dyDescent="0.35">
      <c r="AG163" t="s">
        <v>762</v>
      </c>
    </row>
    <row r="164" spans="33:33" x14ac:dyDescent="0.35">
      <c r="AG164" t="s">
        <v>762</v>
      </c>
    </row>
    <row r="165" spans="33:33" x14ac:dyDescent="0.35">
      <c r="AG165" t="s">
        <v>762</v>
      </c>
    </row>
    <row r="166" spans="33:33" x14ac:dyDescent="0.35">
      <c r="AG166" t="s">
        <v>762</v>
      </c>
    </row>
    <row r="167" spans="33:33" x14ac:dyDescent="0.35">
      <c r="AG167" t="s">
        <v>762</v>
      </c>
    </row>
    <row r="168" spans="33:33" x14ac:dyDescent="0.35">
      <c r="AG168" t="s">
        <v>762</v>
      </c>
    </row>
    <row r="169" spans="33:33" x14ac:dyDescent="0.35">
      <c r="AG169" t="s">
        <v>762</v>
      </c>
    </row>
    <row r="170" spans="33:33" x14ac:dyDescent="0.35">
      <c r="AG170" t="s">
        <v>762</v>
      </c>
    </row>
    <row r="171" spans="33:33" x14ac:dyDescent="0.35">
      <c r="AG171" t="s">
        <v>762</v>
      </c>
    </row>
    <row r="172" spans="33:33" x14ac:dyDescent="0.35">
      <c r="AG172" t="s">
        <v>762</v>
      </c>
    </row>
    <row r="173" spans="33:33" x14ac:dyDescent="0.35">
      <c r="AG173" t="s">
        <v>762</v>
      </c>
    </row>
    <row r="174" spans="33:33" x14ac:dyDescent="0.35">
      <c r="AG174" t="s">
        <v>762</v>
      </c>
    </row>
    <row r="175" spans="33:33" x14ac:dyDescent="0.35">
      <c r="AG175" t="s">
        <v>762</v>
      </c>
    </row>
    <row r="176" spans="33:33" x14ac:dyDescent="0.35">
      <c r="AG176" t="s">
        <v>762</v>
      </c>
    </row>
    <row r="177" spans="33:33" x14ac:dyDescent="0.35">
      <c r="AG177" t="s">
        <v>762</v>
      </c>
    </row>
    <row r="178" spans="33:33" x14ac:dyDescent="0.35">
      <c r="AG178" t="s">
        <v>762</v>
      </c>
    </row>
    <row r="179" spans="33:33" x14ac:dyDescent="0.35">
      <c r="AG179" t="s">
        <v>762</v>
      </c>
    </row>
    <row r="180" spans="33:33" x14ac:dyDescent="0.35">
      <c r="AG180" t="s">
        <v>762</v>
      </c>
    </row>
    <row r="181" spans="33:33" x14ac:dyDescent="0.35">
      <c r="AG181" t="s">
        <v>762</v>
      </c>
    </row>
    <row r="182" spans="33:33" x14ac:dyDescent="0.35">
      <c r="AG182" t="s">
        <v>762</v>
      </c>
    </row>
    <row r="183" spans="33:33" x14ac:dyDescent="0.35">
      <c r="AG183" t="s">
        <v>762</v>
      </c>
    </row>
    <row r="184" spans="33:33" x14ac:dyDescent="0.35">
      <c r="AG184" t="s">
        <v>762</v>
      </c>
    </row>
    <row r="185" spans="33:33" x14ac:dyDescent="0.35">
      <c r="AG185" t="s">
        <v>762</v>
      </c>
    </row>
    <row r="186" spans="33:33" x14ac:dyDescent="0.35">
      <c r="AG186" t="s">
        <v>762</v>
      </c>
    </row>
    <row r="187" spans="33:33" x14ac:dyDescent="0.35">
      <c r="AG187" t="s">
        <v>762</v>
      </c>
    </row>
    <row r="188" spans="33:33" x14ac:dyDescent="0.35">
      <c r="AG188" t="s">
        <v>762</v>
      </c>
    </row>
    <row r="189" spans="33:33" x14ac:dyDescent="0.35">
      <c r="AG189" t="s">
        <v>762</v>
      </c>
    </row>
    <row r="190" spans="33:33" x14ac:dyDescent="0.35">
      <c r="AG190" t="s">
        <v>762</v>
      </c>
    </row>
    <row r="191" spans="33:33" x14ac:dyDescent="0.35">
      <c r="AG191" t="s">
        <v>762</v>
      </c>
    </row>
    <row r="192" spans="33:33" x14ac:dyDescent="0.35">
      <c r="AG192" t="s">
        <v>762</v>
      </c>
    </row>
    <row r="193" spans="33:33" x14ac:dyDescent="0.35">
      <c r="AG193" t="s">
        <v>762</v>
      </c>
    </row>
    <row r="194" spans="33:33" x14ac:dyDescent="0.35">
      <c r="AG194" t="s">
        <v>762</v>
      </c>
    </row>
    <row r="195" spans="33:33" x14ac:dyDescent="0.35">
      <c r="AG195" t="s">
        <v>762</v>
      </c>
    </row>
    <row r="196" spans="33:33" x14ac:dyDescent="0.35">
      <c r="AG196" t="s">
        <v>762</v>
      </c>
    </row>
    <row r="197" spans="33:33" x14ac:dyDescent="0.35">
      <c r="AG197" t="s">
        <v>762</v>
      </c>
    </row>
    <row r="198" spans="33:33" x14ac:dyDescent="0.35">
      <c r="AG198" t="s">
        <v>762</v>
      </c>
    </row>
    <row r="199" spans="33:33" x14ac:dyDescent="0.35">
      <c r="AG199" t="s">
        <v>762</v>
      </c>
    </row>
    <row r="200" spans="33:33" x14ac:dyDescent="0.35">
      <c r="AG200" t="s">
        <v>762</v>
      </c>
    </row>
    <row r="201" spans="33:33" x14ac:dyDescent="0.35">
      <c r="AG201" t="s">
        <v>762</v>
      </c>
    </row>
    <row r="202" spans="33:33" x14ac:dyDescent="0.35">
      <c r="AG202" t="s">
        <v>762</v>
      </c>
    </row>
    <row r="203" spans="33:33" x14ac:dyDescent="0.35">
      <c r="AG203" t="s">
        <v>762</v>
      </c>
    </row>
    <row r="204" spans="33:33" x14ac:dyDescent="0.35">
      <c r="AG204" t="s">
        <v>762</v>
      </c>
    </row>
    <row r="205" spans="33:33" x14ac:dyDescent="0.35">
      <c r="AG205" t="s">
        <v>762</v>
      </c>
    </row>
    <row r="206" spans="33:33" x14ac:dyDescent="0.35">
      <c r="AG206" t="s">
        <v>762</v>
      </c>
    </row>
    <row r="207" spans="33:33" x14ac:dyDescent="0.35">
      <c r="AG207" t="s">
        <v>762</v>
      </c>
    </row>
    <row r="208" spans="33:33" x14ac:dyDescent="0.35">
      <c r="AG208" t="s">
        <v>762</v>
      </c>
    </row>
    <row r="209" spans="33:33" x14ac:dyDescent="0.35">
      <c r="AG209" t="s">
        <v>762</v>
      </c>
    </row>
    <row r="210" spans="33:33" x14ac:dyDescent="0.35">
      <c r="AG210" t="s">
        <v>762</v>
      </c>
    </row>
    <row r="211" spans="33:33" x14ac:dyDescent="0.35">
      <c r="AG211" t="s">
        <v>762</v>
      </c>
    </row>
    <row r="212" spans="33:33" x14ac:dyDescent="0.35">
      <c r="AG212" t="s">
        <v>762</v>
      </c>
    </row>
    <row r="213" spans="33:33" x14ac:dyDescent="0.35">
      <c r="AG213" t="s">
        <v>762</v>
      </c>
    </row>
    <row r="214" spans="33:33" x14ac:dyDescent="0.35">
      <c r="AG214" t="s">
        <v>762</v>
      </c>
    </row>
    <row r="215" spans="33:33" x14ac:dyDescent="0.35">
      <c r="AG215" t="s">
        <v>762</v>
      </c>
    </row>
    <row r="216" spans="33:33" x14ac:dyDescent="0.35">
      <c r="AG216" t="s">
        <v>762</v>
      </c>
    </row>
    <row r="217" spans="33:33" x14ac:dyDescent="0.35">
      <c r="AG217" t="s">
        <v>762</v>
      </c>
    </row>
    <row r="218" spans="33:33" x14ac:dyDescent="0.35">
      <c r="AG218" t="s">
        <v>762</v>
      </c>
    </row>
    <row r="219" spans="33:33" x14ac:dyDescent="0.35">
      <c r="AG219" t="s">
        <v>762</v>
      </c>
    </row>
    <row r="220" spans="33:33" x14ac:dyDescent="0.35">
      <c r="AG220" t="s">
        <v>762</v>
      </c>
    </row>
    <row r="221" spans="33:33" x14ac:dyDescent="0.35">
      <c r="AG221" t="s">
        <v>762</v>
      </c>
    </row>
    <row r="222" spans="33:33" x14ac:dyDescent="0.35">
      <c r="AG222" t="s">
        <v>762</v>
      </c>
    </row>
    <row r="223" spans="33:33" x14ac:dyDescent="0.35">
      <c r="AG223" t="s">
        <v>762</v>
      </c>
    </row>
    <row r="224" spans="33:33" x14ac:dyDescent="0.35">
      <c r="AG224" t="s">
        <v>762</v>
      </c>
    </row>
    <row r="225" spans="33:33" x14ac:dyDescent="0.35">
      <c r="AG225" t="s">
        <v>762</v>
      </c>
    </row>
    <row r="226" spans="33:33" x14ac:dyDescent="0.35">
      <c r="AG226" t="s">
        <v>762</v>
      </c>
    </row>
    <row r="227" spans="33:33" x14ac:dyDescent="0.35">
      <c r="AG227" t="s">
        <v>762</v>
      </c>
    </row>
    <row r="228" spans="33:33" x14ac:dyDescent="0.35">
      <c r="AG228" t="s">
        <v>762</v>
      </c>
    </row>
    <row r="229" spans="33:33" x14ac:dyDescent="0.35">
      <c r="AG229" t="s">
        <v>762</v>
      </c>
    </row>
    <row r="230" spans="33:33" x14ac:dyDescent="0.35">
      <c r="AG230" t="s">
        <v>762</v>
      </c>
    </row>
    <row r="231" spans="33:33" x14ac:dyDescent="0.35">
      <c r="AG231" t="s">
        <v>762</v>
      </c>
    </row>
    <row r="232" spans="33:33" x14ac:dyDescent="0.35">
      <c r="AG232" t="s">
        <v>762</v>
      </c>
    </row>
    <row r="233" spans="33:33" x14ac:dyDescent="0.35">
      <c r="AG233" t="s">
        <v>762</v>
      </c>
    </row>
    <row r="234" spans="33:33" x14ac:dyDescent="0.35">
      <c r="AG234" t="s">
        <v>762</v>
      </c>
    </row>
    <row r="235" spans="33:33" x14ac:dyDescent="0.35">
      <c r="AG235" t="s">
        <v>762</v>
      </c>
    </row>
    <row r="236" spans="33:33" x14ac:dyDescent="0.35">
      <c r="AG236" t="s">
        <v>762</v>
      </c>
    </row>
    <row r="237" spans="33:33" x14ac:dyDescent="0.35">
      <c r="AG237" t="s">
        <v>762</v>
      </c>
    </row>
    <row r="238" spans="33:33" x14ac:dyDescent="0.35">
      <c r="AG238" t="s">
        <v>762</v>
      </c>
    </row>
    <row r="239" spans="33:33" x14ac:dyDescent="0.35">
      <c r="AG239" t="s">
        <v>762</v>
      </c>
    </row>
  </sheetData>
  <autoFilter ref="A1:AG239" xr:uid="{D2B85B57-2478-4C88-859C-C2E0461BE782}"/>
  <sortState xmlns:xlrd2="http://schemas.microsoft.com/office/spreadsheetml/2017/richdata2" ref="A2:AI239">
    <sortCondition ref="C1:C2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E4150-662A-443D-AFE5-77937BAE4549}">
  <dimension ref="A1:BD105"/>
  <sheetViews>
    <sheetView tabSelected="1" zoomScaleNormal="85" workbookViewId="0">
      <pane xSplit="3" topLeftCell="Q1" activePane="topRight" state="frozen"/>
      <selection pane="topRight" activeCell="V1" sqref="V1"/>
    </sheetView>
  </sheetViews>
  <sheetFormatPr defaultRowHeight="14.5" x14ac:dyDescent="0.35"/>
  <cols>
    <col min="1" max="1" width="26.1796875" bestFit="1" customWidth="1"/>
    <col min="2" max="3" width="28.7265625" customWidth="1"/>
    <col min="4" max="4" width="9.6328125" bestFit="1" customWidth="1"/>
    <col min="8" max="14" width="12.6328125" customWidth="1"/>
    <col min="15" max="19" width="27.81640625" customWidth="1"/>
    <col min="20" max="20" width="15.6328125" bestFit="1" customWidth="1"/>
    <col min="21" max="23" width="15.6328125" customWidth="1"/>
    <col min="24" max="24" width="27.90625" bestFit="1" customWidth="1"/>
    <col min="25" max="25" width="28.7265625" bestFit="1" customWidth="1"/>
    <col min="26" max="26" width="13.90625" bestFit="1" customWidth="1"/>
    <col min="27" max="27" width="14" bestFit="1" customWidth="1"/>
    <col min="28" max="28" width="6.26953125" bestFit="1" customWidth="1"/>
    <col min="29" max="29" width="14" bestFit="1" customWidth="1"/>
    <col min="30" max="30" width="6.26953125" bestFit="1" customWidth="1"/>
    <col min="31" max="31" width="14" bestFit="1" customWidth="1"/>
    <col min="32" max="32" width="6.26953125" bestFit="1" customWidth="1"/>
    <col min="33" max="33" width="14" bestFit="1" customWidth="1"/>
    <col min="56" max="56" width="17.36328125" bestFit="1" customWidth="1"/>
  </cols>
  <sheetData>
    <row r="1" spans="1:56" x14ac:dyDescent="0.35">
      <c r="A1" t="s">
        <v>129</v>
      </c>
      <c r="B1" t="s">
        <v>792</v>
      </c>
      <c r="C1" t="s">
        <v>791</v>
      </c>
      <c r="D1" t="s">
        <v>152</v>
      </c>
      <c r="E1" t="s">
        <v>798</v>
      </c>
      <c r="F1" t="s">
        <v>797</v>
      </c>
      <c r="G1" t="s">
        <v>1</v>
      </c>
      <c r="H1" t="s">
        <v>130</v>
      </c>
      <c r="I1" t="s">
        <v>794</v>
      </c>
      <c r="J1" t="s">
        <v>801</v>
      </c>
      <c r="K1" t="s">
        <v>802</v>
      </c>
      <c r="L1" t="s">
        <v>805</v>
      </c>
      <c r="M1" t="s">
        <v>803</v>
      </c>
      <c r="N1" t="s">
        <v>804</v>
      </c>
      <c r="O1" t="s">
        <v>172</v>
      </c>
      <c r="P1" t="s">
        <v>173</v>
      </c>
      <c r="Q1" t="s">
        <v>174</v>
      </c>
      <c r="R1" t="s">
        <v>175</v>
      </c>
      <c r="S1" t="s">
        <v>168</v>
      </c>
      <c r="T1" t="s">
        <v>7</v>
      </c>
      <c r="U1" t="s">
        <v>793</v>
      </c>
      <c r="V1" t="s">
        <v>796</v>
      </c>
      <c r="W1" t="s">
        <v>795</v>
      </c>
      <c r="X1" t="s">
        <v>3</v>
      </c>
      <c r="Y1" t="s">
        <v>2</v>
      </c>
      <c r="Z1" t="s">
        <v>169</v>
      </c>
      <c r="AA1" t="s">
        <v>170</v>
      </c>
      <c r="AB1" t="s">
        <v>525</v>
      </c>
      <c r="AC1" t="s">
        <v>170</v>
      </c>
      <c r="AD1" t="s">
        <v>525</v>
      </c>
      <c r="AE1" t="s">
        <v>170</v>
      </c>
      <c r="AF1" t="s">
        <v>525</v>
      </c>
      <c r="AG1" t="s">
        <v>170</v>
      </c>
      <c r="AH1" t="s">
        <v>525</v>
      </c>
      <c r="AI1" t="s">
        <v>170</v>
      </c>
      <c r="AJ1" t="s">
        <v>525</v>
      </c>
      <c r="AK1" t="s">
        <v>170</v>
      </c>
      <c r="AL1" t="s">
        <v>525</v>
      </c>
      <c r="AM1" t="s">
        <v>170</v>
      </c>
      <c r="AN1" t="s">
        <v>525</v>
      </c>
      <c r="AO1" t="s">
        <v>170</v>
      </c>
      <c r="AP1" t="s">
        <v>525</v>
      </c>
      <c r="AQ1" t="s">
        <v>782</v>
      </c>
      <c r="AR1" t="s">
        <v>181</v>
      </c>
      <c r="AS1" t="s">
        <v>525</v>
      </c>
      <c r="AT1" t="s">
        <v>181</v>
      </c>
      <c r="AU1" t="s">
        <v>525</v>
      </c>
      <c r="AV1" t="s">
        <v>181</v>
      </c>
      <c r="AW1" t="s">
        <v>525</v>
      </c>
      <c r="AX1" t="s">
        <v>181</v>
      </c>
      <c r="AY1" t="s">
        <v>525</v>
      </c>
      <c r="AZ1" t="s">
        <v>181</v>
      </c>
      <c r="BA1" t="s">
        <v>525</v>
      </c>
      <c r="BB1" t="s">
        <v>181</v>
      </c>
      <c r="BC1" t="s">
        <v>525</v>
      </c>
      <c r="BD1" t="s">
        <v>783</v>
      </c>
    </row>
    <row r="2" spans="1:56" x14ac:dyDescent="0.35">
      <c r="A2" t="s">
        <v>78</v>
      </c>
      <c r="B2">
        <v>1</v>
      </c>
      <c r="C2">
        <v>1</v>
      </c>
      <c r="D2">
        <v>2006</v>
      </c>
      <c r="E2" t="s">
        <v>29</v>
      </c>
      <c r="F2" t="s">
        <v>14</v>
      </c>
      <c r="G2" t="s">
        <v>10</v>
      </c>
      <c r="H2" t="s">
        <v>10</v>
      </c>
      <c r="I2">
        <f t="shared" ref="I2:I10" si="0">IF(H2="B", 1, 0)</f>
        <v>0</v>
      </c>
      <c r="J2">
        <f>SUMIF(A$2:A2,A2, O$2:O2)</f>
        <v>297</v>
      </c>
      <c r="K2">
        <f>SUMIF(A$2:A2, A2, P$2:P2)</f>
        <v>125</v>
      </c>
      <c r="L2">
        <f>SUMIF(A$2:A2, A2, Q$2:Q2)</f>
        <v>74</v>
      </c>
      <c r="M2">
        <f>SUMIF(A$2:A2, A2, R$2:R2)</f>
        <v>98</v>
      </c>
      <c r="N2">
        <f>K2*3+L2</f>
        <v>449</v>
      </c>
      <c r="O2">
        <f t="shared" ref="O2:O8" si="1">P2+Q2+R2</f>
        <v>297</v>
      </c>
      <c r="P2">
        <f>20+18+17+16+11-5+11+11+12+4+10</f>
        <v>125</v>
      </c>
      <c r="Q2">
        <f>5+8+6+5+4+9+7+11+6+13</f>
        <v>74</v>
      </c>
      <c r="R2">
        <f>13+6+9+3+5+10+12+9+22+9</f>
        <v>98</v>
      </c>
      <c r="S2">
        <f t="shared" ref="S2:S10" si="2">P2*3 + Q2</f>
        <v>449</v>
      </c>
      <c r="T2">
        <v>1</v>
      </c>
      <c r="U2">
        <v>8</v>
      </c>
      <c r="V2">
        <v>17</v>
      </c>
      <c r="W2">
        <v>4</v>
      </c>
      <c r="X2">
        <v>7</v>
      </c>
      <c r="Y2">
        <v>4</v>
      </c>
      <c r="Z2" t="b">
        <v>0</v>
      </c>
      <c r="AA2" t="s">
        <v>179</v>
      </c>
      <c r="AB2">
        <f>IFERROR(INDEX('List of Leagues'!E:E, MATCH(AA2, 'List of Leagues'!F:F, 0)), 0)</f>
        <v>0</v>
      </c>
      <c r="AC2" t="s">
        <v>762</v>
      </c>
      <c r="AD2">
        <f>IFERROR(INDEX('List of Leagues'!E:E, MATCH(AC2, 'List of Leagues'!F:F, 0)), 0)</f>
        <v>0</v>
      </c>
      <c r="AE2" t="s">
        <v>773</v>
      </c>
      <c r="AF2">
        <f>IFERROR(INDEX('List of Leagues'!E:E, MATCH(AE2, 'List of Leagues'!F:F, 0)), 0)</f>
        <v>0</v>
      </c>
      <c r="AG2" t="s">
        <v>762</v>
      </c>
      <c r="AH2">
        <f>IFERROR(INDEX('List of Leagues'!E:E, MATCH(AG2, 'List of Leagues'!F:F, 0)), 0)</f>
        <v>0</v>
      </c>
      <c r="AI2" t="s">
        <v>762</v>
      </c>
      <c r="AJ2">
        <f>IFERROR(INDEX('List of Leagues'!E:E, MATCH(AI2, 'List of Leagues'!F:F, 0)), 0)</f>
        <v>0</v>
      </c>
      <c r="AK2" t="s">
        <v>762</v>
      </c>
      <c r="AL2">
        <f>IFERROR(INDEX('List of Leagues'!E:E, MATCH(AK2, 'List of Leagues'!F:F, 0)), 0)</f>
        <v>0</v>
      </c>
      <c r="AM2" t="s">
        <v>762</v>
      </c>
      <c r="AN2">
        <f>IFERROR(INDEX('List of Leagues'!E:E, MATCH(AM2, 'List of Leagues'!F:F, 0)), 0)</f>
        <v>0</v>
      </c>
      <c r="AO2" t="s">
        <v>762</v>
      </c>
      <c r="AP2">
        <f>IFERROR(INDEX('List of Leagues'!E:E, MATCH(AO2, 'List of Leagues'!F:F, 0)), 0)</f>
        <v>0</v>
      </c>
      <c r="AQ2">
        <f t="shared" ref="AQ2:AQ33" si="3">AVERAGE(AB2, AD2, AF2, AH2, AJ2, AL2, AN2, AP2)</f>
        <v>0</v>
      </c>
      <c r="AR2" t="s">
        <v>184</v>
      </c>
      <c r="AS2">
        <f>IFERROR(INDEX('List of Leagues'!$E:$E, MATCH(AR2, 'List of Leagues'!$F:$F, 0)), 0)</f>
        <v>93.8</v>
      </c>
      <c r="AT2" t="s">
        <v>197</v>
      </c>
      <c r="AU2">
        <f>IFERROR(INDEX('List of Leagues'!$E:$E, MATCH(AT2, 'List of Leagues'!$F:$F, 0)), 0)</f>
        <v>78.400000000000006</v>
      </c>
      <c r="AV2" t="s">
        <v>762</v>
      </c>
      <c r="AW2">
        <f>IFERROR(INDEX('List of Leagues'!$E:$E, MATCH(AV2, 'List of Leagues'!$F:$F, 0)), 0)</f>
        <v>0</v>
      </c>
      <c r="AX2" t="s">
        <v>762</v>
      </c>
      <c r="AY2">
        <f>IFERROR(INDEX('List of Leagues'!$E:$E, MATCH(AX2, 'List of Leagues'!$F:$F, 0)), 0)</f>
        <v>0</v>
      </c>
      <c r="AZ2" t="s">
        <v>762</v>
      </c>
      <c r="BA2">
        <f>IFERROR(INDEX('List of Leagues'!$E:$E, MATCH(AZ2, 'List of Leagues'!$F:$F, 0)), 0)</f>
        <v>0</v>
      </c>
      <c r="BB2" t="s">
        <v>762</v>
      </c>
      <c r="BC2">
        <f>IFERROR(INDEX('List of Leagues'!$E:$E, MATCH(BB2, 'List of Leagues'!$F:$F, 0)), 0)</f>
        <v>0</v>
      </c>
      <c r="BD2">
        <f t="shared" ref="BD2:BD33" si="4">AVERAGE(AS2, AU2, AW2, AY2, BA2, BC2)</f>
        <v>28.7</v>
      </c>
    </row>
    <row r="3" spans="1:56" x14ac:dyDescent="0.35">
      <c r="A3" t="s">
        <v>25</v>
      </c>
      <c r="B3">
        <v>1</v>
      </c>
      <c r="C3">
        <v>1</v>
      </c>
      <c r="D3">
        <v>2006</v>
      </c>
      <c r="E3" t="s">
        <v>23</v>
      </c>
      <c r="F3" t="s">
        <v>26</v>
      </c>
      <c r="G3" t="s">
        <v>10</v>
      </c>
      <c r="H3" t="s">
        <v>10</v>
      </c>
      <c r="I3">
        <f t="shared" si="0"/>
        <v>0</v>
      </c>
      <c r="J3">
        <f>SUMIF(A$2:A3,A3, O$2:O3)</f>
        <v>263</v>
      </c>
      <c r="K3">
        <f>SUMIF(A$2:A3, A3, P$2:P3)</f>
        <v>112</v>
      </c>
      <c r="L3">
        <f>SUMIF(A$2:A3, A3, Q$2:Q3)</f>
        <v>65</v>
      </c>
      <c r="M3">
        <f>SUMIF(A$2:A3, A3, R$2:R3)</f>
        <v>86</v>
      </c>
      <c r="N3">
        <f t="shared" ref="N3:N66" si="5">K3*3+L3</f>
        <v>401</v>
      </c>
      <c r="O3">
        <f t="shared" si="1"/>
        <v>263</v>
      </c>
      <c r="P3">
        <f>17+14+14+16+9+8+8+9+17</f>
        <v>112</v>
      </c>
      <c r="Q3">
        <f>8+8+5+3+9+7+9+10+6</f>
        <v>65</v>
      </c>
      <c r="R3">
        <f>11+10+7+9+12+4+15+11+7</f>
        <v>86</v>
      </c>
      <c r="S3">
        <f t="shared" si="2"/>
        <v>401</v>
      </c>
      <c r="T3">
        <v>2</v>
      </c>
      <c r="U3">
        <v>34</v>
      </c>
      <c r="V3">
        <v>34</v>
      </c>
      <c r="W3">
        <v>11</v>
      </c>
      <c r="X3">
        <v>32</v>
      </c>
      <c r="Y3">
        <v>11</v>
      </c>
      <c r="Z3" t="b">
        <v>0</v>
      </c>
      <c r="AA3" t="s">
        <v>179</v>
      </c>
      <c r="AB3">
        <f>IFERROR(INDEX('List of Leagues'!E:E, MATCH(AA3, 'List of Leagues'!F:F, 0)), 0)</f>
        <v>0</v>
      </c>
      <c r="AC3" t="s">
        <v>762</v>
      </c>
      <c r="AD3">
        <f>IFERROR(INDEX('List of Leagues'!E:E, MATCH(AC3, 'List of Leagues'!F:F, 0)), 0)</f>
        <v>0</v>
      </c>
      <c r="AE3" t="s">
        <v>762</v>
      </c>
      <c r="AF3">
        <f>IFERROR(INDEX('List of Leagues'!E:E, MATCH(AE3, 'List of Leagues'!F:F, 0)), 0)</f>
        <v>0</v>
      </c>
      <c r="AG3" t="s">
        <v>762</v>
      </c>
      <c r="AH3">
        <f>IFERROR(INDEX('List of Leagues'!E:E, MATCH(AG3, 'List of Leagues'!F:F, 0)), 0)</f>
        <v>0</v>
      </c>
      <c r="AI3" t="s">
        <v>762</v>
      </c>
      <c r="AJ3">
        <f>IFERROR(INDEX('List of Leagues'!E:E, MATCH(AI3, 'List of Leagues'!F:F, 0)), 0)</f>
        <v>0</v>
      </c>
      <c r="AK3" t="s">
        <v>762</v>
      </c>
      <c r="AL3">
        <f>IFERROR(INDEX('List of Leagues'!E:E, MATCH(AK3, 'List of Leagues'!F:F, 0)), 0)</f>
        <v>0</v>
      </c>
      <c r="AM3" t="s">
        <v>762</v>
      </c>
      <c r="AN3">
        <f>IFERROR(INDEX('List of Leagues'!E:E, MATCH(AM3, 'List of Leagues'!F:F, 0)), 0)</f>
        <v>0</v>
      </c>
      <c r="AO3" t="s">
        <v>762</v>
      </c>
      <c r="AP3">
        <f>IFERROR(INDEX('List of Leagues'!E:E, MATCH(AO3, 'List of Leagues'!F:F, 0)), 0)</f>
        <v>0</v>
      </c>
      <c r="AQ3">
        <f t="shared" si="3"/>
        <v>0</v>
      </c>
      <c r="AR3" t="s">
        <v>177</v>
      </c>
      <c r="AS3">
        <f>IFERROR(INDEX('List of Leagues'!$E:$E, MATCH(AR3, 'List of Leagues'!$F:$F, 0)), 0)</f>
        <v>0</v>
      </c>
      <c r="AT3" t="s">
        <v>762</v>
      </c>
      <c r="AU3">
        <f>IFERROR(INDEX('List of Leagues'!$E:$E, MATCH(AT3, 'List of Leagues'!$F:$F, 0)), 0)</f>
        <v>0</v>
      </c>
      <c r="AV3" t="s">
        <v>762</v>
      </c>
      <c r="AW3">
        <f>IFERROR(INDEX('List of Leagues'!$E:$E, MATCH(AV3, 'List of Leagues'!$F:$F, 0)), 0)</f>
        <v>0</v>
      </c>
      <c r="AX3" t="s">
        <v>762</v>
      </c>
      <c r="AY3">
        <f>IFERROR(INDEX('List of Leagues'!$E:$E, MATCH(AX3, 'List of Leagues'!$F:$F, 0)), 0)</f>
        <v>0</v>
      </c>
      <c r="AZ3" t="s">
        <v>762</v>
      </c>
      <c r="BA3">
        <f>IFERROR(INDEX('List of Leagues'!$E:$E, MATCH(AZ3, 'List of Leagues'!$F:$F, 0)), 0)</f>
        <v>0</v>
      </c>
      <c r="BB3" t="s">
        <v>762</v>
      </c>
      <c r="BC3">
        <f>IFERROR(INDEX('List of Leagues'!$E:$E, MATCH(BB3, 'List of Leagues'!$F:$F, 0)), 0)</f>
        <v>0</v>
      </c>
      <c r="BD3">
        <f t="shared" si="4"/>
        <v>0</v>
      </c>
    </row>
    <row r="4" spans="1:56" x14ac:dyDescent="0.35">
      <c r="A4" t="s">
        <v>18</v>
      </c>
      <c r="B4">
        <v>1</v>
      </c>
      <c r="C4">
        <v>1</v>
      </c>
      <c r="D4">
        <v>2006</v>
      </c>
      <c r="E4" t="s">
        <v>14</v>
      </c>
      <c r="F4" t="s">
        <v>19</v>
      </c>
      <c r="G4" t="s">
        <v>10</v>
      </c>
      <c r="H4" t="s">
        <v>10</v>
      </c>
      <c r="I4">
        <f t="shared" si="0"/>
        <v>0</v>
      </c>
      <c r="J4">
        <f>SUMIF(A$2:A4,A4, O$2:O4)</f>
        <v>136</v>
      </c>
      <c r="K4">
        <f>SUMIF(A$2:A4, A4, P$2:P4)</f>
        <v>59</v>
      </c>
      <c r="L4">
        <f>SUMIF(A$2:A4, A4, Q$2:Q4)</f>
        <v>30</v>
      </c>
      <c r="M4">
        <f>SUMIF(A$2:A4, A4, R$2:R4)</f>
        <v>47</v>
      </c>
      <c r="N4">
        <f t="shared" si="5"/>
        <v>207</v>
      </c>
      <c r="O4">
        <f t="shared" si="1"/>
        <v>136</v>
      </c>
      <c r="P4">
        <f>13+14+14+9+9</f>
        <v>59</v>
      </c>
      <c r="Q4">
        <f>6+3+9+7+5</f>
        <v>30</v>
      </c>
      <c r="R4">
        <f>7+7+11+14+8</f>
        <v>47</v>
      </c>
      <c r="S4">
        <f t="shared" si="2"/>
        <v>207</v>
      </c>
      <c r="T4">
        <v>2</v>
      </c>
      <c r="U4">
        <v>7</v>
      </c>
      <c r="V4">
        <v>7</v>
      </c>
      <c r="W4">
        <v>3</v>
      </c>
      <c r="X4">
        <v>5</v>
      </c>
      <c r="Y4">
        <v>3</v>
      </c>
      <c r="Z4" t="b">
        <v>1</v>
      </c>
      <c r="AA4" t="s">
        <v>207</v>
      </c>
      <c r="AB4">
        <f>IFERROR(INDEX('List of Leagues'!E:E, MATCH(AA4, 'List of Leagues'!F:F, 0)), 0)</f>
        <v>66.5</v>
      </c>
      <c r="AC4" t="s">
        <v>762</v>
      </c>
      <c r="AD4">
        <f>IFERROR(INDEX('List of Leagues'!E:E, MATCH(AC4, 'List of Leagues'!F:F, 0)), 0)</f>
        <v>0</v>
      </c>
      <c r="AE4" t="s">
        <v>762</v>
      </c>
      <c r="AF4">
        <f>IFERROR(INDEX('List of Leagues'!E:E, MATCH(AE4, 'List of Leagues'!F:F, 0)), 0)</f>
        <v>0</v>
      </c>
      <c r="AG4" t="s">
        <v>762</v>
      </c>
      <c r="AH4">
        <f>IFERROR(INDEX('List of Leagues'!E:E, MATCH(AG4, 'List of Leagues'!F:F, 0)), 0)</f>
        <v>0</v>
      </c>
      <c r="AI4" t="s">
        <v>762</v>
      </c>
      <c r="AJ4">
        <f>IFERROR(INDEX('List of Leagues'!E:E, MATCH(AI4, 'List of Leagues'!F:F, 0)), 0)</f>
        <v>0</v>
      </c>
      <c r="AK4" t="s">
        <v>762</v>
      </c>
      <c r="AL4">
        <f>IFERROR(INDEX('List of Leagues'!E:E, MATCH(AK4, 'List of Leagues'!F:F, 0)), 0)</f>
        <v>0</v>
      </c>
      <c r="AM4" t="s">
        <v>762</v>
      </c>
      <c r="AN4">
        <f>IFERROR(INDEX('List of Leagues'!E:E, MATCH(AM4, 'List of Leagues'!F:F, 0)), 0)</f>
        <v>0</v>
      </c>
      <c r="AO4" t="s">
        <v>762</v>
      </c>
      <c r="AP4">
        <f>IFERROR(INDEX('List of Leagues'!E:E, MATCH(AO4, 'List of Leagues'!F:F, 0)), 0)</f>
        <v>0</v>
      </c>
      <c r="AQ4">
        <f t="shared" si="3"/>
        <v>8.3125</v>
      </c>
      <c r="AR4" t="s">
        <v>756</v>
      </c>
      <c r="AS4">
        <f>IFERROR(INDEX('List of Leagues'!$E:$E, MATCH(AR4, 'List of Leagues'!$F:$F, 0)), 0)</f>
        <v>76.8</v>
      </c>
      <c r="AT4" t="s">
        <v>761</v>
      </c>
      <c r="AU4">
        <f>IFERROR(INDEX('List of Leagues'!$E:$E, MATCH(AT4, 'List of Leagues'!$F:$F, 0)), 0)</f>
        <v>66.3</v>
      </c>
      <c r="AV4" t="s">
        <v>185</v>
      </c>
      <c r="AW4">
        <f>IFERROR(INDEX('List of Leagues'!$E:$E, MATCH(AV4, 'List of Leagues'!$F:$F, 0)), 0)</f>
        <v>75.400000000000006</v>
      </c>
      <c r="AX4" t="s">
        <v>187</v>
      </c>
      <c r="AY4">
        <f>IFERROR(INDEX('List of Leagues'!$E:$E, MATCH(AX4, 'List of Leagues'!$F:$F, 0)), 0)</f>
        <v>58.4</v>
      </c>
      <c r="AZ4" t="s">
        <v>762</v>
      </c>
      <c r="BA4">
        <f>IFERROR(INDEX('List of Leagues'!$E:$E, MATCH(AZ4, 'List of Leagues'!$F:$F, 0)), 0)</f>
        <v>0</v>
      </c>
      <c r="BB4" t="s">
        <v>762</v>
      </c>
      <c r="BC4">
        <f>IFERROR(INDEX('List of Leagues'!$E:$E, MATCH(BB4, 'List of Leagues'!$F:$F, 0)), 0)</f>
        <v>0</v>
      </c>
      <c r="BD4">
        <f t="shared" si="4"/>
        <v>46.15</v>
      </c>
    </row>
    <row r="5" spans="1:56" x14ac:dyDescent="0.35">
      <c r="A5" t="s">
        <v>69</v>
      </c>
      <c r="B5">
        <v>1</v>
      </c>
      <c r="C5">
        <v>1</v>
      </c>
      <c r="D5">
        <v>2006</v>
      </c>
      <c r="E5" t="s">
        <v>64</v>
      </c>
      <c r="F5" t="s">
        <v>19</v>
      </c>
      <c r="G5" t="s">
        <v>10</v>
      </c>
      <c r="H5" t="s">
        <v>10</v>
      </c>
      <c r="I5">
        <f t="shared" si="0"/>
        <v>0</v>
      </c>
      <c r="J5">
        <f>SUMIF(A$2:A5,A5, O$2:O5)</f>
        <v>336</v>
      </c>
      <c r="K5">
        <f>SUMIF(A$2:A5, A5, P$2:P5)</f>
        <v>125</v>
      </c>
      <c r="L5">
        <f>SUMIF(A$2:A5, A5, Q$2:Q5)</f>
        <v>107</v>
      </c>
      <c r="M5">
        <f>SUMIF(A$2:A5, A5, R$2:R5)</f>
        <v>104</v>
      </c>
      <c r="N5">
        <f t="shared" si="5"/>
        <v>482</v>
      </c>
      <c r="O5">
        <f t="shared" si="1"/>
        <v>336</v>
      </c>
      <c r="P5">
        <f>9+18+11+15+13+13+9+12+14+11</f>
        <v>125</v>
      </c>
      <c r="Q5">
        <f>11+10+13+7+12+9+6+13+11+9+6</f>
        <v>107</v>
      </c>
      <c r="R5">
        <f>10+4+8+8+5+8+15+9+9+11+17</f>
        <v>104</v>
      </c>
      <c r="S5">
        <f t="shared" si="2"/>
        <v>482</v>
      </c>
      <c r="T5">
        <v>9</v>
      </c>
      <c r="U5">
        <v>10</v>
      </c>
      <c r="V5">
        <v>10</v>
      </c>
      <c r="W5">
        <v>2</v>
      </c>
      <c r="X5">
        <v>1</v>
      </c>
      <c r="Y5">
        <v>2</v>
      </c>
      <c r="Z5" t="b">
        <v>1</v>
      </c>
      <c r="AA5" t="s">
        <v>751</v>
      </c>
      <c r="AB5">
        <f>IFERROR(INDEX('List of Leagues'!E:E, MATCH(AA5, 'List of Leagues'!F:F, 0)), 0)</f>
        <v>68.400000000000006</v>
      </c>
      <c r="AC5" t="s">
        <v>178</v>
      </c>
      <c r="AD5">
        <f>IFERROR(INDEX('List of Leagues'!E:E, MATCH(AC5, 'List of Leagues'!F:F, 0)), 0)</f>
        <v>69.3</v>
      </c>
      <c r="AE5" t="s">
        <v>763</v>
      </c>
      <c r="AF5">
        <f>IFERROR(INDEX('List of Leagues'!E:E, MATCH(AE5, 'List of Leagues'!F:F, 0)), 0)</f>
        <v>0</v>
      </c>
      <c r="AG5" t="s">
        <v>756</v>
      </c>
      <c r="AH5">
        <f>IFERROR(INDEX('List of Leagues'!E:E, MATCH(AG5, 'List of Leagues'!F:F, 0)), 0)</f>
        <v>76.8</v>
      </c>
      <c r="AI5" t="s">
        <v>762</v>
      </c>
      <c r="AJ5">
        <f>IFERROR(INDEX('List of Leagues'!E:E, MATCH(AI5, 'List of Leagues'!F:F, 0)), 0)</f>
        <v>0</v>
      </c>
      <c r="AK5" t="s">
        <v>762</v>
      </c>
      <c r="AL5">
        <f>IFERROR(INDEX('List of Leagues'!E:E, MATCH(AK5, 'List of Leagues'!F:F, 0)), 0)</f>
        <v>0</v>
      </c>
      <c r="AM5" t="s">
        <v>762</v>
      </c>
      <c r="AN5">
        <f>IFERROR(INDEX('List of Leagues'!E:E, MATCH(AM5, 'List of Leagues'!F:F, 0)), 0)</f>
        <v>0</v>
      </c>
      <c r="AO5" t="s">
        <v>762</v>
      </c>
      <c r="AP5">
        <f>IFERROR(INDEX('List of Leagues'!E:E, MATCH(AO5, 'List of Leagues'!F:F, 0)), 0)</f>
        <v>0</v>
      </c>
      <c r="AQ5">
        <f t="shared" si="3"/>
        <v>26.8125</v>
      </c>
      <c r="AR5" t="s">
        <v>202</v>
      </c>
      <c r="AS5">
        <f>IFERROR(INDEX('List of Leagues'!$E:$E, MATCH(AR5, 'List of Leagues'!$F:$F, 0)), 0)</f>
        <v>51</v>
      </c>
      <c r="AT5" t="s">
        <v>769</v>
      </c>
      <c r="AU5">
        <f>IFERROR(INDEX('List of Leagues'!$E:$E, MATCH(AT5, 'List of Leagues'!$F:$F, 0)), 0)</f>
        <v>74.2</v>
      </c>
      <c r="AV5" t="s">
        <v>211</v>
      </c>
      <c r="AW5">
        <f>IFERROR(INDEX('List of Leagues'!$E:$E, MATCH(AV5, 'List of Leagues'!$F:$F, 0)), 0)</f>
        <v>60.5</v>
      </c>
      <c r="AX5" t="s">
        <v>779</v>
      </c>
      <c r="AY5">
        <f>IFERROR(INDEX('List of Leagues'!$E:$E, MATCH(AX5, 'List of Leagues'!$F:$F, 0)), 0)</f>
        <v>77.099999999999994</v>
      </c>
      <c r="AZ5" t="s">
        <v>534</v>
      </c>
      <c r="BA5">
        <f>IFERROR(INDEX('List of Leagues'!$E:$E, MATCH(AZ5, 'List of Leagues'!$F:$F, 0)), 0)</f>
        <v>80.7</v>
      </c>
      <c r="BB5" t="s">
        <v>780</v>
      </c>
      <c r="BC5">
        <f>IFERROR(INDEX('List of Leagues'!$E:$E, MATCH(BB5, 'List of Leagues'!$F:$F, 0)), 0)</f>
        <v>55.9</v>
      </c>
      <c r="BD5">
        <f t="shared" si="4"/>
        <v>66.566666666666649</v>
      </c>
    </row>
    <row r="6" spans="1:56" x14ac:dyDescent="0.35">
      <c r="A6" t="s">
        <v>15</v>
      </c>
      <c r="B6">
        <v>1</v>
      </c>
      <c r="C6">
        <v>1</v>
      </c>
      <c r="D6">
        <v>2006</v>
      </c>
      <c r="E6" t="s">
        <v>17</v>
      </c>
      <c r="F6" t="s">
        <v>14</v>
      </c>
      <c r="G6" t="s">
        <v>10</v>
      </c>
      <c r="H6" t="s">
        <v>10</v>
      </c>
      <c r="I6">
        <f t="shared" si="0"/>
        <v>0</v>
      </c>
      <c r="J6">
        <f>SUMIF(A$2:A6,A6, O$2:O6)</f>
        <v>143</v>
      </c>
      <c r="K6">
        <f>SUMIF(A$2:A6, A6, P$2:P6)</f>
        <v>67</v>
      </c>
      <c r="L6">
        <f>SUMIF(A$2:A6, A6, Q$2:Q6)</f>
        <v>33</v>
      </c>
      <c r="M6">
        <f>SUMIF(A$2:A6, A6, R$2:R6)</f>
        <v>43</v>
      </c>
      <c r="N6">
        <f t="shared" si="5"/>
        <v>234</v>
      </c>
      <c r="O6">
        <f t="shared" si="1"/>
        <v>143</v>
      </c>
      <c r="P6">
        <f>21-4+15+24-7+12+6</f>
        <v>67</v>
      </c>
      <c r="Q6">
        <f>4+7+10+7+5</f>
        <v>33</v>
      </c>
      <c r="R6">
        <f>11+13-3+8-3+11+6</f>
        <v>43</v>
      </c>
      <c r="S6">
        <f t="shared" si="2"/>
        <v>234</v>
      </c>
      <c r="T6">
        <v>1</v>
      </c>
      <c r="U6">
        <v>37</v>
      </c>
      <c r="V6">
        <f>7+18+2+8+2</f>
        <v>37</v>
      </c>
      <c r="W6">
        <v>8</v>
      </c>
      <c r="X6">
        <v>36</v>
      </c>
      <c r="Y6">
        <v>8</v>
      </c>
      <c r="Z6" t="b">
        <v>1</v>
      </c>
      <c r="AA6" t="s">
        <v>176</v>
      </c>
      <c r="AB6">
        <f>IFERROR(INDEX('List of Leagues'!E:E, MATCH(AA6, 'List of Leagues'!F:F, 0)), 0)</f>
        <v>0</v>
      </c>
      <c r="AC6" t="s">
        <v>762</v>
      </c>
      <c r="AD6">
        <f>IFERROR(INDEX('List of Leagues'!E:E, MATCH(AC6, 'List of Leagues'!F:F, 0)), 0)</f>
        <v>0</v>
      </c>
      <c r="AE6" t="s">
        <v>762</v>
      </c>
      <c r="AF6">
        <f>IFERROR(INDEX('List of Leagues'!E:E, MATCH(AE6, 'List of Leagues'!F:F, 0)), 0)</f>
        <v>0</v>
      </c>
      <c r="AG6" t="s">
        <v>762</v>
      </c>
      <c r="AH6">
        <f>IFERROR(INDEX('List of Leagues'!E:E, MATCH(AG6, 'List of Leagues'!F:F, 0)), 0)</f>
        <v>0</v>
      </c>
      <c r="AI6" t="s">
        <v>762</v>
      </c>
      <c r="AJ6">
        <f>IFERROR(INDEX('List of Leagues'!E:E, MATCH(AI6, 'List of Leagues'!F:F, 0)), 0)</f>
        <v>0</v>
      </c>
      <c r="AK6" t="s">
        <v>762</v>
      </c>
      <c r="AL6">
        <f>IFERROR(INDEX('List of Leagues'!E:E, MATCH(AK6, 'List of Leagues'!F:F, 0)), 0)</f>
        <v>0</v>
      </c>
      <c r="AM6" t="s">
        <v>762</v>
      </c>
      <c r="AN6">
        <f>IFERROR(INDEX('List of Leagues'!E:E, MATCH(AM6, 'List of Leagues'!F:F, 0)), 0)</f>
        <v>0</v>
      </c>
      <c r="AO6" t="s">
        <v>762</v>
      </c>
      <c r="AP6">
        <f>IFERROR(INDEX('List of Leagues'!E:E, MATCH(AO6, 'List of Leagues'!F:F, 0)), 0)</f>
        <v>0</v>
      </c>
      <c r="AQ6">
        <f t="shared" si="3"/>
        <v>0</v>
      </c>
      <c r="AR6" t="s">
        <v>185</v>
      </c>
      <c r="AS6">
        <f>IFERROR(INDEX('List of Leagues'!$E:$E, MATCH(AR6, 'List of Leagues'!$F:$F, 0)), 0)</f>
        <v>75.400000000000006</v>
      </c>
      <c r="AT6" t="s">
        <v>187</v>
      </c>
      <c r="AU6">
        <f>IFERROR(INDEX('List of Leagues'!$E:$E, MATCH(AT6, 'List of Leagues'!$F:$F, 0)), 0)</f>
        <v>58.4</v>
      </c>
      <c r="AV6" t="s">
        <v>762</v>
      </c>
      <c r="AW6">
        <f>IFERROR(INDEX('List of Leagues'!$E:$E, MATCH(AV6, 'List of Leagues'!$F:$F, 0)), 0)</f>
        <v>0</v>
      </c>
      <c r="AX6" t="s">
        <v>762</v>
      </c>
      <c r="AY6">
        <f>IFERROR(INDEX('List of Leagues'!$E:$E, MATCH(AX6, 'List of Leagues'!$F:$F, 0)), 0)</f>
        <v>0</v>
      </c>
      <c r="AZ6" t="s">
        <v>762</v>
      </c>
      <c r="BA6">
        <f>IFERROR(INDEX('List of Leagues'!$E:$E, MATCH(AZ6, 'List of Leagues'!$F:$F, 0)), 0)</f>
        <v>0</v>
      </c>
      <c r="BB6" t="s">
        <v>762</v>
      </c>
      <c r="BC6">
        <f>IFERROR(INDEX('List of Leagues'!$E:$E, MATCH(BB6, 'List of Leagues'!$F:$F, 0)), 0)</f>
        <v>0</v>
      </c>
      <c r="BD6">
        <f t="shared" si="4"/>
        <v>22.3</v>
      </c>
    </row>
    <row r="7" spans="1:56" x14ac:dyDescent="0.35">
      <c r="A7" t="s">
        <v>16</v>
      </c>
      <c r="B7">
        <v>1</v>
      </c>
      <c r="C7">
        <v>0</v>
      </c>
      <c r="D7">
        <v>2007</v>
      </c>
      <c r="E7" t="s">
        <v>5</v>
      </c>
      <c r="F7" t="s">
        <v>17</v>
      </c>
      <c r="G7" t="s">
        <v>6</v>
      </c>
      <c r="H7" t="s">
        <v>132</v>
      </c>
      <c r="I7">
        <f t="shared" si="0"/>
        <v>0</v>
      </c>
      <c r="J7">
        <f>SUMIF(A$2:A7,A7, O$2:O7)</f>
        <v>15</v>
      </c>
      <c r="K7">
        <f>SUMIF(A$2:A7, A7, P$2:P7)</f>
        <v>6</v>
      </c>
      <c r="L7">
        <f>SUMIF(A$2:A7, A7, Q$2:Q7)</f>
        <v>3</v>
      </c>
      <c r="M7">
        <f>SUMIF(A$2:A7, A7, R$2:R7)</f>
        <v>6</v>
      </c>
      <c r="N7">
        <f t="shared" si="5"/>
        <v>21</v>
      </c>
      <c r="O7">
        <f t="shared" si="1"/>
        <v>15</v>
      </c>
      <c r="P7">
        <v>6</v>
      </c>
      <c r="Q7">
        <v>3</v>
      </c>
      <c r="R7">
        <v>6</v>
      </c>
      <c r="S7">
        <f t="shared" si="2"/>
        <v>21</v>
      </c>
      <c r="T7">
        <v>1</v>
      </c>
      <c r="U7">
        <v>2</v>
      </c>
      <c r="V7">
        <v>2</v>
      </c>
      <c r="W7">
        <v>8</v>
      </c>
      <c r="X7">
        <v>1</v>
      </c>
      <c r="Y7">
        <v>8</v>
      </c>
      <c r="Z7" t="b">
        <v>1</v>
      </c>
      <c r="AA7" t="s">
        <v>536</v>
      </c>
      <c r="AB7">
        <f>IFERROR(INDEX('List of Leagues'!E:E, MATCH(AA7, 'List of Leagues'!F:F, 0)), 0)</f>
        <v>78.099999999999994</v>
      </c>
      <c r="AC7" t="s">
        <v>530</v>
      </c>
      <c r="AD7">
        <f>IFERROR(INDEX('List of Leagues'!E:E, MATCH(AC7, 'List of Leagues'!F:F, 0)), 0)</f>
        <v>86.2</v>
      </c>
      <c r="AE7" t="s">
        <v>202</v>
      </c>
      <c r="AF7">
        <f>IFERROR(INDEX('List of Leagues'!E:E, MATCH(AE7, 'List of Leagues'!F:F, 0)), 0)</f>
        <v>51</v>
      </c>
      <c r="AG7" t="s">
        <v>762</v>
      </c>
      <c r="AH7">
        <f>IFERROR(INDEX('List of Leagues'!E:E, MATCH(AG7, 'List of Leagues'!F:F, 0)), 0)</f>
        <v>0</v>
      </c>
      <c r="AI7" t="s">
        <v>762</v>
      </c>
      <c r="AJ7">
        <f>IFERROR(INDEX('List of Leagues'!E:E, MATCH(AI7, 'List of Leagues'!F:F, 0)), 0)</f>
        <v>0</v>
      </c>
      <c r="AK7" t="s">
        <v>762</v>
      </c>
      <c r="AL7">
        <f>IFERROR(INDEX('List of Leagues'!E:E, MATCH(AK7, 'List of Leagues'!F:F, 0)), 0)</f>
        <v>0</v>
      </c>
      <c r="AM7" t="s">
        <v>762</v>
      </c>
      <c r="AN7">
        <f>IFERROR(INDEX('List of Leagues'!E:E, MATCH(AM7, 'List of Leagues'!F:F, 0)), 0)</f>
        <v>0</v>
      </c>
      <c r="AO7" t="s">
        <v>762</v>
      </c>
      <c r="AP7">
        <f>IFERROR(INDEX('List of Leagues'!E:E, MATCH(AO7, 'List of Leagues'!F:F, 0)), 0)</f>
        <v>0</v>
      </c>
      <c r="AQ7">
        <f t="shared" si="3"/>
        <v>26.912500000000001</v>
      </c>
      <c r="AR7" t="s">
        <v>177</v>
      </c>
      <c r="AS7">
        <f>IFERROR(INDEX('List of Leagues'!$E:$E, MATCH(AR7, 'List of Leagues'!$F:$F, 0)), 0)</f>
        <v>0</v>
      </c>
      <c r="AT7" t="s">
        <v>762</v>
      </c>
      <c r="AU7">
        <f>IFERROR(INDEX('List of Leagues'!$E:$E, MATCH(AT7, 'List of Leagues'!$F:$F, 0)), 0)</f>
        <v>0</v>
      </c>
      <c r="AV7" t="s">
        <v>762</v>
      </c>
      <c r="AW7">
        <f>IFERROR(INDEX('List of Leagues'!$E:$E, MATCH(AV7, 'List of Leagues'!$F:$F, 0)), 0)</f>
        <v>0</v>
      </c>
      <c r="AX7" t="s">
        <v>762</v>
      </c>
      <c r="AY7">
        <f>IFERROR(INDEX('List of Leagues'!$E:$E, MATCH(AX7, 'List of Leagues'!$F:$F, 0)), 0)</f>
        <v>0</v>
      </c>
      <c r="AZ7" t="s">
        <v>762</v>
      </c>
      <c r="BA7">
        <f>IFERROR(INDEX('List of Leagues'!$E:$E, MATCH(AZ7, 'List of Leagues'!$F:$F, 0)), 0)</f>
        <v>0</v>
      </c>
      <c r="BB7" t="s">
        <v>762</v>
      </c>
      <c r="BC7">
        <f>IFERROR(INDEX('List of Leagues'!$E:$E, MATCH(BB7, 'List of Leagues'!$F:$F, 0)), 0)</f>
        <v>0</v>
      </c>
      <c r="BD7">
        <f t="shared" si="4"/>
        <v>0</v>
      </c>
    </row>
    <row r="8" spans="1:56" x14ac:dyDescent="0.35">
      <c r="A8" t="s">
        <v>34</v>
      </c>
      <c r="B8">
        <v>1</v>
      </c>
      <c r="C8">
        <v>0</v>
      </c>
      <c r="D8">
        <v>2007</v>
      </c>
      <c r="E8" t="s">
        <v>29</v>
      </c>
      <c r="F8" t="s">
        <v>21</v>
      </c>
      <c r="G8" t="s">
        <v>10</v>
      </c>
      <c r="H8" t="s">
        <v>10</v>
      </c>
      <c r="I8">
        <f t="shared" si="0"/>
        <v>0</v>
      </c>
      <c r="J8">
        <f>SUMIF(A$2:A8,A8, O$2:O8)</f>
        <v>90</v>
      </c>
      <c r="K8">
        <f>SUMIF(A$2:A8, A8, P$2:P8)</f>
        <v>40</v>
      </c>
      <c r="L8">
        <f>SUMIF(A$2:A8, A8, Q$2:Q8)</f>
        <v>21</v>
      </c>
      <c r="M8">
        <f>SUMIF(A$2:A8, A8, R$2:R8)</f>
        <v>29</v>
      </c>
      <c r="N8">
        <f t="shared" si="5"/>
        <v>141</v>
      </c>
      <c r="O8">
        <f t="shared" si="1"/>
        <v>90</v>
      </c>
      <c r="P8">
        <f>15+12+13</f>
        <v>40</v>
      </c>
      <c r="Q8">
        <f>8+7+6</f>
        <v>21</v>
      </c>
      <c r="R8">
        <f>7+11+11</f>
        <v>29</v>
      </c>
      <c r="S8">
        <f t="shared" si="2"/>
        <v>141</v>
      </c>
      <c r="T8">
        <v>3</v>
      </c>
      <c r="U8">
        <v>3</v>
      </c>
      <c r="V8">
        <v>3</v>
      </c>
      <c r="W8">
        <v>1</v>
      </c>
      <c r="X8">
        <v>0</v>
      </c>
      <c r="Y8">
        <v>1</v>
      </c>
      <c r="Z8" t="b">
        <v>1</v>
      </c>
      <c r="AA8" t="s">
        <v>202</v>
      </c>
      <c r="AB8">
        <f>IFERROR(INDEX('List of Leagues'!E:E, MATCH(AA8, 'List of Leagues'!F:F, 0)), 0)</f>
        <v>51</v>
      </c>
      <c r="AC8" t="s">
        <v>551</v>
      </c>
      <c r="AD8">
        <f>IFERROR(INDEX('List of Leagues'!E:E, MATCH(AC8, 'List of Leagues'!F:F, 0)), 0)</f>
        <v>70.900000000000006</v>
      </c>
      <c r="AE8" t="s">
        <v>178</v>
      </c>
      <c r="AF8">
        <f>IFERROR(INDEX('List of Leagues'!E:E, MATCH(AE8, 'List of Leagues'!F:F, 0)), 0)</f>
        <v>69.3</v>
      </c>
      <c r="AG8" t="s">
        <v>178</v>
      </c>
      <c r="AH8">
        <f>IFERROR(INDEX('List of Leagues'!E:E, MATCH(AG8, 'List of Leagues'!F:F, 0)), 0)</f>
        <v>69.3</v>
      </c>
      <c r="AI8" t="s">
        <v>184</v>
      </c>
      <c r="AJ8">
        <f>IFERROR(INDEX('List of Leagues'!E:E, MATCH(AI8, 'List of Leagues'!F:F, 0)), 0)</f>
        <v>93.8</v>
      </c>
      <c r="AK8" t="s">
        <v>185</v>
      </c>
      <c r="AL8">
        <f>IFERROR(INDEX('List of Leagues'!E:E, MATCH(AK8, 'List of Leagues'!F:F, 0)), 0)</f>
        <v>75.400000000000006</v>
      </c>
      <c r="AM8" t="s">
        <v>756</v>
      </c>
      <c r="AN8">
        <f>IFERROR(INDEX('List of Leagues'!E:E, MATCH(AM8, 'List of Leagues'!F:F, 0)), 0)</f>
        <v>76.8</v>
      </c>
      <c r="AO8" t="s">
        <v>762</v>
      </c>
      <c r="AP8">
        <f>IFERROR(INDEX('List of Leagues'!E:E, MATCH(AO8, 'List of Leagues'!F:F, 0)), 0)</f>
        <v>0</v>
      </c>
      <c r="AQ8">
        <f t="shared" si="3"/>
        <v>63.312500000000007</v>
      </c>
      <c r="AR8" t="s">
        <v>201</v>
      </c>
      <c r="AS8">
        <f>IFERROR(INDEX('List of Leagues'!$E:$E, MATCH(AR8, 'List of Leagues'!$F:$F, 0)), 0)</f>
        <v>80</v>
      </c>
      <c r="AT8" t="s">
        <v>762</v>
      </c>
      <c r="AU8">
        <f>IFERROR(INDEX('List of Leagues'!$E:$E, MATCH(AT8, 'List of Leagues'!$F:$F, 0)), 0)</f>
        <v>0</v>
      </c>
      <c r="AV8" t="s">
        <v>762</v>
      </c>
      <c r="AW8">
        <f>IFERROR(INDEX('List of Leagues'!$E:$E, MATCH(AV8, 'List of Leagues'!$F:$F, 0)), 0)</f>
        <v>0</v>
      </c>
      <c r="AX8" t="s">
        <v>762</v>
      </c>
      <c r="AY8">
        <f>IFERROR(INDEX('List of Leagues'!$E:$E, MATCH(AX8, 'List of Leagues'!$F:$F, 0)), 0)</f>
        <v>0</v>
      </c>
      <c r="AZ8" t="s">
        <v>762</v>
      </c>
      <c r="BA8">
        <f>IFERROR(INDEX('List of Leagues'!$E:$E, MATCH(AZ8, 'List of Leagues'!$F:$F, 0)), 0)</f>
        <v>0</v>
      </c>
      <c r="BB8" t="s">
        <v>762</v>
      </c>
      <c r="BC8">
        <f>IFERROR(INDEX('List of Leagues'!$E:$E, MATCH(BB8, 'List of Leagues'!$F:$F, 0)), 0)</f>
        <v>0</v>
      </c>
      <c r="BD8">
        <f t="shared" si="4"/>
        <v>13.333333333333334</v>
      </c>
    </row>
    <row r="9" spans="1:56" x14ac:dyDescent="0.35">
      <c r="A9" t="s">
        <v>30</v>
      </c>
      <c r="B9">
        <v>1</v>
      </c>
      <c r="C9">
        <v>0</v>
      </c>
      <c r="D9">
        <v>2007</v>
      </c>
      <c r="E9" t="s">
        <v>800</v>
      </c>
      <c r="F9" t="s">
        <v>198</v>
      </c>
      <c r="G9" t="s">
        <v>10</v>
      </c>
      <c r="H9" t="s">
        <v>10</v>
      </c>
      <c r="I9">
        <f t="shared" si="0"/>
        <v>0</v>
      </c>
      <c r="J9">
        <f>SUMIF(A$2:A9,A9, O$2:O9)</f>
        <v>90</v>
      </c>
      <c r="K9">
        <f>SUMIF(A$2:A9, A9, P$2:P9)</f>
        <v>27</v>
      </c>
      <c r="L9">
        <f>SUMIF(A$2:A9, A9, Q$2:Q9)</f>
        <v>22</v>
      </c>
      <c r="M9">
        <f>SUMIF(A$2:A9, A9, R$2:R9)</f>
        <v>29</v>
      </c>
      <c r="N9">
        <f t="shared" si="5"/>
        <v>103</v>
      </c>
      <c r="O9">
        <f>P8+Q8+R8</f>
        <v>90</v>
      </c>
      <c r="P9">
        <f>11+11+8-3</f>
        <v>27</v>
      </c>
      <c r="Q9">
        <f>7+9+9-3</f>
        <v>22</v>
      </c>
      <c r="R9">
        <f>12+10+13-6</f>
        <v>29</v>
      </c>
      <c r="S9">
        <f t="shared" si="2"/>
        <v>103</v>
      </c>
      <c r="T9">
        <v>3</v>
      </c>
      <c r="U9">
        <v>3</v>
      </c>
      <c r="V9">
        <v>3</v>
      </c>
      <c r="W9">
        <v>5</v>
      </c>
      <c r="X9">
        <v>0</v>
      </c>
      <c r="Y9">
        <v>5</v>
      </c>
      <c r="Z9" t="b">
        <v>1</v>
      </c>
      <c r="AA9" t="s">
        <v>724</v>
      </c>
      <c r="AB9">
        <f>IFERROR(INDEX('List of Leagues'!E:E, MATCH(AA9, 'List of Leagues'!F:F, 0)), 0)</f>
        <v>51.7</v>
      </c>
      <c r="AC9" t="s">
        <v>763</v>
      </c>
      <c r="AD9">
        <f>IFERROR(INDEX('List of Leagues'!E:E, MATCH(AC9, 'List of Leagues'!F:F, 0)), 0)</f>
        <v>0</v>
      </c>
      <c r="AE9" t="s">
        <v>178</v>
      </c>
      <c r="AF9">
        <f>IFERROR(INDEX('List of Leagues'!E:E, MATCH(AE9, 'List of Leagues'!F:F, 0)), 0)</f>
        <v>69.3</v>
      </c>
      <c r="AG9" t="s">
        <v>656</v>
      </c>
      <c r="AH9">
        <f>IFERROR(INDEX('List of Leagues'!E:E, MATCH(AG9, 'List of Leagues'!F:F, 0)), 0)</f>
        <v>72.2</v>
      </c>
      <c r="AI9" t="s">
        <v>187</v>
      </c>
      <c r="AJ9">
        <f>IFERROR(INDEX('List of Leagues'!E:E, MATCH(AI9, 'List of Leagues'!F:F, 0)), 0)</f>
        <v>58.4</v>
      </c>
      <c r="AK9" t="s">
        <v>756</v>
      </c>
      <c r="AL9">
        <f>IFERROR(INDEX('List of Leagues'!E:E, MATCH(AK9, 'List of Leagues'!F:F, 0)), 0)</f>
        <v>76.8</v>
      </c>
      <c r="AM9" t="s">
        <v>762</v>
      </c>
      <c r="AN9">
        <f>IFERROR(INDEX('List of Leagues'!E:E, MATCH(AM9, 'List of Leagues'!F:F, 0)), 0)</f>
        <v>0</v>
      </c>
      <c r="AO9" t="s">
        <v>762</v>
      </c>
      <c r="AP9">
        <f>IFERROR(INDEX('List of Leagues'!E:E, MATCH(AO9, 'List of Leagues'!F:F, 0)), 0)</f>
        <v>0</v>
      </c>
      <c r="AQ9">
        <f t="shared" si="3"/>
        <v>41.05</v>
      </c>
      <c r="AR9" t="s">
        <v>171</v>
      </c>
      <c r="AS9">
        <f>IFERROR(INDEX('List of Leagues'!$E:$E, MATCH(AR9, 'List of Leagues'!$F:$F, 0)), 0)</f>
        <v>0</v>
      </c>
      <c r="AT9" t="s">
        <v>761</v>
      </c>
      <c r="AU9">
        <f>IFERROR(INDEX('List of Leagues'!$E:$E, MATCH(AT9, 'List of Leagues'!$F:$F, 0)), 0)</f>
        <v>66.3</v>
      </c>
      <c r="AV9" t="s">
        <v>178</v>
      </c>
      <c r="AW9">
        <f>IFERROR(INDEX('List of Leagues'!$E:$E, MATCH(AV9, 'List of Leagues'!$F:$F, 0)), 0)</f>
        <v>69.3</v>
      </c>
      <c r="AX9" t="s">
        <v>756</v>
      </c>
      <c r="AY9">
        <f>IFERROR(INDEX('List of Leagues'!$E:$E, MATCH(AX9, 'List of Leagues'!$F:$F, 0)), 0)</f>
        <v>76.8</v>
      </c>
      <c r="AZ9" t="s">
        <v>762</v>
      </c>
      <c r="BA9">
        <f>IFERROR(INDEX('List of Leagues'!$E:$E, MATCH(AZ9, 'List of Leagues'!$F:$F, 0)), 0)</f>
        <v>0</v>
      </c>
      <c r="BB9" t="s">
        <v>762</v>
      </c>
      <c r="BC9">
        <f>IFERROR(INDEX('List of Leagues'!$E:$E, MATCH(BB9, 'List of Leagues'!$F:$F, 0)), 0)</f>
        <v>0</v>
      </c>
      <c r="BD9">
        <f t="shared" si="4"/>
        <v>35.4</v>
      </c>
    </row>
    <row r="10" spans="1:56" x14ac:dyDescent="0.35">
      <c r="A10" t="s">
        <v>66</v>
      </c>
      <c r="B10">
        <v>1</v>
      </c>
      <c r="C10">
        <v>0</v>
      </c>
      <c r="D10">
        <v>2007</v>
      </c>
      <c r="E10" t="s">
        <v>60</v>
      </c>
      <c r="F10" t="s">
        <v>195</v>
      </c>
      <c r="G10" t="s">
        <v>10</v>
      </c>
      <c r="H10" t="s">
        <v>10</v>
      </c>
      <c r="I10">
        <f t="shared" si="0"/>
        <v>0</v>
      </c>
      <c r="J10">
        <f>SUMIF(A$2:A10,A10, O$2:O10)</f>
        <v>78</v>
      </c>
      <c r="K10">
        <f>SUMIF(A$2:A10, A10, P$2:P10)</f>
        <v>90</v>
      </c>
      <c r="L10">
        <f>SUMIF(A$2:A10, A10, Q$2:Q10)</f>
        <v>57</v>
      </c>
      <c r="M10">
        <f>SUMIF(A$2:A10, A10, R$2:R10)</f>
        <v>70</v>
      </c>
      <c r="N10">
        <f t="shared" si="5"/>
        <v>327</v>
      </c>
      <c r="O10">
        <f>P9+Q9+R9</f>
        <v>78</v>
      </c>
      <c r="P10">
        <f>6+10+11+15+15+17+16</f>
        <v>90</v>
      </c>
      <c r="Q10">
        <f>7+10+7+11+8+6+8</f>
        <v>57</v>
      </c>
      <c r="R10">
        <f>13+10+12+3+11+11+10</f>
        <v>70</v>
      </c>
      <c r="S10">
        <f t="shared" si="2"/>
        <v>327</v>
      </c>
      <c r="T10">
        <v>6</v>
      </c>
      <c r="U10">
        <v>6</v>
      </c>
      <c r="V10">
        <v>6</v>
      </c>
      <c r="W10">
        <v>0</v>
      </c>
      <c r="X10">
        <v>0</v>
      </c>
      <c r="Y10">
        <v>0</v>
      </c>
      <c r="Z10" t="b">
        <v>1</v>
      </c>
      <c r="AA10" t="s">
        <v>552</v>
      </c>
      <c r="AB10">
        <f>IFERROR(INDEX('List of Leagues'!E:E, MATCH(AA10, 'List of Leagues'!F:F, 0)), 0)</f>
        <v>58.4</v>
      </c>
      <c r="AC10" t="s">
        <v>178</v>
      </c>
      <c r="AD10">
        <f>IFERROR(INDEX('List of Leagues'!E:E, MATCH(AC10, 'List of Leagues'!F:F, 0)), 0)</f>
        <v>69.3</v>
      </c>
      <c r="AE10" t="s">
        <v>756</v>
      </c>
      <c r="AF10">
        <f>IFERROR(INDEX('List of Leagues'!E:E, MATCH(AE10, 'List of Leagues'!F:F, 0)), 0)</f>
        <v>76.8</v>
      </c>
      <c r="AG10" t="s">
        <v>762</v>
      </c>
      <c r="AH10">
        <f>IFERROR(INDEX('List of Leagues'!E:E, MATCH(AG10, 'List of Leagues'!F:F, 0)), 0)</f>
        <v>0</v>
      </c>
      <c r="AI10" t="s">
        <v>762</v>
      </c>
      <c r="AJ10">
        <f>IFERROR(INDEX('List of Leagues'!E:E, MATCH(AI10, 'List of Leagues'!F:F, 0)), 0)</f>
        <v>0</v>
      </c>
      <c r="AK10" t="s">
        <v>762</v>
      </c>
      <c r="AL10">
        <f>IFERROR(INDEX('List of Leagues'!E:E, MATCH(AK10, 'List of Leagues'!F:F, 0)), 0)</f>
        <v>0</v>
      </c>
      <c r="AM10" t="s">
        <v>762</v>
      </c>
      <c r="AN10">
        <f>IFERROR(INDEX('List of Leagues'!E:E, MATCH(AM10, 'List of Leagues'!F:F, 0)), 0)</f>
        <v>0</v>
      </c>
      <c r="AO10" t="s">
        <v>762</v>
      </c>
      <c r="AP10">
        <f>IFERROR(INDEX('List of Leagues'!E:E, MATCH(AO10, 'List of Leagues'!F:F, 0)), 0)</f>
        <v>0</v>
      </c>
      <c r="AQ10">
        <f t="shared" si="3"/>
        <v>25.5625</v>
      </c>
      <c r="AR10" t="s">
        <v>203</v>
      </c>
      <c r="AS10">
        <f>IFERROR(INDEX('List of Leagues'!$E:$E, MATCH(AR10, 'List of Leagues'!$F:$F, 0)), 0)</f>
        <v>76.8</v>
      </c>
      <c r="AT10" t="s">
        <v>762</v>
      </c>
      <c r="AU10">
        <f>IFERROR(INDEX('List of Leagues'!$E:$E, MATCH(AT10, 'List of Leagues'!$F:$F, 0)), 0)</f>
        <v>0</v>
      </c>
      <c r="AV10" t="s">
        <v>762</v>
      </c>
      <c r="AW10">
        <f>IFERROR(INDEX('List of Leagues'!$E:$E, MATCH(AV10, 'List of Leagues'!$F:$F, 0)), 0)</f>
        <v>0</v>
      </c>
      <c r="AX10" t="s">
        <v>762</v>
      </c>
      <c r="AY10">
        <f>IFERROR(INDEX('List of Leagues'!$E:$E, MATCH(AX10, 'List of Leagues'!$F:$F, 0)), 0)</f>
        <v>0</v>
      </c>
      <c r="AZ10" t="s">
        <v>762</v>
      </c>
      <c r="BA10">
        <f>IFERROR(INDEX('List of Leagues'!$E:$E, MATCH(AZ10, 'List of Leagues'!$F:$F, 0)), 0)</f>
        <v>0</v>
      </c>
      <c r="BB10" t="s">
        <v>762</v>
      </c>
      <c r="BC10">
        <f>IFERROR(INDEX('List of Leagues'!$E:$E, MATCH(BB10, 'List of Leagues'!$F:$F, 0)), 0)</f>
        <v>0</v>
      </c>
      <c r="BD10">
        <f t="shared" si="4"/>
        <v>12.799999999999999</v>
      </c>
    </row>
    <row r="11" spans="1:56" x14ac:dyDescent="0.35">
      <c r="A11" t="s">
        <v>15</v>
      </c>
      <c r="B11">
        <v>1</v>
      </c>
      <c r="C11">
        <v>1</v>
      </c>
      <c r="D11">
        <v>2008</v>
      </c>
      <c r="E11" t="s">
        <v>14</v>
      </c>
      <c r="F11" t="s">
        <v>197</v>
      </c>
      <c r="G11" t="s">
        <v>10</v>
      </c>
      <c r="H11" t="s">
        <v>10</v>
      </c>
      <c r="I11">
        <f t="shared" ref="I11:I42" si="6">IF(H11="B", 1, 0)</f>
        <v>0</v>
      </c>
      <c r="J11">
        <f>SUMIF(A$2:A11,A11, O$2:O11)</f>
        <v>408</v>
      </c>
      <c r="K11">
        <f>SUMIF(A$2:A11, A11, P$2:P11)</f>
        <v>192</v>
      </c>
      <c r="L11">
        <f>SUMIF(A$2:A11, A11, Q$2:Q11)</f>
        <v>103</v>
      </c>
      <c r="M11">
        <f>SUMIF(A$2:A11, A11, R$2:R11)</f>
        <v>113</v>
      </c>
      <c r="N11">
        <f t="shared" si="5"/>
        <v>679</v>
      </c>
      <c r="O11">
        <f>P11+Q11+R11</f>
        <v>265</v>
      </c>
      <c r="P11">
        <f>2+12+18+19+16+15+17+14+12</f>
        <v>125</v>
      </c>
      <c r="Q11">
        <f>3+12+5+10+6+8+10+16</f>
        <v>70</v>
      </c>
      <c r="R11">
        <f>5+6+7+5+12+11+7+11+6</f>
        <v>70</v>
      </c>
      <c r="S11">
        <f>P11*3 + Q11</f>
        <v>445</v>
      </c>
      <c r="T11">
        <v>8</v>
      </c>
      <c r="U11">
        <f t="shared" ref="U11:U22" si="7">X11+T11</f>
        <v>45</v>
      </c>
      <c r="V11">
        <v>45</v>
      </c>
      <c r="W11">
        <v>8</v>
      </c>
      <c r="X11">
        <f>7+18+2+8+2</f>
        <v>37</v>
      </c>
      <c r="Y11">
        <v>8</v>
      </c>
      <c r="Z11" t="b">
        <v>1</v>
      </c>
      <c r="AA11" t="s">
        <v>176</v>
      </c>
      <c r="AB11">
        <f>IFERROR(INDEX('List of Leagues'!E:E, MATCH(AA11, 'List of Leagues'!F:F, 0)), 0)</f>
        <v>0</v>
      </c>
      <c r="AC11" t="s">
        <v>762</v>
      </c>
      <c r="AD11">
        <f>IFERROR(INDEX('List of Leagues'!E:E, MATCH(AC11, 'List of Leagues'!F:F, 0)), 0)</f>
        <v>0</v>
      </c>
      <c r="AE11" t="s">
        <v>762</v>
      </c>
      <c r="AF11">
        <f>IFERROR(INDEX('List of Leagues'!E:E, MATCH(AE11, 'List of Leagues'!F:F, 0)), 0)</f>
        <v>0</v>
      </c>
      <c r="AG11" t="s">
        <v>762</v>
      </c>
      <c r="AH11">
        <f>IFERROR(INDEX('List of Leagues'!E:E, MATCH(AG11, 'List of Leagues'!F:F, 0)), 0)</f>
        <v>0</v>
      </c>
      <c r="AI11" t="s">
        <v>762</v>
      </c>
      <c r="AJ11">
        <f>IFERROR(INDEX('List of Leagues'!E:E, MATCH(AI11, 'List of Leagues'!F:F, 0)), 0)</f>
        <v>0</v>
      </c>
      <c r="AK11" t="s">
        <v>762</v>
      </c>
      <c r="AL11">
        <f>IFERROR(INDEX('List of Leagues'!E:E, MATCH(AK11, 'List of Leagues'!F:F, 0)), 0)</f>
        <v>0</v>
      </c>
      <c r="AM11" t="s">
        <v>762</v>
      </c>
      <c r="AN11">
        <f>IFERROR(INDEX('List of Leagues'!E:E, MATCH(AM11, 'List of Leagues'!F:F, 0)), 0)</f>
        <v>0</v>
      </c>
      <c r="AO11" t="s">
        <v>762</v>
      </c>
      <c r="AP11">
        <f>IFERROR(INDEX('List of Leagues'!E:E, MATCH(AO11, 'List of Leagues'!F:F, 0)), 0)</f>
        <v>0</v>
      </c>
      <c r="AQ11">
        <f t="shared" si="3"/>
        <v>0</v>
      </c>
      <c r="AR11" t="s">
        <v>185</v>
      </c>
      <c r="AS11">
        <f>IFERROR(INDEX('List of Leagues'!$E:$E, MATCH(AR11, 'List of Leagues'!$F:$F, 0)), 0)</f>
        <v>75.400000000000006</v>
      </c>
      <c r="AT11" t="s">
        <v>187</v>
      </c>
      <c r="AU11">
        <f>IFERROR(INDEX('List of Leagues'!$E:$E, MATCH(AT11, 'List of Leagues'!$F:$F, 0)), 0)</f>
        <v>58.4</v>
      </c>
      <c r="AV11" t="s">
        <v>762</v>
      </c>
      <c r="AW11">
        <f>IFERROR(INDEX('List of Leagues'!$E:$E, MATCH(AV11, 'List of Leagues'!$F:$F, 0)), 0)</f>
        <v>0</v>
      </c>
      <c r="AX11" t="s">
        <v>762</v>
      </c>
      <c r="AY11">
        <f>IFERROR(INDEX('List of Leagues'!$E:$E, MATCH(AX11, 'List of Leagues'!$F:$F, 0)), 0)</f>
        <v>0</v>
      </c>
      <c r="AZ11" t="s">
        <v>762</v>
      </c>
      <c r="BA11">
        <f>IFERROR(INDEX('List of Leagues'!$E:$E, MATCH(AZ11, 'List of Leagues'!$F:$F, 0)), 0)</f>
        <v>0</v>
      </c>
      <c r="BB11" t="s">
        <v>762</v>
      </c>
      <c r="BC11">
        <f>IFERROR(INDEX('List of Leagues'!$E:$E, MATCH(BB11, 'List of Leagues'!$F:$F, 0)), 0)</f>
        <v>0</v>
      </c>
      <c r="BD11">
        <f t="shared" si="4"/>
        <v>22.3</v>
      </c>
    </row>
    <row r="12" spans="1:56" x14ac:dyDescent="0.35">
      <c r="A12" t="s">
        <v>4</v>
      </c>
      <c r="B12">
        <v>0</v>
      </c>
      <c r="C12">
        <f>IF(COUNTIF($A$11:A12, A12) &gt; 1, 1, 0)</f>
        <v>0</v>
      </c>
      <c r="D12">
        <v>2008</v>
      </c>
      <c r="E12" t="s">
        <v>5</v>
      </c>
      <c r="F12" t="s">
        <v>799</v>
      </c>
      <c r="G12" t="s">
        <v>6</v>
      </c>
      <c r="H12" t="s">
        <v>131</v>
      </c>
      <c r="I12">
        <f t="shared" si="6"/>
        <v>1</v>
      </c>
      <c r="J12">
        <f>SUMIF(A$2:A12,A12, O$2:O12)</f>
        <v>60</v>
      </c>
      <c r="K12">
        <f>SUMIF(A$2:A12, A12, P$2:P12)</f>
        <v>24</v>
      </c>
      <c r="L12">
        <f>SUMIF(A$2:A12, A12, Q$2:Q12)</f>
        <v>19</v>
      </c>
      <c r="M12">
        <f>SUMIF(A$2:A12, A12, R$2:R12)</f>
        <v>17</v>
      </c>
      <c r="N12">
        <f t="shared" si="5"/>
        <v>91</v>
      </c>
      <c r="O12">
        <v>60</v>
      </c>
      <c r="P12">
        <v>24</v>
      </c>
      <c r="Q12">
        <v>19</v>
      </c>
      <c r="R12">
        <v>17</v>
      </c>
      <c r="S12">
        <v>91</v>
      </c>
      <c r="T12">
        <v>2</v>
      </c>
      <c r="U12">
        <f t="shared" si="7"/>
        <v>2</v>
      </c>
      <c r="V12">
        <v>2</v>
      </c>
      <c r="W12">
        <v>10</v>
      </c>
      <c r="X12">
        <v>0</v>
      </c>
      <c r="Y12">
        <v>10</v>
      </c>
      <c r="Z12" t="b">
        <v>1</v>
      </c>
      <c r="AA12" t="s">
        <v>750</v>
      </c>
      <c r="AB12">
        <f>IFERROR(INDEX('List of Leagues'!E:E, MATCH(AA12, 'List of Leagues'!F:F, 0)), 0)</f>
        <v>0</v>
      </c>
      <c r="AC12" t="s">
        <v>764</v>
      </c>
      <c r="AD12">
        <f>IFERROR(INDEX('List of Leagues'!E:E, MATCH(AC12, 'List of Leagues'!F:F, 0)), 0)</f>
        <v>0</v>
      </c>
      <c r="AE12" t="s">
        <v>537</v>
      </c>
      <c r="AF12">
        <f>IFERROR(INDEX('List of Leagues'!E:E, MATCH(AE12, 'List of Leagues'!F:F, 0)), 0)</f>
        <v>71</v>
      </c>
      <c r="AG12" t="s">
        <v>178</v>
      </c>
      <c r="AH12">
        <f>IFERROR(INDEX('List of Leagues'!E:E, MATCH(AG12, 'List of Leagues'!F:F, 0)), 0)</f>
        <v>69.3</v>
      </c>
      <c r="AI12" t="s">
        <v>762</v>
      </c>
      <c r="AJ12">
        <f>IFERROR(INDEX('List of Leagues'!E:E, MATCH(AI12, 'List of Leagues'!F:F, 0)), 0)</f>
        <v>0</v>
      </c>
      <c r="AK12" t="s">
        <v>762</v>
      </c>
      <c r="AL12">
        <f>IFERROR(INDEX('List of Leagues'!E:E, MATCH(AK12, 'List of Leagues'!F:F, 0)), 0)</f>
        <v>0</v>
      </c>
      <c r="AM12" t="s">
        <v>762</v>
      </c>
      <c r="AN12">
        <f>IFERROR(INDEX('List of Leagues'!E:E, MATCH(AM12, 'List of Leagues'!F:F, 0)), 0)</f>
        <v>0</v>
      </c>
      <c r="AO12" t="s">
        <v>762</v>
      </c>
      <c r="AP12">
        <f>IFERROR(INDEX('List of Leagues'!E:E, MATCH(AO12, 'List of Leagues'!F:F, 0)), 0)</f>
        <v>0</v>
      </c>
      <c r="AQ12">
        <f t="shared" si="3"/>
        <v>17.537500000000001</v>
      </c>
      <c r="AR12" t="s">
        <v>185</v>
      </c>
      <c r="AS12">
        <f>IFERROR(INDEX('List of Leagues'!$E:$E, MATCH(AR12, 'List of Leagues'!$F:$F, 0)), 0)</f>
        <v>75.400000000000006</v>
      </c>
      <c r="AT12" t="s">
        <v>187</v>
      </c>
      <c r="AU12">
        <f>IFERROR(INDEX('List of Leagues'!$E:$E, MATCH(AT12, 'List of Leagues'!$F:$F, 0)), 0)</f>
        <v>58.4</v>
      </c>
      <c r="AV12" t="s">
        <v>178</v>
      </c>
      <c r="AW12">
        <f>IFERROR(INDEX('List of Leagues'!$E:$E, MATCH(AV12, 'List of Leagues'!$F:$F, 0)), 0)</f>
        <v>69.3</v>
      </c>
      <c r="AX12" t="s">
        <v>762</v>
      </c>
      <c r="AY12">
        <f>IFERROR(INDEX('List of Leagues'!$E:$E, MATCH(AX12, 'List of Leagues'!$F:$F, 0)), 0)</f>
        <v>0</v>
      </c>
      <c r="AZ12" t="s">
        <v>762</v>
      </c>
      <c r="BA12">
        <f>IFERROR(INDEX('List of Leagues'!$E:$E, MATCH(AZ12, 'List of Leagues'!$F:$F, 0)), 0)</f>
        <v>0</v>
      </c>
      <c r="BB12" t="s">
        <v>762</v>
      </c>
      <c r="BC12">
        <f>IFERROR(INDEX('List of Leagues'!$E:$E, MATCH(BB12, 'List of Leagues'!$F:$F, 0)), 0)</f>
        <v>0</v>
      </c>
      <c r="BD12">
        <f t="shared" si="4"/>
        <v>33.85</v>
      </c>
    </row>
    <row r="13" spans="1:56" x14ac:dyDescent="0.35">
      <c r="A13" t="s">
        <v>18</v>
      </c>
      <c r="B13">
        <v>1</v>
      </c>
      <c r="C13">
        <v>1</v>
      </c>
      <c r="D13">
        <v>2008</v>
      </c>
      <c r="E13" t="s">
        <v>19</v>
      </c>
      <c r="F13" t="s">
        <v>5</v>
      </c>
      <c r="G13" t="s">
        <v>10</v>
      </c>
      <c r="H13" t="s">
        <v>10</v>
      </c>
      <c r="I13">
        <f t="shared" si="6"/>
        <v>0</v>
      </c>
      <c r="J13">
        <f>SUMIF(A$2:A13,A13, O$2:O13)</f>
        <v>309</v>
      </c>
      <c r="K13">
        <f>SUMIF(A$2:A13, A13, P$2:P13)</f>
        <v>117</v>
      </c>
      <c r="L13">
        <f>SUMIF(A$2:A13, A13, Q$2:Q13)</f>
        <v>84</v>
      </c>
      <c r="M13">
        <f>SUMIF(A$2:A13, A13, R$2:R13)</f>
        <v>108</v>
      </c>
      <c r="N13">
        <f t="shared" si="5"/>
        <v>435</v>
      </c>
      <c r="O13">
        <f>P13+Q13+R13</f>
        <v>173</v>
      </c>
      <c r="P13">
        <f>8+7+13+8+19+3</f>
        <v>58</v>
      </c>
      <c r="Q13">
        <f>9+9+7+14+9+6</f>
        <v>54</v>
      </c>
      <c r="R13">
        <f>13+14+10+12+6+6</f>
        <v>61</v>
      </c>
      <c r="S13">
        <f>P13*3 + Q13</f>
        <v>228</v>
      </c>
      <c r="T13">
        <v>6</v>
      </c>
      <c r="U13">
        <f t="shared" si="7"/>
        <v>13</v>
      </c>
      <c r="V13">
        <v>13</v>
      </c>
      <c r="W13">
        <v>3</v>
      </c>
      <c r="X13">
        <v>7</v>
      </c>
      <c r="Y13">
        <v>3</v>
      </c>
      <c r="Z13" t="b">
        <v>1</v>
      </c>
      <c r="AA13" t="s">
        <v>185</v>
      </c>
      <c r="AB13">
        <f>IFERROR(INDEX('List of Leagues'!E:E, MATCH(AA13, 'List of Leagues'!F:F, 0)), 0)</f>
        <v>75.400000000000006</v>
      </c>
      <c r="AC13" t="s">
        <v>184</v>
      </c>
      <c r="AD13">
        <f>IFERROR(INDEX('List of Leagues'!E:E, MATCH(AC13, 'List of Leagues'!F:F, 0)), 0)</f>
        <v>93.8</v>
      </c>
      <c r="AE13" t="s">
        <v>178</v>
      </c>
      <c r="AF13">
        <f>IFERROR(INDEX('List of Leagues'!E:E, MATCH(AE13, 'List of Leagues'!F:F, 0)), 0)</f>
        <v>69.3</v>
      </c>
      <c r="AG13" t="s">
        <v>756</v>
      </c>
      <c r="AH13">
        <f>IFERROR(INDEX('List of Leagues'!E:E, MATCH(AG13, 'List of Leagues'!F:F, 0)), 0)</f>
        <v>76.8</v>
      </c>
      <c r="AI13" t="s">
        <v>762</v>
      </c>
      <c r="AJ13">
        <f>IFERROR(INDEX('List of Leagues'!E:E, MATCH(AI13, 'List of Leagues'!F:F, 0)), 0)</f>
        <v>0</v>
      </c>
      <c r="AK13" t="s">
        <v>762</v>
      </c>
      <c r="AL13">
        <f>IFERROR(INDEX('List of Leagues'!E:E, MATCH(AK13, 'List of Leagues'!F:F, 0)), 0)</f>
        <v>0</v>
      </c>
      <c r="AM13" t="s">
        <v>762</v>
      </c>
      <c r="AN13">
        <f>IFERROR(INDEX('List of Leagues'!E:E, MATCH(AM13, 'List of Leagues'!F:F, 0)), 0)</f>
        <v>0</v>
      </c>
      <c r="AO13" t="s">
        <v>762</v>
      </c>
      <c r="AP13">
        <f>IFERROR(INDEX('List of Leagues'!E:E, MATCH(AO13, 'List of Leagues'!F:F, 0)), 0)</f>
        <v>0</v>
      </c>
      <c r="AQ13">
        <f t="shared" si="3"/>
        <v>39.412500000000001</v>
      </c>
      <c r="AR13" t="s">
        <v>171</v>
      </c>
      <c r="AS13">
        <f>IFERROR(INDEX('List of Leagues'!$E:$E, MATCH(AR13, 'List of Leagues'!$F:$F, 0)), 0)</f>
        <v>0</v>
      </c>
      <c r="AT13" t="s">
        <v>770</v>
      </c>
      <c r="AU13">
        <f>IFERROR(INDEX('List of Leagues'!$E:$E, MATCH(AT13, 'List of Leagues'!$F:$F, 0)), 0)</f>
        <v>0</v>
      </c>
      <c r="AV13" t="s">
        <v>213</v>
      </c>
      <c r="AW13">
        <f>IFERROR(INDEX('List of Leagues'!$E:$E, MATCH(AV13, 'List of Leagues'!$F:$F, 0)), 0)</f>
        <v>0</v>
      </c>
      <c r="AX13" t="s">
        <v>187</v>
      </c>
      <c r="AY13">
        <f>IFERROR(INDEX('List of Leagues'!$E:$E, MATCH(AX13, 'List of Leagues'!$F:$F, 0)), 0)</f>
        <v>58.4</v>
      </c>
      <c r="AZ13" t="s">
        <v>762</v>
      </c>
      <c r="BA13">
        <f>IFERROR(INDEX('List of Leagues'!$E:$E, MATCH(AZ13, 'List of Leagues'!$F:$F, 0)), 0)</f>
        <v>0</v>
      </c>
      <c r="BB13" t="s">
        <v>762</v>
      </c>
      <c r="BC13">
        <f>IFERROR(INDEX('List of Leagues'!$E:$E, MATCH(BB13, 'List of Leagues'!$F:$F, 0)), 0)</f>
        <v>0</v>
      </c>
      <c r="BD13">
        <f t="shared" si="4"/>
        <v>9.7333333333333325</v>
      </c>
    </row>
    <row r="14" spans="1:56" x14ac:dyDescent="0.35">
      <c r="A14" t="s">
        <v>8</v>
      </c>
      <c r="B14">
        <v>1</v>
      </c>
      <c r="C14">
        <f>IF(COUNTIF($A$11:A14, A14) &gt; 1, 1, 0)</f>
        <v>0</v>
      </c>
      <c r="D14">
        <v>2008</v>
      </c>
      <c r="E14" t="s">
        <v>9</v>
      </c>
      <c r="F14" t="s">
        <v>96</v>
      </c>
      <c r="G14" t="s">
        <v>10</v>
      </c>
      <c r="H14" t="s">
        <v>10</v>
      </c>
      <c r="I14">
        <f t="shared" si="6"/>
        <v>0</v>
      </c>
      <c r="J14">
        <f>SUMIF(A$2:A14,A14, O$2:O14)</f>
        <v>122</v>
      </c>
      <c r="K14">
        <f>SUMIF(A$2:A14, A14, P$2:P14)</f>
        <v>45</v>
      </c>
      <c r="L14">
        <f>SUMIF(A$2:A14, A14, Q$2:Q14)</f>
        <v>37</v>
      </c>
      <c r="M14">
        <f>SUMIF(A$2:A14, A14, R$2:R14)</f>
        <v>40</v>
      </c>
      <c r="N14">
        <f t="shared" si="5"/>
        <v>172</v>
      </c>
      <c r="O14">
        <v>122</v>
      </c>
      <c r="P14">
        <v>45</v>
      </c>
      <c r="Q14">
        <v>37</v>
      </c>
      <c r="R14">
        <v>40</v>
      </c>
      <c r="S14">
        <v>172</v>
      </c>
      <c r="T14">
        <v>3</v>
      </c>
      <c r="U14">
        <f t="shared" si="7"/>
        <v>3</v>
      </c>
      <c r="V14">
        <v>6</v>
      </c>
      <c r="W14">
        <v>4</v>
      </c>
      <c r="X14">
        <v>0</v>
      </c>
      <c r="Y14">
        <v>4</v>
      </c>
      <c r="Z14" t="b">
        <v>1</v>
      </c>
      <c r="AA14" t="s">
        <v>207</v>
      </c>
      <c r="AB14">
        <f>IFERROR(INDEX('List of Leagues'!E:E, MATCH(AA14, 'List of Leagues'!F:F, 0)), 0)</f>
        <v>66.5</v>
      </c>
      <c r="AC14" t="s">
        <v>762</v>
      </c>
      <c r="AD14">
        <f>IFERROR(INDEX('List of Leagues'!E:E, MATCH(AC14, 'List of Leagues'!F:F, 0)), 0)</f>
        <v>0</v>
      </c>
      <c r="AE14" t="s">
        <v>762</v>
      </c>
      <c r="AF14">
        <f>IFERROR(INDEX('List of Leagues'!E:E, MATCH(AE14, 'List of Leagues'!F:F, 0)), 0)</f>
        <v>0</v>
      </c>
      <c r="AG14" t="s">
        <v>762</v>
      </c>
      <c r="AH14">
        <f>IFERROR(INDEX('List of Leagues'!E:E, MATCH(AG14, 'List of Leagues'!F:F, 0)), 0)</f>
        <v>0</v>
      </c>
      <c r="AI14" t="s">
        <v>762</v>
      </c>
      <c r="AJ14">
        <f>IFERROR(INDEX('List of Leagues'!E:E, MATCH(AI14, 'List of Leagues'!F:F, 0)), 0)</f>
        <v>0</v>
      </c>
      <c r="AK14" t="s">
        <v>762</v>
      </c>
      <c r="AL14">
        <f>IFERROR(INDEX('List of Leagues'!E:E, MATCH(AK14, 'List of Leagues'!F:F, 0)), 0)</f>
        <v>0</v>
      </c>
      <c r="AM14" t="s">
        <v>762</v>
      </c>
      <c r="AN14">
        <f>IFERROR(INDEX('List of Leagues'!E:E, MATCH(AM14, 'List of Leagues'!F:F, 0)), 0)</f>
        <v>0</v>
      </c>
      <c r="AO14" t="s">
        <v>762</v>
      </c>
      <c r="AP14">
        <f>IFERROR(INDEX('List of Leagues'!E:E, MATCH(AO14, 'List of Leagues'!F:F, 0)), 0)</f>
        <v>0</v>
      </c>
      <c r="AQ14">
        <f t="shared" si="3"/>
        <v>8.3125</v>
      </c>
      <c r="AR14" t="s">
        <v>756</v>
      </c>
      <c r="AS14">
        <f>IFERROR(INDEX('List of Leagues'!$E:$E, MATCH(AR14, 'List of Leagues'!$F:$F, 0)), 0)</f>
        <v>76.8</v>
      </c>
      <c r="AT14" t="s">
        <v>761</v>
      </c>
      <c r="AU14">
        <f>IFERROR(INDEX('List of Leagues'!$E:$E, MATCH(AT14, 'List of Leagues'!$F:$F, 0)), 0)</f>
        <v>66.3</v>
      </c>
      <c r="AV14" t="s">
        <v>185</v>
      </c>
      <c r="AW14">
        <f>IFERROR(INDEX('List of Leagues'!$E:$E, MATCH(AV14, 'List of Leagues'!$F:$F, 0)), 0)</f>
        <v>75.400000000000006</v>
      </c>
      <c r="AX14" t="s">
        <v>187</v>
      </c>
      <c r="AY14">
        <f>IFERROR(INDEX('List of Leagues'!$E:$E, MATCH(AX14, 'List of Leagues'!$F:$F, 0)), 0)</f>
        <v>58.4</v>
      </c>
      <c r="AZ14" t="s">
        <v>762</v>
      </c>
      <c r="BA14">
        <f>IFERROR(INDEX('List of Leagues'!$E:$E, MATCH(AZ14, 'List of Leagues'!$F:$F, 0)), 0)</f>
        <v>0</v>
      </c>
      <c r="BB14" t="s">
        <v>762</v>
      </c>
      <c r="BC14">
        <f>IFERROR(INDEX('List of Leagues'!$E:$E, MATCH(BB14, 'List of Leagues'!$F:$F, 0)), 0)</f>
        <v>0</v>
      </c>
      <c r="BD14">
        <f t="shared" si="4"/>
        <v>46.15</v>
      </c>
    </row>
    <row r="15" spans="1:56" x14ac:dyDescent="0.35">
      <c r="A15" t="s">
        <v>20</v>
      </c>
      <c r="B15">
        <v>0</v>
      </c>
      <c r="C15">
        <f>IF(COUNTIF($A$11:A15, A15) &gt; 1, 1, 0)</f>
        <v>0</v>
      </c>
      <c r="D15">
        <v>2008</v>
      </c>
      <c r="E15" t="s">
        <v>21</v>
      </c>
      <c r="F15" t="str">
        <f>IF(B15=0, "-", "")</f>
        <v>-</v>
      </c>
      <c r="G15" t="s">
        <v>10</v>
      </c>
      <c r="H15" t="s">
        <v>10</v>
      </c>
      <c r="I15">
        <f t="shared" si="6"/>
        <v>0</v>
      </c>
      <c r="J15">
        <f>SUMIF(A$2:A15,A15, O$2:O15)</f>
        <v>36</v>
      </c>
      <c r="K15">
        <f>SUMIF(A$2:A15, A15, P$2:P15)</f>
        <v>11</v>
      </c>
      <c r="L15">
        <f>SUMIF(A$2:A15, A15, Q$2:Q15)</f>
        <v>10</v>
      </c>
      <c r="M15">
        <f>SUMIF(A$2:A15, A15, R$2:R15)</f>
        <v>15</v>
      </c>
      <c r="N15">
        <f t="shared" si="5"/>
        <v>43</v>
      </c>
      <c r="O15">
        <f t="shared" ref="O15:O46" si="8">P15+Q15+R15</f>
        <v>36</v>
      </c>
      <c r="P15">
        <v>11</v>
      </c>
      <c r="Q15">
        <v>10</v>
      </c>
      <c r="R15">
        <v>15</v>
      </c>
      <c r="S15">
        <f t="shared" ref="S15:S46" si="9">P15*3 + Q15</f>
        <v>43</v>
      </c>
      <c r="T15">
        <v>2</v>
      </c>
      <c r="U15">
        <f t="shared" si="7"/>
        <v>4</v>
      </c>
      <c r="V15">
        <f>IF(F15="-", U15)</f>
        <v>4</v>
      </c>
      <c r="W15">
        <f>IF(F15="-", Y15)</f>
        <v>20</v>
      </c>
      <c r="X15">
        <v>2</v>
      </c>
      <c r="Y15">
        <v>20</v>
      </c>
      <c r="Z15" t="b">
        <v>1</v>
      </c>
      <c r="AA15" t="s">
        <v>207</v>
      </c>
      <c r="AB15">
        <f>IFERROR(INDEX('List of Leagues'!E:E, MATCH(AA15, 'List of Leagues'!F:F, 0)), 0)</f>
        <v>66.5</v>
      </c>
      <c r="AC15" t="s">
        <v>762</v>
      </c>
      <c r="AD15">
        <f>IFERROR(INDEX('List of Leagues'!E:E, MATCH(AC15, 'List of Leagues'!F:F, 0)), 0)</f>
        <v>0</v>
      </c>
      <c r="AE15" t="s">
        <v>762</v>
      </c>
      <c r="AF15">
        <f>IFERROR(INDEX('List of Leagues'!E:E, MATCH(AE15, 'List of Leagues'!F:F, 0)), 0)</f>
        <v>0</v>
      </c>
      <c r="AG15" t="s">
        <v>762</v>
      </c>
      <c r="AH15">
        <f>IFERROR(INDEX('List of Leagues'!E:E, MATCH(AG15, 'List of Leagues'!F:F, 0)), 0)</f>
        <v>0</v>
      </c>
      <c r="AI15" t="s">
        <v>762</v>
      </c>
      <c r="AJ15">
        <f>IFERROR(INDEX('List of Leagues'!E:E, MATCH(AI15, 'List of Leagues'!F:F, 0)), 0)</f>
        <v>0</v>
      </c>
      <c r="AK15" t="s">
        <v>762</v>
      </c>
      <c r="AL15">
        <f>IFERROR(INDEX('List of Leagues'!E:E, MATCH(AK15, 'List of Leagues'!F:F, 0)), 0)</f>
        <v>0</v>
      </c>
      <c r="AM15" t="s">
        <v>762</v>
      </c>
      <c r="AN15">
        <f>IFERROR(INDEX('List of Leagues'!E:E, MATCH(AM15, 'List of Leagues'!F:F, 0)), 0)</f>
        <v>0</v>
      </c>
      <c r="AO15" t="s">
        <v>762</v>
      </c>
      <c r="AP15">
        <f>IFERROR(INDEX('List of Leagues'!E:E, MATCH(AO15, 'List of Leagues'!F:F, 0)), 0)</f>
        <v>0</v>
      </c>
      <c r="AQ15">
        <f t="shared" si="3"/>
        <v>8.3125</v>
      </c>
      <c r="AR15" t="s">
        <v>209</v>
      </c>
      <c r="AS15">
        <f>IFERROR(INDEX('List of Leagues'!$E:$E, MATCH(AR15, 'List of Leagues'!$F:$F, 0)), 0)</f>
        <v>60.6</v>
      </c>
      <c r="AT15" t="s">
        <v>762</v>
      </c>
      <c r="AU15">
        <f>IFERROR(INDEX('List of Leagues'!$E:$E, MATCH(AT15, 'List of Leagues'!$F:$F, 0)), 0)</f>
        <v>0</v>
      </c>
      <c r="AV15" t="s">
        <v>762</v>
      </c>
      <c r="AW15">
        <f>IFERROR(INDEX('List of Leagues'!$E:$E, MATCH(AV15, 'List of Leagues'!$F:$F, 0)), 0)</f>
        <v>0</v>
      </c>
      <c r="AX15" t="s">
        <v>762</v>
      </c>
      <c r="AY15">
        <f>IFERROR(INDEX('List of Leagues'!$E:$E, MATCH(AX15, 'List of Leagues'!$F:$F, 0)), 0)</f>
        <v>0</v>
      </c>
      <c r="AZ15" t="s">
        <v>762</v>
      </c>
      <c r="BA15">
        <f>IFERROR(INDEX('List of Leagues'!$E:$E, MATCH(AZ15, 'List of Leagues'!$F:$F, 0)), 0)</f>
        <v>0</v>
      </c>
      <c r="BB15" t="s">
        <v>762</v>
      </c>
      <c r="BC15">
        <f>IFERROR(INDEX('List of Leagues'!$E:$E, MATCH(BB15, 'List of Leagues'!$F:$F, 0)), 0)</f>
        <v>0</v>
      </c>
      <c r="BD15">
        <f t="shared" si="4"/>
        <v>10.1</v>
      </c>
    </row>
    <row r="16" spans="1:56" x14ac:dyDescent="0.35">
      <c r="A16" t="s">
        <v>16</v>
      </c>
      <c r="B16">
        <v>0</v>
      </c>
      <c r="C16">
        <v>1</v>
      </c>
      <c r="D16">
        <v>2008</v>
      </c>
      <c r="E16" t="s">
        <v>17</v>
      </c>
      <c r="F16" t="str">
        <f>IF(B16=0, "-", "")</f>
        <v>-</v>
      </c>
      <c r="G16" t="s">
        <v>6</v>
      </c>
      <c r="H16" t="s">
        <v>132</v>
      </c>
      <c r="I16">
        <f t="shared" si="6"/>
        <v>0</v>
      </c>
      <c r="J16">
        <f>SUMIF(A$2:A16,A16, O$2:O16)</f>
        <v>30</v>
      </c>
      <c r="K16">
        <f>SUMIF(A$2:A16, A16, P$2:P16)</f>
        <v>12</v>
      </c>
      <c r="L16">
        <f>SUMIF(A$2:A16, A16, Q$2:Q16)</f>
        <v>6</v>
      </c>
      <c r="M16">
        <f>SUMIF(A$2:A16, A16, R$2:R16)</f>
        <v>12</v>
      </c>
      <c r="N16">
        <f t="shared" si="5"/>
        <v>42</v>
      </c>
      <c r="O16">
        <f t="shared" si="8"/>
        <v>15</v>
      </c>
      <c r="P16">
        <v>6</v>
      </c>
      <c r="Q16">
        <v>3</v>
      </c>
      <c r="R16">
        <v>6</v>
      </c>
      <c r="S16">
        <f t="shared" si="9"/>
        <v>21</v>
      </c>
      <c r="T16">
        <v>2</v>
      </c>
      <c r="U16">
        <f t="shared" si="7"/>
        <v>4</v>
      </c>
      <c r="V16">
        <f>IF(F16="-", U16)</f>
        <v>4</v>
      </c>
      <c r="W16">
        <f>IF(F16="-", Y16)</f>
        <v>8</v>
      </c>
      <c r="X16">
        <v>2</v>
      </c>
      <c r="Y16">
        <v>8</v>
      </c>
      <c r="Z16" t="b">
        <v>1</v>
      </c>
      <c r="AA16" t="s">
        <v>536</v>
      </c>
      <c r="AB16">
        <f>IFERROR(INDEX('List of Leagues'!E:E, MATCH(AA16, 'List of Leagues'!F:F, 0)), 0)</f>
        <v>78.099999999999994</v>
      </c>
      <c r="AC16" t="s">
        <v>530</v>
      </c>
      <c r="AD16">
        <f>IFERROR(INDEX('List of Leagues'!E:E, MATCH(AC16, 'List of Leagues'!F:F, 0)), 0)</f>
        <v>86.2</v>
      </c>
      <c r="AE16" t="s">
        <v>202</v>
      </c>
      <c r="AF16">
        <f>IFERROR(INDEX('List of Leagues'!E:E, MATCH(AE16, 'List of Leagues'!F:F, 0)), 0)</f>
        <v>51</v>
      </c>
      <c r="AG16" t="s">
        <v>762</v>
      </c>
      <c r="AH16">
        <f>IFERROR(INDEX('List of Leagues'!E:E, MATCH(AG16, 'List of Leagues'!F:F, 0)), 0)</f>
        <v>0</v>
      </c>
      <c r="AI16" t="s">
        <v>762</v>
      </c>
      <c r="AJ16">
        <f>IFERROR(INDEX('List of Leagues'!E:E, MATCH(AI16, 'List of Leagues'!F:F, 0)), 0)</f>
        <v>0</v>
      </c>
      <c r="AK16" t="s">
        <v>762</v>
      </c>
      <c r="AL16">
        <f>IFERROR(INDEX('List of Leagues'!E:E, MATCH(AK16, 'List of Leagues'!F:F, 0)), 0)</f>
        <v>0</v>
      </c>
      <c r="AM16" t="s">
        <v>762</v>
      </c>
      <c r="AN16">
        <f>IFERROR(INDEX('List of Leagues'!E:E, MATCH(AM16, 'List of Leagues'!F:F, 0)), 0)</f>
        <v>0</v>
      </c>
      <c r="AO16" t="s">
        <v>762</v>
      </c>
      <c r="AP16">
        <f>IFERROR(INDEX('List of Leagues'!E:E, MATCH(AO16, 'List of Leagues'!F:F, 0)), 0)</f>
        <v>0</v>
      </c>
      <c r="AQ16">
        <f t="shared" si="3"/>
        <v>26.912500000000001</v>
      </c>
      <c r="AR16" t="s">
        <v>177</v>
      </c>
      <c r="AS16">
        <f>IFERROR(INDEX('List of Leagues'!$E:$E, MATCH(AR16, 'List of Leagues'!$F:$F, 0)), 0)</f>
        <v>0</v>
      </c>
      <c r="AT16" t="s">
        <v>762</v>
      </c>
      <c r="AU16">
        <f>IFERROR(INDEX('List of Leagues'!$E:$E, MATCH(AT16, 'List of Leagues'!$F:$F, 0)), 0)</f>
        <v>0</v>
      </c>
      <c r="AV16" t="s">
        <v>762</v>
      </c>
      <c r="AW16">
        <f>IFERROR(INDEX('List of Leagues'!$E:$E, MATCH(AV16, 'List of Leagues'!$F:$F, 0)), 0)</f>
        <v>0</v>
      </c>
      <c r="AX16" t="s">
        <v>762</v>
      </c>
      <c r="AY16">
        <f>IFERROR(INDEX('List of Leagues'!$E:$E, MATCH(AX16, 'List of Leagues'!$F:$F, 0)), 0)</f>
        <v>0</v>
      </c>
      <c r="AZ16" t="s">
        <v>762</v>
      </c>
      <c r="BA16">
        <f>IFERROR(INDEX('List of Leagues'!$E:$E, MATCH(AZ16, 'List of Leagues'!$F:$F, 0)), 0)</f>
        <v>0</v>
      </c>
      <c r="BB16" t="s">
        <v>762</v>
      </c>
      <c r="BC16">
        <f>IFERROR(INDEX('List of Leagues'!$E:$E, MATCH(BB16, 'List of Leagues'!$F:$F, 0)), 0)</f>
        <v>0</v>
      </c>
      <c r="BD16">
        <f t="shared" si="4"/>
        <v>0</v>
      </c>
    </row>
    <row r="17" spans="1:56" x14ac:dyDescent="0.35">
      <c r="A17" t="s">
        <v>13</v>
      </c>
      <c r="B17">
        <v>0</v>
      </c>
      <c r="C17">
        <f>IF(COUNTIF($A$11:A17, A17) &gt; 1, 1, 0)</f>
        <v>0</v>
      </c>
      <c r="D17">
        <v>2008</v>
      </c>
      <c r="E17" t="s">
        <v>14</v>
      </c>
      <c r="F17" t="str">
        <f>IF(B17=0, "-", "")</f>
        <v>-</v>
      </c>
      <c r="G17" t="s">
        <v>6</v>
      </c>
      <c r="H17" t="s">
        <v>131</v>
      </c>
      <c r="I17">
        <f t="shared" si="6"/>
        <v>1</v>
      </c>
      <c r="J17">
        <f>SUMIF(A$2:A17,A17, O$2:O17)</f>
        <v>19</v>
      </c>
      <c r="K17">
        <f>SUMIF(A$2:A17, A17, P$2:P17)</f>
        <v>6</v>
      </c>
      <c r="L17">
        <f>SUMIF(A$2:A17, A17, Q$2:Q17)</f>
        <v>5</v>
      </c>
      <c r="M17">
        <f>SUMIF(A$2:A17, A17, R$2:R17)</f>
        <v>8</v>
      </c>
      <c r="N17">
        <f t="shared" si="5"/>
        <v>23</v>
      </c>
      <c r="O17">
        <f t="shared" si="8"/>
        <v>19</v>
      </c>
      <c r="P17">
        <v>6</v>
      </c>
      <c r="Q17">
        <v>5</v>
      </c>
      <c r="R17">
        <v>8</v>
      </c>
      <c r="S17">
        <f t="shared" si="9"/>
        <v>23</v>
      </c>
      <c r="T17">
        <v>1</v>
      </c>
      <c r="U17">
        <f t="shared" si="7"/>
        <v>4</v>
      </c>
      <c r="V17">
        <f>IF(F17="-", U17)</f>
        <v>4</v>
      </c>
      <c r="W17">
        <f>IF(F17="-", Y17)</f>
        <v>0</v>
      </c>
      <c r="X17">
        <v>3</v>
      </c>
      <c r="Y17">
        <v>0</v>
      </c>
      <c r="Z17" t="b">
        <v>1</v>
      </c>
      <c r="AA17" t="s">
        <v>209</v>
      </c>
      <c r="AB17">
        <f>IFERROR(INDEX('List of Leagues'!E:E, MATCH(AA17, 'List of Leagues'!F:F, 0)), 0)</f>
        <v>60.6</v>
      </c>
      <c r="AC17" t="s">
        <v>197</v>
      </c>
      <c r="AD17">
        <f>IFERROR(INDEX('List of Leagues'!E:E, MATCH(AC17, 'List of Leagues'!F:F, 0)), 0)</f>
        <v>78.400000000000006</v>
      </c>
      <c r="AE17" t="s">
        <v>185</v>
      </c>
      <c r="AF17">
        <f>IFERROR(INDEX('List of Leagues'!E:E, MATCH(AE17, 'List of Leagues'!F:F, 0)), 0)</f>
        <v>75.400000000000006</v>
      </c>
      <c r="AG17" t="s">
        <v>184</v>
      </c>
      <c r="AH17">
        <f>IFERROR(INDEX('List of Leagues'!E:E, MATCH(AG17, 'List of Leagues'!F:F, 0)), 0)</f>
        <v>93.8</v>
      </c>
      <c r="AI17" t="s">
        <v>756</v>
      </c>
      <c r="AJ17">
        <f>IFERROR(INDEX('List of Leagues'!E:E, MATCH(AI17, 'List of Leagues'!F:F, 0)), 0)</f>
        <v>76.8</v>
      </c>
      <c r="AK17" t="s">
        <v>762</v>
      </c>
      <c r="AL17">
        <f>IFERROR(INDEX('List of Leagues'!E:E, MATCH(AK17, 'List of Leagues'!F:F, 0)), 0)</f>
        <v>0</v>
      </c>
      <c r="AM17" t="s">
        <v>762</v>
      </c>
      <c r="AN17">
        <f>IFERROR(INDEX('List of Leagues'!E:E, MATCH(AM17, 'List of Leagues'!F:F, 0)), 0)</f>
        <v>0</v>
      </c>
      <c r="AO17" t="s">
        <v>762</v>
      </c>
      <c r="AP17">
        <f>IFERROR(INDEX('List of Leagues'!E:E, MATCH(AO17, 'List of Leagues'!F:F, 0)), 0)</f>
        <v>0</v>
      </c>
      <c r="AQ17">
        <f t="shared" si="3"/>
        <v>48.125</v>
      </c>
      <c r="AR17" t="s">
        <v>178</v>
      </c>
      <c r="AS17">
        <f>IFERROR(INDEX('List of Leagues'!$E:$E, MATCH(AR17, 'List of Leagues'!$F:$F, 0)), 0)</f>
        <v>69.3</v>
      </c>
      <c r="AT17" t="s">
        <v>762</v>
      </c>
      <c r="AU17">
        <f>IFERROR(INDEX('List of Leagues'!$E:$E, MATCH(AT17, 'List of Leagues'!$F:$F, 0)), 0)</f>
        <v>0</v>
      </c>
      <c r="AV17" t="s">
        <v>762</v>
      </c>
      <c r="AW17">
        <f>IFERROR(INDEX('List of Leagues'!$E:$E, MATCH(AV17, 'List of Leagues'!$F:$F, 0)), 0)</f>
        <v>0</v>
      </c>
      <c r="AX17" t="s">
        <v>762</v>
      </c>
      <c r="AY17">
        <f>IFERROR(INDEX('List of Leagues'!$E:$E, MATCH(AX17, 'List of Leagues'!$F:$F, 0)), 0)</f>
        <v>0</v>
      </c>
      <c r="AZ17" t="s">
        <v>762</v>
      </c>
      <c r="BA17">
        <f>IFERROR(INDEX('List of Leagues'!$E:$E, MATCH(AZ17, 'List of Leagues'!$F:$F, 0)), 0)</f>
        <v>0</v>
      </c>
      <c r="BB17" t="s">
        <v>762</v>
      </c>
      <c r="BC17">
        <f>IFERROR(INDEX('List of Leagues'!$E:$E, MATCH(BB17, 'List of Leagues'!$F:$F, 0)), 0)</f>
        <v>0</v>
      </c>
      <c r="BD17">
        <f t="shared" si="4"/>
        <v>11.549999999999999</v>
      </c>
    </row>
    <row r="18" spans="1:56" x14ac:dyDescent="0.35">
      <c r="A18" t="s">
        <v>12</v>
      </c>
      <c r="B18">
        <v>0</v>
      </c>
      <c r="C18">
        <f>IF(COUNTIF($A$11:A18, A18) &gt; 1, 1, 0)</f>
        <v>0</v>
      </c>
      <c r="D18">
        <v>2008</v>
      </c>
      <c r="E18" t="s">
        <v>11</v>
      </c>
      <c r="F18" t="str">
        <f>IF(B18=0, "-", "")</f>
        <v>-</v>
      </c>
      <c r="G18" t="s">
        <v>10</v>
      </c>
      <c r="H18" t="s">
        <v>10</v>
      </c>
      <c r="I18">
        <f t="shared" si="6"/>
        <v>0</v>
      </c>
      <c r="J18">
        <f>SUMIF(A$2:A18,A18, O$2:O18)</f>
        <v>179</v>
      </c>
      <c r="K18">
        <f>SUMIF(A$2:A18, A18, P$2:P18)</f>
        <v>62</v>
      </c>
      <c r="L18">
        <f>SUMIF(A$2:A18, A18, Q$2:Q18)</f>
        <v>58</v>
      </c>
      <c r="M18">
        <f>SUMIF(A$2:A18, A18, R$2:R18)</f>
        <v>59</v>
      </c>
      <c r="N18">
        <f t="shared" si="5"/>
        <v>244</v>
      </c>
      <c r="O18">
        <f t="shared" si="8"/>
        <v>179</v>
      </c>
      <c r="P18">
        <f>4+11+12+15+9+11</f>
        <v>62</v>
      </c>
      <c r="Q18">
        <f>8+6+14+7+12+11</f>
        <v>58</v>
      </c>
      <c r="R18">
        <f>5+13+4+12+13+12</f>
        <v>59</v>
      </c>
      <c r="S18">
        <f t="shared" si="9"/>
        <v>244</v>
      </c>
      <c r="T18">
        <v>5</v>
      </c>
      <c r="U18">
        <f t="shared" si="7"/>
        <v>36</v>
      </c>
      <c r="V18">
        <f>IF(F18="-", U18)</f>
        <v>36</v>
      </c>
      <c r="W18">
        <f>IF(F18="-", Y18)</f>
        <v>1</v>
      </c>
      <c r="X18">
        <v>31</v>
      </c>
      <c r="Y18">
        <v>1</v>
      </c>
      <c r="Z18" t="b">
        <v>1</v>
      </c>
      <c r="AA18" t="s">
        <v>176</v>
      </c>
      <c r="AB18">
        <f>IFERROR(INDEX('List of Leagues'!E:E, MATCH(AA18, 'List of Leagues'!F:F, 0)), 0)</f>
        <v>0</v>
      </c>
      <c r="AC18" t="s">
        <v>762</v>
      </c>
      <c r="AD18">
        <f>IFERROR(INDEX('List of Leagues'!E:E, MATCH(AC18, 'List of Leagues'!F:F, 0)), 0)</f>
        <v>0</v>
      </c>
      <c r="AE18" t="s">
        <v>762</v>
      </c>
      <c r="AF18">
        <f>IFERROR(INDEX('List of Leagues'!E:E, MATCH(AE18, 'List of Leagues'!F:F, 0)), 0)</f>
        <v>0</v>
      </c>
      <c r="AG18" t="s">
        <v>762</v>
      </c>
      <c r="AH18">
        <f>IFERROR(INDEX('List of Leagues'!E:E, MATCH(AG18, 'List of Leagues'!F:F, 0)), 0)</f>
        <v>0</v>
      </c>
      <c r="AI18" t="s">
        <v>762</v>
      </c>
      <c r="AJ18">
        <f>IFERROR(INDEX('List of Leagues'!E:E, MATCH(AI18, 'List of Leagues'!F:F, 0)), 0)</f>
        <v>0</v>
      </c>
      <c r="AK18" t="s">
        <v>762</v>
      </c>
      <c r="AL18">
        <f>IFERROR(INDEX('List of Leagues'!E:E, MATCH(AK18, 'List of Leagues'!F:F, 0)), 0)</f>
        <v>0</v>
      </c>
      <c r="AM18" t="s">
        <v>762</v>
      </c>
      <c r="AN18">
        <f>IFERROR(INDEX('List of Leagues'!E:E, MATCH(AM18, 'List of Leagues'!F:F, 0)), 0)</f>
        <v>0</v>
      </c>
      <c r="AO18" t="s">
        <v>762</v>
      </c>
      <c r="AP18">
        <f>IFERROR(INDEX('List of Leagues'!E:E, MATCH(AO18, 'List of Leagues'!F:F, 0)), 0)</f>
        <v>0</v>
      </c>
      <c r="AQ18">
        <f t="shared" si="3"/>
        <v>0</v>
      </c>
      <c r="AR18" t="s">
        <v>171</v>
      </c>
      <c r="AS18">
        <f>IFERROR(INDEX('List of Leagues'!$E:$E, MATCH(AR18, 'List of Leagues'!$F:$F, 0)), 0)</f>
        <v>0</v>
      </c>
      <c r="AT18" t="s">
        <v>178</v>
      </c>
      <c r="AU18">
        <f>IFERROR(INDEX('List of Leagues'!$E:$E, MATCH(AT18, 'List of Leagues'!$F:$F, 0)), 0)</f>
        <v>69.3</v>
      </c>
      <c r="AV18" t="s">
        <v>756</v>
      </c>
      <c r="AW18">
        <f>IFERROR(INDEX('List of Leagues'!$E:$E, MATCH(AV18, 'List of Leagues'!$F:$F, 0)), 0)</f>
        <v>76.8</v>
      </c>
      <c r="AX18" t="s">
        <v>761</v>
      </c>
      <c r="AY18">
        <f>IFERROR(INDEX('List of Leagues'!$E:$E, MATCH(AX18, 'List of Leagues'!$F:$F, 0)), 0)</f>
        <v>66.3</v>
      </c>
      <c r="AZ18" t="s">
        <v>208</v>
      </c>
      <c r="BA18">
        <f>IFERROR(INDEX('List of Leagues'!$E:$E, MATCH(AZ18, 'List of Leagues'!$F:$F, 0)), 0)</f>
        <v>85.1</v>
      </c>
      <c r="BB18" t="s">
        <v>185</v>
      </c>
      <c r="BC18">
        <f>IFERROR(INDEX('List of Leagues'!$E:$E, MATCH(BB18, 'List of Leagues'!$F:$F, 0)), 0)</f>
        <v>75.400000000000006</v>
      </c>
      <c r="BD18">
        <f t="shared" si="4"/>
        <v>62.15</v>
      </c>
    </row>
    <row r="19" spans="1:56" x14ac:dyDescent="0.35">
      <c r="A19" t="s">
        <v>22</v>
      </c>
      <c r="B19">
        <v>0</v>
      </c>
      <c r="C19">
        <f>IF(COUNTIF($A$11:A19, A19) &gt; 1, 1, 0)</f>
        <v>0</v>
      </c>
      <c r="D19">
        <v>2009</v>
      </c>
      <c r="E19" t="s">
        <v>23</v>
      </c>
      <c r="F19" t="str">
        <f>IF(B19=0, "-", "")</f>
        <v>-</v>
      </c>
      <c r="G19" t="s">
        <v>10</v>
      </c>
      <c r="H19" t="s">
        <v>10</v>
      </c>
      <c r="I19">
        <f t="shared" si="6"/>
        <v>0</v>
      </c>
      <c r="J19">
        <f>SUMIF(A$2:A19,A19, O$2:O19)</f>
        <v>154</v>
      </c>
      <c r="K19">
        <f>SUMIF(A$2:A19, A19, P$2:P19)</f>
        <v>63</v>
      </c>
      <c r="L19">
        <f>SUMIF(A$2:A19, A19, Q$2:Q19)</f>
        <v>38</v>
      </c>
      <c r="M19">
        <f>SUMIF(A$2:A19, A19, R$2:R19)</f>
        <v>53</v>
      </c>
      <c r="N19">
        <f t="shared" si="5"/>
        <v>227</v>
      </c>
      <c r="O19">
        <f t="shared" si="8"/>
        <v>154</v>
      </c>
      <c r="P19">
        <f>13+14+13+15+8</f>
        <v>63</v>
      </c>
      <c r="Q19">
        <f>10+8+8+7+5</f>
        <v>38</v>
      </c>
      <c r="R19">
        <f>7+8+13+12+13</f>
        <v>53</v>
      </c>
      <c r="S19">
        <f t="shared" si="9"/>
        <v>227</v>
      </c>
      <c r="T19">
        <v>5</v>
      </c>
      <c r="U19">
        <f t="shared" si="7"/>
        <v>5</v>
      </c>
      <c r="V19">
        <f>IF(F19="-", U19)</f>
        <v>5</v>
      </c>
      <c r="W19">
        <f>IF(F19="-", Y19)</f>
        <v>5</v>
      </c>
      <c r="X19">
        <v>0</v>
      </c>
      <c r="Y19">
        <v>5</v>
      </c>
      <c r="Z19" t="b">
        <v>1</v>
      </c>
      <c r="AA19" t="s">
        <v>753</v>
      </c>
      <c r="AB19">
        <f>IFERROR(INDEX('List of Leagues'!E:E, MATCH(AA19, 'List of Leagues'!F:F, 0)), 0)</f>
        <v>73.5</v>
      </c>
      <c r="AC19" t="s">
        <v>184</v>
      </c>
      <c r="AD19">
        <f>IFERROR(INDEX('List of Leagues'!E:E, MATCH(AC19, 'List of Leagues'!F:F, 0)), 0)</f>
        <v>93.8</v>
      </c>
      <c r="AE19" t="s">
        <v>178</v>
      </c>
      <c r="AF19">
        <f>IFERROR(INDEX('List of Leagues'!E:E, MATCH(AE19, 'List of Leagues'!F:F, 0)), 0)</f>
        <v>69.3</v>
      </c>
      <c r="AG19" t="s">
        <v>659</v>
      </c>
      <c r="AH19">
        <f>IFERROR(INDEX('List of Leagues'!E:E, MATCH(AG19, 'List of Leagues'!F:F, 0)), 0)</f>
        <v>70.8</v>
      </c>
      <c r="AI19" t="s">
        <v>756</v>
      </c>
      <c r="AJ19">
        <f>IFERROR(INDEX('List of Leagues'!E:E, MATCH(AI19, 'List of Leagues'!F:F, 0)), 0)</f>
        <v>76.8</v>
      </c>
      <c r="AK19" t="s">
        <v>762</v>
      </c>
      <c r="AL19">
        <f>IFERROR(INDEX('List of Leagues'!E:E, MATCH(AK19, 'List of Leagues'!F:F, 0)), 0)</f>
        <v>0</v>
      </c>
      <c r="AM19" t="s">
        <v>762</v>
      </c>
      <c r="AN19">
        <f>IFERROR(INDEX('List of Leagues'!E:E, MATCH(AM19, 'List of Leagues'!F:F, 0)), 0)</f>
        <v>0</v>
      </c>
      <c r="AO19" t="s">
        <v>762</v>
      </c>
      <c r="AP19">
        <f>IFERROR(INDEX('List of Leagues'!E:E, MATCH(AO19, 'List of Leagues'!F:F, 0)), 0)</f>
        <v>0</v>
      </c>
      <c r="AQ19">
        <f t="shared" si="3"/>
        <v>48.025000000000006</v>
      </c>
      <c r="AR19" t="s">
        <v>204</v>
      </c>
      <c r="AS19">
        <f>IFERROR(INDEX('List of Leagues'!$E:$E, MATCH(AR19, 'List of Leagues'!$F:$F, 0)), 0)</f>
        <v>48.5</v>
      </c>
      <c r="AT19" t="s">
        <v>762</v>
      </c>
      <c r="AU19">
        <f>IFERROR(INDEX('List of Leagues'!$E:$E, MATCH(AT19, 'List of Leagues'!$F:$F, 0)), 0)</f>
        <v>0</v>
      </c>
      <c r="AV19" t="s">
        <v>762</v>
      </c>
      <c r="AW19">
        <f>IFERROR(INDEX('List of Leagues'!$E:$E, MATCH(AV19, 'List of Leagues'!$F:$F, 0)), 0)</f>
        <v>0</v>
      </c>
      <c r="AX19" t="s">
        <v>762</v>
      </c>
      <c r="AY19">
        <f>IFERROR(INDEX('List of Leagues'!$E:$E, MATCH(AX19, 'List of Leagues'!$F:$F, 0)), 0)</f>
        <v>0</v>
      </c>
      <c r="AZ19" t="s">
        <v>762</v>
      </c>
      <c r="BA19">
        <f>IFERROR(INDEX('List of Leagues'!$E:$E, MATCH(AZ19, 'List of Leagues'!$F:$F, 0)), 0)</f>
        <v>0</v>
      </c>
      <c r="BB19" t="s">
        <v>762</v>
      </c>
      <c r="BC19">
        <f>IFERROR(INDEX('List of Leagues'!$E:$E, MATCH(BB19, 'List of Leagues'!$F:$F, 0)), 0)</f>
        <v>0</v>
      </c>
      <c r="BD19">
        <f t="shared" si="4"/>
        <v>8.0833333333333339</v>
      </c>
    </row>
    <row r="20" spans="1:56" x14ac:dyDescent="0.35">
      <c r="A20" t="s">
        <v>25</v>
      </c>
      <c r="B20">
        <v>1</v>
      </c>
      <c r="C20">
        <v>1</v>
      </c>
      <c r="D20">
        <v>2009</v>
      </c>
      <c r="E20" t="s">
        <v>26</v>
      </c>
      <c r="F20" t="s">
        <v>14</v>
      </c>
      <c r="G20" t="s">
        <v>10</v>
      </c>
      <c r="H20" t="s">
        <v>10</v>
      </c>
      <c r="I20">
        <f t="shared" si="6"/>
        <v>0</v>
      </c>
      <c r="J20">
        <f>SUMIF(A$2:A20,A20, O$2:O20)</f>
        <v>513</v>
      </c>
      <c r="K20">
        <f>SUMIF(A$2:A20, A20, P$2:P20)</f>
        <v>227</v>
      </c>
      <c r="L20">
        <f>SUMIF(A$2:A20, A20, Q$2:Q20)</f>
        <v>121</v>
      </c>
      <c r="M20">
        <f>SUMIF(A$2:A20, A20, R$2:R20)</f>
        <v>165</v>
      </c>
      <c r="N20">
        <f t="shared" si="5"/>
        <v>802</v>
      </c>
      <c r="O20">
        <f t="shared" si="8"/>
        <v>250</v>
      </c>
      <c r="P20">
        <f>12+14+18+15+15+20+15+6</f>
        <v>115</v>
      </c>
      <c r="Q20">
        <f>6+4+7+11+9+6+11+2</f>
        <v>56</v>
      </c>
      <c r="R20">
        <f>7+10+7+8+12+10+13+12</f>
        <v>79</v>
      </c>
      <c r="S20">
        <f t="shared" si="9"/>
        <v>401</v>
      </c>
      <c r="T20">
        <v>7</v>
      </c>
      <c r="U20">
        <f t="shared" si="7"/>
        <v>41</v>
      </c>
      <c r="V20">
        <v>41</v>
      </c>
      <c r="W20">
        <v>11</v>
      </c>
      <c r="X20">
        <v>34</v>
      </c>
      <c r="Y20">
        <v>11</v>
      </c>
      <c r="Z20" t="b">
        <v>0</v>
      </c>
      <c r="AA20" t="s">
        <v>179</v>
      </c>
      <c r="AB20">
        <f>IFERROR(INDEX('List of Leagues'!E:E, MATCH(AA20, 'List of Leagues'!F:F, 0)), 0)</f>
        <v>0</v>
      </c>
      <c r="AC20" t="s">
        <v>762</v>
      </c>
      <c r="AD20">
        <f>IFERROR(INDEX('List of Leagues'!E:E, MATCH(AC20, 'List of Leagues'!F:F, 0)), 0)</f>
        <v>0</v>
      </c>
      <c r="AE20" t="s">
        <v>762</v>
      </c>
      <c r="AF20">
        <f>IFERROR(INDEX('List of Leagues'!E:E, MATCH(AE20, 'List of Leagues'!F:F, 0)), 0)</f>
        <v>0</v>
      </c>
      <c r="AG20" t="s">
        <v>762</v>
      </c>
      <c r="AH20">
        <f>IFERROR(INDEX('List of Leagues'!E:E, MATCH(AG20, 'List of Leagues'!F:F, 0)), 0)</f>
        <v>0</v>
      </c>
      <c r="AI20" t="s">
        <v>762</v>
      </c>
      <c r="AJ20">
        <f>IFERROR(INDEX('List of Leagues'!E:E, MATCH(AI20, 'List of Leagues'!F:F, 0)), 0)</f>
        <v>0</v>
      </c>
      <c r="AK20" t="s">
        <v>762</v>
      </c>
      <c r="AL20">
        <f>IFERROR(INDEX('List of Leagues'!E:E, MATCH(AK20, 'List of Leagues'!F:F, 0)), 0)</f>
        <v>0</v>
      </c>
      <c r="AM20" t="s">
        <v>762</v>
      </c>
      <c r="AN20">
        <f>IFERROR(INDEX('List of Leagues'!E:E, MATCH(AM20, 'List of Leagues'!F:F, 0)), 0)</f>
        <v>0</v>
      </c>
      <c r="AO20" t="s">
        <v>762</v>
      </c>
      <c r="AP20">
        <f>IFERROR(INDEX('List of Leagues'!E:E, MATCH(AO20, 'List of Leagues'!F:F, 0)), 0)</f>
        <v>0</v>
      </c>
      <c r="AQ20">
        <f t="shared" si="3"/>
        <v>0</v>
      </c>
      <c r="AR20" t="s">
        <v>177</v>
      </c>
      <c r="AS20">
        <f>IFERROR(INDEX('List of Leagues'!$E:$E, MATCH(AR20, 'List of Leagues'!$F:$F, 0)), 0)</f>
        <v>0</v>
      </c>
      <c r="AT20" t="s">
        <v>762</v>
      </c>
      <c r="AU20">
        <f>IFERROR(INDEX('List of Leagues'!$E:$E, MATCH(AT20, 'List of Leagues'!$F:$F, 0)), 0)</f>
        <v>0</v>
      </c>
      <c r="AV20" t="s">
        <v>762</v>
      </c>
      <c r="AW20">
        <f>IFERROR(INDEX('List of Leagues'!$E:$E, MATCH(AV20, 'List of Leagues'!$F:$F, 0)), 0)</f>
        <v>0</v>
      </c>
      <c r="AX20" t="s">
        <v>762</v>
      </c>
      <c r="AY20">
        <f>IFERROR(INDEX('List of Leagues'!$E:$E, MATCH(AX20, 'List of Leagues'!$F:$F, 0)), 0)</f>
        <v>0</v>
      </c>
      <c r="AZ20" t="s">
        <v>762</v>
      </c>
      <c r="BA20">
        <f>IFERROR(INDEX('List of Leagues'!$E:$E, MATCH(AZ20, 'List of Leagues'!$F:$F, 0)), 0)</f>
        <v>0</v>
      </c>
      <c r="BB20" t="s">
        <v>762</v>
      </c>
      <c r="BC20">
        <f>IFERROR(INDEX('List of Leagues'!$E:$E, MATCH(BB20, 'List of Leagues'!$F:$F, 0)), 0)</f>
        <v>0</v>
      </c>
      <c r="BD20">
        <f t="shared" si="4"/>
        <v>0</v>
      </c>
    </row>
    <row r="21" spans="1:56" x14ac:dyDescent="0.35">
      <c r="A21" t="s">
        <v>31</v>
      </c>
      <c r="B21">
        <v>1</v>
      </c>
      <c r="C21">
        <f>IF(COUNTIF($A$11:A21, A21) &gt; 1, 1, 0)</f>
        <v>0</v>
      </c>
      <c r="D21">
        <v>2010</v>
      </c>
      <c r="E21" t="s">
        <v>198</v>
      </c>
      <c r="F21" t="s">
        <v>64</v>
      </c>
      <c r="G21" t="s">
        <v>10</v>
      </c>
      <c r="H21" t="s">
        <v>10</v>
      </c>
      <c r="I21">
        <f t="shared" si="6"/>
        <v>0</v>
      </c>
      <c r="J21">
        <f>SUMIF(A$2:A21,A21, O$2:O21)</f>
        <v>334</v>
      </c>
      <c r="K21">
        <f>SUMIF(A$2:A21, A21, P$2:P21)</f>
        <v>113</v>
      </c>
      <c r="L21">
        <f>SUMIF(A$2:A21, A21, Q$2:Q21)</f>
        <v>84</v>
      </c>
      <c r="M21">
        <f>SUMIF(A$2:A21, A21, R$2:R21)</f>
        <v>137</v>
      </c>
      <c r="N21">
        <f t="shared" si="5"/>
        <v>423</v>
      </c>
      <c r="O21">
        <f t="shared" si="8"/>
        <v>334</v>
      </c>
      <c r="P21">
        <f>3+13+14+9+11+15+17+3+17+9+2</f>
        <v>113</v>
      </c>
      <c r="Q21">
        <f>1+11+9+5+13+6+8+7+7+12+5</f>
        <v>84</v>
      </c>
      <c r="R21">
        <f>8+10+11+20+10+13+9+24+10+13+9</f>
        <v>137</v>
      </c>
      <c r="S21">
        <f t="shared" si="9"/>
        <v>423</v>
      </c>
      <c r="T21">
        <v>10</v>
      </c>
      <c r="U21">
        <f t="shared" si="7"/>
        <v>10</v>
      </c>
      <c r="V21">
        <v>10</v>
      </c>
      <c r="W21">
        <v>1</v>
      </c>
      <c r="X21">
        <v>0</v>
      </c>
      <c r="Y21">
        <v>1</v>
      </c>
      <c r="Z21" t="b">
        <v>1</v>
      </c>
      <c r="AA21" t="s">
        <v>178</v>
      </c>
      <c r="AB21">
        <f>IFERROR(INDEX('List of Leagues'!E:E, MATCH(AA21, 'List of Leagues'!F:F, 0)), 0)</f>
        <v>69.3</v>
      </c>
      <c r="AC21" t="s">
        <v>185</v>
      </c>
      <c r="AD21">
        <f>IFERROR(INDEX('List of Leagues'!E:E, MATCH(AC21, 'List of Leagues'!F:F, 0)), 0)</f>
        <v>75.400000000000006</v>
      </c>
      <c r="AE21" t="s">
        <v>756</v>
      </c>
      <c r="AF21">
        <f>IFERROR(INDEX('List of Leagues'!E:E, MATCH(AE21, 'List of Leagues'!F:F, 0)), 0)</f>
        <v>76.8</v>
      </c>
      <c r="AG21" t="s">
        <v>762</v>
      </c>
      <c r="AH21">
        <f>IFERROR(INDEX('List of Leagues'!E:E, MATCH(AG21, 'List of Leagues'!F:F, 0)), 0)</f>
        <v>0</v>
      </c>
      <c r="AI21" t="s">
        <v>762</v>
      </c>
      <c r="AJ21">
        <f>IFERROR(INDEX('List of Leagues'!E:E, MATCH(AI21, 'List of Leagues'!F:F, 0)), 0)</f>
        <v>0</v>
      </c>
      <c r="AK21" t="s">
        <v>762</v>
      </c>
      <c r="AL21">
        <f>IFERROR(INDEX('List of Leagues'!E:E, MATCH(AK21, 'List of Leagues'!F:F, 0)), 0)</f>
        <v>0</v>
      </c>
      <c r="AM21" t="s">
        <v>762</v>
      </c>
      <c r="AN21">
        <f>IFERROR(INDEX('List of Leagues'!E:E, MATCH(AM21, 'List of Leagues'!F:F, 0)), 0)</f>
        <v>0</v>
      </c>
      <c r="AO21" t="s">
        <v>762</v>
      </c>
      <c r="AP21">
        <f>IFERROR(INDEX('List of Leagues'!E:E, MATCH(AO21, 'List of Leagues'!F:F, 0)), 0)</f>
        <v>0</v>
      </c>
      <c r="AQ21">
        <f t="shared" si="3"/>
        <v>27.6875</v>
      </c>
      <c r="AR21" t="s">
        <v>187</v>
      </c>
      <c r="AS21">
        <f>IFERROR(INDEX('List of Leagues'!$E:$E, MATCH(AR21, 'List of Leagues'!$F:$F, 0)), 0)</f>
        <v>58.4</v>
      </c>
      <c r="AT21" t="s">
        <v>762</v>
      </c>
      <c r="AU21">
        <f>IFERROR(INDEX('List of Leagues'!$E:$E, MATCH(AT21, 'List of Leagues'!$F:$F, 0)), 0)</f>
        <v>0</v>
      </c>
      <c r="AV21" t="s">
        <v>762</v>
      </c>
      <c r="AW21">
        <f>IFERROR(INDEX('List of Leagues'!$E:$E, MATCH(AV21, 'List of Leagues'!$F:$F, 0)), 0)</f>
        <v>0</v>
      </c>
      <c r="AX21" t="s">
        <v>762</v>
      </c>
      <c r="AY21">
        <f>IFERROR(INDEX('List of Leagues'!$E:$E, MATCH(AX21, 'List of Leagues'!$F:$F, 0)), 0)</f>
        <v>0</v>
      </c>
      <c r="AZ21" t="s">
        <v>762</v>
      </c>
      <c r="BA21">
        <f>IFERROR(INDEX('List of Leagues'!$E:$E, MATCH(AZ21, 'List of Leagues'!$F:$F, 0)), 0)</f>
        <v>0</v>
      </c>
      <c r="BB21" t="s">
        <v>762</v>
      </c>
      <c r="BC21">
        <f>IFERROR(INDEX('List of Leagues'!$E:$E, MATCH(BB21, 'List of Leagues'!$F:$F, 0)), 0)</f>
        <v>0</v>
      </c>
      <c r="BD21">
        <f t="shared" si="4"/>
        <v>9.7333333333333325</v>
      </c>
    </row>
    <row r="22" spans="1:56" x14ac:dyDescent="0.35">
      <c r="A22" t="s">
        <v>27</v>
      </c>
      <c r="B22">
        <v>0</v>
      </c>
      <c r="C22">
        <f>IF(COUNTIF($A$11:A22, A22) &gt; 1, 1, 0)</f>
        <v>0</v>
      </c>
      <c r="D22">
        <v>2010</v>
      </c>
      <c r="E22" t="s">
        <v>5</v>
      </c>
      <c r="F22" t="str">
        <f>IF(B22=0, "-", "")</f>
        <v>-</v>
      </c>
      <c r="G22" t="s">
        <v>6</v>
      </c>
      <c r="H22" t="s">
        <v>132</v>
      </c>
      <c r="I22">
        <f t="shared" si="6"/>
        <v>0</v>
      </c>
      <c r="J22">
        <f>SUMIF(A$2:A22,A22, O$2:O22)</f>
        <v>41</v>
      </c>
      <c r="K22">
        <f>SUMIF(A$2:A22, A22, P$2:P22)</f>
        <v>10</v>
      </c>
      <c r="L22">
        <f>SUMIF(A$2:A22, A22, Q$2:Q22)</f>
        <v>15</v>
      </c>
      <c r="M22">
        <f>SUMIF(A$2:A22, A22, R$2:R22)</f>
        <v>16</v>
      </c>
      <c r="N22">
        <f t="shared" si="5"/>
        <v>45</v>
      </c>
      <c r="O22">
        <f t="shared" si="8"/>
        <v>41</v>
      </c>
      <c r="P22">
        <v>10</v>
      </c>
      <c r="Q22">
        <v>15</v>
      </c>
      <c r="R22">
        <v>16</v>
      </c>
      <c r="S22">
        <f t="shared" si="9"/>
        <v>45</v>
      </c>
      <c r="T22">
        <v>1</v>
      </c>
      <c r="U22">
        <f t="shared" si="7"/>
        <v>18</v>
      </c>
      <c r="V22">
        <f>IF(F22="-", U22)</f>
        <v>18</v>
      </c>
      <c r="W22">
        <f>IF(F22="-", Y22)</f>
        <v>2</v>
      </c>
      <c r="X22">
        <v>17</v>
      </c>
      <c r="Y22">
        <v>2</v>
      </c>
      <c r="Z22" t="b">
        <v>1</v>
      </c>
      <c r="AA22" t="s">
        <v>201</v>
      </c>
      <c r="AB22">
        <f>IFERROR(INDEX('List of Leagues'!E:E, MATCH(AA22, 'List of Leagues'!F:F, 0)), 0)</f>
        <v>80</v>
      </c>
      <c r="AC22" t="s">
        <v>756</v>
      </c>
      <c r="AD22">
        <f>IFERROR(INDEX('List of Leagues'!E:E, MATCH(AC22, 'List of Leagues'!F:F, 0)), 0)</f>
        <v>76.8</v>
      </c>
      <c r="AE22" t="s">
        <v>756</v>
      </c>
      <c r="AF22">
        <f>IFERROR(INDEX('List of Leagues'!E:E, MATCH(AE22, 'List of Leagues'!F:F, 0)), 0)</f>
        <v>76.8</v>
      </c>
      <c r="AG22" t="s">
        <v>762</v>
      </c>
      <c r="AH22">
        <f>IFERROR(INDEX('List of Leagues'!E:E, MATCH(AG22, 'List of Leagues'!F:F, 0)), 0)</f>
        <v>0</v>
      </c>
      <c r="AI22" t="s">
        <v>762</v>
      </c>
      <c r="AJ22">
        <f>IFERROR(INDEX('List of Leagues'!E:E, MATCH(AI22, 'List of Leagues'!F:F, 0)), 0)</f>
        <v>0</v>
      </c>
      <c r="AK22" t="s">
        <v>762</v>
      </c>
      <c r="AL22">
        <f>IFERROR(INDEX('List of Leagues'!E:E, MATCH(AK22, 'List of Leagues'!F:F, 0)), 0)</f>
        <v>0</v>
      </c>
      <c r="AM22" t="s">
        <v>762</v>
      </c>
      <c r="AN22">
        <f>IFERROR(INDEX('List of Leagues'!E:E, MATCH(AM22, 'List of Leagues'!F:F, 0)), 0)</f>
        <v>0</v>
      </c>
      <c r="AO22" t="s">
        <v>762</v>
      </c>
      <c r="AP22">
        <f>IFERROR(INDEX('List of Leagues'!E:E, MATCH(AO22, 'List of Leagues'!F:F, 0)), 0)</f>
        <v>0</v>
      </c>
      <c r="AQ22">
        <f t="shared" si="3"/>
        <v>29.200000000000003</v>
      </c>
      <c r="AR22" t="s">
        <v>171</v>
      </c>
      <c r="AS22">
        <f>IFERROR(INDEX('List of Leagues'!$E:$E, MATCH(AR22, 'List of Leagues'!$F:$F, 0)), 0)</f>
        <v>0</v>
      </c>
      <c r="AT22" t="s">
        <v>761</v>
      </c>
      <c r="AU22">
        <f>IFERROR(INDEX('List of Leagues'!$E:$E, MATCH(AT22, 'List of Leagues'!$F:$F, 0)), 0)</f>
        <v>66.3</v>
      </c>
      <c r="AV22" t="s">
        <v>178</v>
      </c>
      <c r="AW22">
        <f>IFERROR(INDEX('List of Leagues'!$E:$E, MATCH(AV22, 'List of Leagues'!$F:$F, 0)), 0)</f>
        <v>69.3</v>
      </c>
      <c r="AX22" t="s">
        <v>756</v>
      </c>
      <c r="AY22">
        <f>IFERROR(INDEX('List of Leagues'!$E:$E, MATCH(AX22, 'List of Leagues'!$F:$F, 0)), 0)</f>
        <v>76.8</v>
      </c>
      <c r="AZ22" t="s">
        <v>762</v>
      </c>
      <c r="BA22">
        <f>IFERROR(INDEX('List of Leagues'!$E:$E, MATCH(AZ22, 'List of Leagues'!$F:$F, 0)), 0)</f>
        <v>0</v>
      </c>
      <c r="BB22" t="s">
        <v>762</v>
      </c>
      <c r="BC22">
        <f>IFERROR(INDEX('List of Leagues'!$E:$E, MATCH(BB22, 'List of Leagues'!$F:$F, 0)), 0)</f>
        <v>0</v>
      </c>
      <c r="BD22">
        <f t="shared" si="4"/>
        <v>35.4</v>
      </c>
    </row>
    <row r="23" spans="1:56" x14ac:dyDescent="0.35">
      <c r="A23" t="s">
        <v>30</v>
      </c>
      <c r="B23">
        <v>1</v>
      </c>
      <c r="C23">
        <v>1</v>
      </c>
      <c r="D23">
        <v>2010</v>
      </c>
      <c r="E23" t="s">
        <v>198</v>
      </c>
      <c r="F23" t="s">
        <v>14</v>
      </c>
      <c r="G23" t="s">
        <v>10</v>
      </c>
      <c r="H23" t="s">
        <v>10</v>
      </c>
      <c r="I23">
        <f t="shared" si="6"/>
        <v>0</v>
      </c>
      <c r="J23">
        <f>SUMIF(A$2:A23,A23, O$2:O23)</f>
        <v>108</v>
      </c>
      <c r="K23">
        <f>SUMIF(A$2:A23, A23, P$2:P23)</f>
        <v>30</v>
      </c>
      <c r="L23">
        <f>SUMIF(A$2:A23, A23, Q$2:Q23)</f>
        <v>34</v>
      </c>
      <c r="M23">
        <f>SUMIF(A$2:A23, A23, R$2:R23)</f>
        <v>32</v>
      </c>
      <c r="N23">
        <f t="shared" si="5"/>
        <v>124</v>
      </c>
      <c r="O23">
        <f t="shared" si="8"/>
        <v>18</v>
      </c>
      <c r="P23">
        <v>3</v>
      </c>
      <c r="Q23">
        <v>12</v>
      </c>
      <c r="R23">
        <v>3</v>
      </c>
      <c r="S23">
        <f t="shared" si="9"/>
        <v>21</v>
      </c>
      <c r="T23">
        <v>1</v>
      </c>
      <c r="U23">
        <f>V9+T23</f>
        <v>4</v>
      </c>
      <c r="V23">
        <v>7</v>
      </c>
      <c r="W23">
        <v>14</v>
      </c>
      <c r="X23">
        <v>3</v>
      </c>
      <c r="Y23">
        <v>5</v>
      </c>
      <c r="Z23" t="b">
        <v>1</v>
      </c>
      <c r="AA23" t="s">
        <v>724</v>
      </c>
      <c r="AB23">
        <f>IFERROR(INDEX('List of Leagues'!E:E, MATCH(AA23, 'List of Leagues'!F:F, 0)), 0)</f>
        <v>51.7</v>
      </c>
      <c r="AC23" t="s">
        <v>763</v>
      </c>
      <c r="AD23">
        <f>IFERROR(INDEX('List of Leagues'!E:E, MATCH(AC23, 'List of Leagues'!F:F, 0)), 0)</f>
        <v>0</v>
      </c>
      <c r="AE23" t="s">
        <v>178</v>
      </c>
      <c r="AF23">
        <f>IFERROR(INDEX('List of Leagues'!E:E, MATCH(AE23, 'List of Leagues'!F:F, 0)), 0)</f>
        <v>69.3</v>
      </c>
      <c r="AG23" t="s">
        <v>656</v>
      </c>
      <c r="AH23">
        <f>IFERROR(INDEX('List of Leagues'!E:E, MATCH(AG23, 'List of Leagues'!F:F, 0)), 0)</f>
        <v>72.2</v>
      </c>
      <c r="AI23" t="s">
        <v>187</v>
      </c>
      <c r="AJ23">
        <f>IFERROR(INDEX('List of Leagues'!E:E, MATCH(AI23, 'List of Leagues'!F:F, 0)), 0)</f>
        <v>58.4</v>
      </c>
      <c r="AK23" t="s">
        <v>756</v>
      </c>
      <c r="AL23">
        <f>IFERROR(INDEX('List of Leagues'!E:E, MATCH(AK23, 'List of Leagues'!F:F, 0)), 0)</f>
        <v>76.8</v>
      </c>
      <c r="AM23" t="s">
        <v>762</v>
      </c>
      <c r="AN23">
        <f>IFERROR(INDEX('List of Leagues'!E:E, MATCH(AM23, 'List of Leagues'!F:F, 0)), 0)</f>
        <v>0</v>
      </c>
      <c r="AO23" t="s">
        <v>762</v>
      </c>
      <c r="AP23">
        <f>IFERROR(INDEX('List of Leagues'!E:E, MATCH(AO23, 'List of Leagues'!F:F, 0)), 0)</f>
        <v>0</v>
      </c>
      <c r="AQ23">
        <f t="shared" si="3"/>
        <v>41.05</v>
      </c>
      <c r="AR23" t="s">
        <v>171</v>
      </c>
      <c r="AS23">
        <f>IFERROR(INDEX('List of Leagues'!$E:$E, MATCH(AR23, 'List of Leagues'!$F:$F, 0)), 0)</f>
        <v>0</v>
      </c>
      <c r="AT23" t="s">
        <v>761</v>
      </c>
      <c r="AU23">
        <f>IFERROR(INDEX('List of Leagues'!$E:$E, MATCH(AT23, 'List of Leagues'!$F:$F, 0)), 0)</f>
        <v>66.3</v>
      </c>
      <c r="AV23" t="s">
        <v>178</v>
      </c>
      <c r="AW23">
        <f>IFERROR(INDEX('List of Leagues'!$E:$E, MATCH(AV23, 'List of Leagues'!$F:$F, 0)), 0)</f>
        <v>69.3</v>
      </c>
      <c r="AX23" t="s">
        <v>756</v>
      </c>
      <c r="AY23">
        <f>IFERROR(INDEX('List of Leagues'!$E:$E, MATCH(AX23, 'List of Leagues'!$F:$F, 0)), 0)</f>
        <v>76.8</v>
      </c>
      <c r="AZ23" t="s">
        <v>762</v>
      </c>
      <c r="BA23">
        <f>IFERROR(INDEX('List of Leagues'!$E:$E, MATCH(AZ23, 'List of Leagues'!$F:$F, 0)), 0)</f>
        <v>0</v>
      </c>
      <c r="BB23" t="s">
        <v>762</v>
      </c>
      <c r="BC23">
        <f>IFERROR(INDEX('List of Leagues'!$E:$E, MATCH(BB23, 'List of Leagues'!$F:$F, 0)), 0)</f>
        <v>0</v>
      </c>
      <c r="BD23">
        <f t="shared" si="4"/>
        <v>35.4</v>
      </c>
    </row>
    <row r="24" spans="1:56" x14ac:dyDescent="0.35">
      <c r="A24" t="s">
        <v>32</v>
      </c>
      <c r="B24">
        <v>0</v>
      </c>
      <c r="C24">
        <f>IF(COUNTIF($A$11:A24, A24) &gt; 1, 1, 0)</f>
        <v>0</v>
      </c>
      <c r="D24">
        <v>2010</v>
      </c>
      <c r="E24" t="s">
        <v>17</v>
      </c>
      <c r="F24" t="str">
        <f>IF(B24=0, "-", "")</f>
        <v>-</v>
      </c>
      <c r="G24" t="s">
        <v>10</v>
      </c>
      <c r="H24" t="s">
        <v>10</v>
      </c>
      <c r="I24">
        <f t="shared" si="6"/>
        <v>0</v>
      </c>
      <c r="J24">
        <f>SUMIF(A$2:A24,A24, O$2:O24)</f>
        <v>98</v>
      </c>
      <c r="K24">
        <f>SUMIF(A$2:A24, A24, P$2:P24)</f>
        <v>41</v>
      </c>
      <c r="L24">
        <f>SUMIF(A$2:A24, A24, Q$2:Q24)</f>
        <v>31</v>
      </c>
      <c r="M24">
        <f>SUMIF(A$2:A24, A24, R$2:R24)</f>
        <v>26</v>
      </c>
      <c r="N24">
        <f t="shared" si="5"/>
        <v>154</v>
      </c>
      <c r="O24">
        <f t="shared" si="8"/>
        <v>98</v>
      </c>
      <c r="P24">
        <f>15+10+16</f>
        <v>41</v>
      </c>
      <c r="Q24">
        <f>9+16+6</f>
        <v>31</v>
      </c>
      <c r="R24">
        <f>9+9+8</f>
        <v>26</v>
      </c>
      <c r="S24">
        <f t="shared" si="9"/>
        <v>154</v>
      </c>
      <c r="T24">
        <v>3</v>
      </c>
      <c r="U24">
        <f t="shared" ref="U24:U63" si="10">X24+T24</f>
        <v>28</v>
      </c>
      <c r="V24">
        <f>IF(F24="-", U24)</f>
        <v>28</v>
      </c>
      <c r="W24">
        <f>IF(F24="-", Y24)</f>
        <v>2</v>
      </c>
      <c r="X24">
        <v>25</v>
      </c>
      <c r="Y24">
        <v>2</v>
      </c>
      <c r="Z24" t="b">
        <v>1</v>
      </c>
      <c r="AA24" t="s">
        <v>202</v>
      </c>
      <c r="AB24">
        <f>IFERROR(INDEX('List of Leagues'!E:E, MATCH(AA24, 'List of Leagues'!F:F, 0)), 0)</f>
        <v>51</v>
      </c>
      <c r="AC24" t="s">
        <v>762</v>
      </c>
      <c r="AD24">
        <f>IFERROR(INDEX('List of Leagues'!E:E, MATCH(AC24, 'List of Leagues'!F:F, 0)), 0)</f>
        <v>0</v>
      </c>
      <c r="AE24" t="s">
        <v>197</v>
      </c>
      <c r="AF24">
        <f>IFERROR(INDEX('List of Leagues'!E:E, MATCH(AE24, 'List of Leagues'!F:F, 0)), 0)</f>
        <v>78.400000000000006</v>
      </c>
      <c r="AG24" t="s">
        <v>762</v>
      </c>
      <c r="AH24">
        <f>IFERROR(INDEX('List of Leagues'!E:E, MATCH(AG24, 'List of Leagues'!F:F, 0)), 0)</f>
        <v>0</v>
      </c>
      <c r="AI24" t="s">
        <v>762</v>
      </c>
      <c r="AJ24">
        <f>IFERROR(INDEX('List of Leagues'!E:E, MATCH(AI24, 'List of Leagues'!F:F, 0)), 0)</f>
        <v>0</v>
      </c>
      <c r="AK24" t="s">
        <v>762</v>
      </c>
      <c r="AL24">
        <f>IFERROR(INDEX('List of Leagues'!E:E, MATCH(AK24, 'List of Leagues'!F:F, 0)), 0)</f>
        <v>0</v>
      </c>
      <c r="AM24" t="s">
        <v>762</v>
      </c>
      <c r="AN24">
        <f>IFERROR(INDEX('List of Leagues'!E:E, MATCH(AM24, 'List of Leagues'!F:F, 0)), 0)</f>
        <v>0</v>
      </c>
      <c r="AO24" t="s">
        <v>762</v>
      </c>
      <c r="AP24">
        <f>IFERROR(INDEX('List of Leagues'!E:E, MATCH(AO24, 'List of Leagues'!F:F, 0)), 0)</f>
        <v>0</v>
      </c>
      <c r="AQ24">
        <f t="shared" si="3"/>
        <v>16.175000000000001</v>
      </c>
      <c r="AR24" t="s">
        <v>171</v>
      </c>
      <c r="AS24">
        <f>IFERROR(INDEX('List of Leagues'!$E:$E, MATCH(AR24, 'List of Leagues'!$F:$F, 0)), 0)</f>
        <v>0</v>
      </c>
      <c r="AT24" t="s">
        <v>761</v>
      </c>
      <c r="AU24">
        <f>IFERROR(INDEX('List of Leagues'!$E:$E, MATCH(AT24, 'List of Leagues'!$F:$F, 0)), 0)</f>
        <v>66.3</v>
      </c>
      <c r="AV24" t="s">
        <v>762</v>
      </c>
      <c r="AW24">
        <f>IFERROR(INDEX('List of Leagues'!$E:$E, MATCH(AV24, 'List of Leagues'!$F:$F, 0)), 0)</f>
        <v>0</v>
      </c>
      <c r="AX24" t="s">
        <v>762</v>
      </c>
      <c r="AY24">
        <f>IFERROR(INDEX('List of Leagues'!$E:$E, MATCH(AX24, 'List of Leagues'!$F:$F, 0)), 0)</f>
        <v>0</v>
      </c>
      <c r="AZ24" t="s">
        <v>762</v>
      </c>
      <c r="BA24">
        <f>IFERROR(INDEX('List of Leagues'!$E:$E, MATCH(AZ24, 'List of Leagues'!$F:$F, 0)), 0)</f>
        <v>0</v>
      </c>
      <c r="BB24" t="s">
        <v>762</v>
      </c>
      <c r="BC24">
        <f>IFERROR(INDEX('List of Leagues'!$E:$E, MATCH(BB24, 'List of Leagues'!$F:$F, 0)), 0)</f>
        <v>0</v>
      </c>
      <c r="BD24">
        <f t="shared" si="4"/>
        <v>11.049999999999999</v>
      </c>
    </row>
    <row r="25" spans="1:56" x14ac:dyDescent="0.35">
      <c r="A25" t="s">
        <v>28</v>
      </c>
      <c r="B25">
        <v>0</v>
      </c>
      <c r="C25">
        <f>IF(COUNTIF($A$11:A25, A25) &gt; 1, 1, 0)</f>
        <v>0</v>
      </c>
      <c r="D25">
        <v>2010</v>
      </c>
      <c r="E25" t="s">
        <v>29</v>
      </c>
      <c r="F25" t="str">
        <f>IF(B25=0, "-", "")</f>
        <v>-</v>
      </c>
      <c r="G25" t="s">
        <v>6</v>
      </c>
      <c r="H25" t="s">
        <v>132</v>
      </c>
      <c r="I25">
        <f t="shared" si="6"/>
        <v>0</v>
      </c>
      <c r="J25">
        <f>SUMIF(A$2:A25,A25, O$2:O25)</f>
        <v>30</v>
      </c>
      <c r="K25">
        <f>SUMIF(A$2:A25, A25, P$2:P25)</f>
        <v>8</v>
      </c>
      <c r="L25">
        <f>SUMIF(A$2:A25, A25, Q$2:Q25)</f>
        <v>4</v>
      </c>
      <c r="M25">
        <f>SUMIF(A$2:A25, A25, R$2:R25)</f>
        <v>18</v>
      </c>
      <c r="N25">
        <f t="shared" si="5"/>
        <v>28</v>
      </c>
      <c r="O25">
        <f t="shared" si="8"/>
        <v>30</v>
      </c>
      <c r="P25">
        <v>8</v>
      </c>
      <c r="Q25">
        <v>4</v>
      </c>
      <c r="R25">
        <v>18</v>
      </c>
      <c r="S25">
        <f t="shared" si="9"/>
        <v>28</v>
      </c>
      <c r="T25">
        <v>1</v>
      </c>
      <c r="U25">
        <f t="shared" si="10"/>
        <v>1</v>
      </c>
      <c r="V25">
        <f>IF(F25="-", U25)</f>
        <v>1</v>
      </c>
      <c r="W25">
        <f>IF(F25="-", Y25)</f>
        <v>10</v>
      </c>
      <c r="X25">
        <v>0</v>
      </c>
      <c r="Y25">
        <v>10</v>
      </c>
      <c r="Z25" t="b">
        <v>1</v>
      </c>
      <c r="AA25" t="s">
        <v>182</v>
      </c>
      <c r="AB25">
        <f>IFERROR(INDEX('List of Leagues'!E:E, MATCH(AA25, 'List of Leagues'!F:F, 0)), 0)</f>
        <v>0</v>
      </c>
      <c r="AC25" t="s">
        <v>767</v>
      </c>
      <c r="AD25">
        <f>IFERROR(INDEX('List of Leagues'!E:E, MATCH(AC25, 'List of Leagues'!F:F, 0)), 0)</f>
        <v>0</v>
      </c>
      <c r="AE25" t="s">
        <v>756</v>
      </c>
      <c r="AF25">
        <f>IFERROR(INDEX('List of Leagues'!E:E, MATCH(AE25, 'List of Leagues'!F:F, 0)), 0)</f>
        <v>76.8</v>
      </c>
      <c r="AG25" t="s">
        <v>201</v>
      </c>
      <c r="AH25">
        <f>IFERROR(INDEX('List of Leagues'!E:E, MATCH(AG25, 'List of Leagues'!F:F, 0)), 0)</f>
        <v>80</v>
      </c>
      <c r="AI25" t="s">
        <v>178</v>
      </c>
      <c r="AJ25">
        <f>IFERROR(INDEX('List of Leagues'!E:E, MATCH(AI25, 'List of Leagues'!F:F, 0)), 0)</f>
        <v>69.3</v>
      </c>
      <c r="AK25" t="s">
        <v>187</v>
      </c>
      <c r="AL25">
        <f>IFERROR(INDEX('List of Leagues'!E:E, MATCH(AK25, 'List of Leagues'!F:F, 0)), 0)</f>
        <v>58.4</v>
      </c>
      <c r="AM25" t="s">
        <v>756</v>
      </c>
      <c r="AN25">
        <f>IFERROR(INDEX('List of Leagues'!E:E, MATCH(AM25, 'List of Leagues'!F:F, 0)), 0)</f>
        <v>76.8</v>
      </c>
      <c r="AO25" t="s">
        <v>762</v>
      </c>
      <c r="AP25">
        <f>IFERROR(INDEX('List of Leagues'!E:E, MATCH(AO25, 'List of Leagues'!F:F, 0)), 0)</f>
        <v>0</v>
      </c>
      <c r="AQ25">
        <f t="shared" si="3"/>
        <v>45.162500000000001</v>
      </c>
      <c r="AR25" t="s">
        <v>171</v>
      </c>
      <c r="AS25">
        <f>IFERROR(INDEX('List of Leagues'!$E:$E, MATCH(AR25, 'List of Leagues'!$F:$F, 0)), 0)</f>
        <v>0</v>
      </c>
      <c r="AT25" t="s">
        <v>761</v>
      </c>
      <c r="AU25">
        <f>IFERROR(INDEX('List of Leagues'!$E:$E, MATCH(AT25, 'List of Leagues'!$F:$F, 0)), 0)</f>
        <v>66.3</v>
      </c>
      <c r="AV25" t="s">
        <v>178</v>
      </c>
      <c r="AW25">
        <f>IFERROR(INDEX('List of Leagues'!$E:$E, MATCH(AV25, 'List of Leagues'!$F:$F, 0)), 0)</f>
        <v>69.3</v>
      </c>
      <c r="AX25" t="s">
        <v>762</v>
      </c>
      <c r="AY25">
        <f>IFERROR(INDEX('List of Leagues'!$E:$E, MATCH(AX25, 'List of Leagues'!$F:$F, 0)), 0)</f>
        <v>0</v>
      </c>
      <c r="AZ25" t="s">
        <v>762</v>
      </c>
      <c r="BA25">
        <f>IFERROR(INDEX('List of Leagues'!$E:$E, MATCH(AZ25, 'List of Leagues'!$F:$F, 0)), 0)</f>
        <v>0</v>
      </c>
      <c r="BB25" t="s">
        <v>762</v>
      </c>
      <c r="BC25">
        <f>IFERROR(INDEX('List of Leagues'!$E:$E, MATCH(BB25, 'List of Leagues'!$F:$F, 0)), 0)</f>
        <v>0</v>
      </c>
      <c r="BD25">
        <f t="shared" si="4"/>
        <v>22.599999999999998</v>
      </c>
    </row>
    <row r="26" spans="1:56" x14ac:dyDescent="0.35">
      <c r="A26" t="s">
        <v>33</v>
      </c>
      <c r="B26">
        <v>0</v>
      </c>
      <c r="C26">
        <v>1</v>
      </c>
      <c r="D26">
        <v>2010</v>
      </c>
      <c r="E26" t="s">
        <v>36</v>
      </c>
      <c r="F26" t="str">
        <f>IF(B26=0, "-", "")</f>
        <v>-</v>
      </c>
      <c r="G26" t="s">
        <v>10</v>
      </c>
      <c r="H26" t="s">
        <v>10</v>
      </c>
      <c r="I26">
        <f t="shared" si="6"/>
        <v>0</v>
      </c>
      <c r="J26">
        <f>SUMIF(A$2:A26,A26, O$2:O26)</f>
        <v>75</v>
      </c>
      <c r="K26">
        <f>SUMIF(A$2:A26, A26, P$2:P26)</f>
        <v>21</v>
      </c>
      <c r="L26">
        <f>SUMIF(A$2:A26, A26, Q$2:Q26)</f>
        <v>24</v>
      </c>
      <c r="M26">
        <f>SUMIF(A$2:A26, A26, R$2:R26)</f>
        <v>30</v>
      </c>
      <c r="N26">
        <f t="shared" si="5"/>
        <v>87</v>
      </c>
      <c r="O26">
        <f t="shared" si="8"/>
        <v>75</v>
      </c>
      <c r="P26">
        <f>8+11+2</f>
        <v>21</v>
      </c>
      <c r="Q26">
        <f>7+15+2</f>
        <v>24</v>
      </c>
      <c r="R26">
        <f>15+8+7</f>
        <v>30</v>
      </c>
      <c r="S26">
        <f t="shared" si="9"/>
        <v>87</v>
      </c>
      <c r="T26">
        <v>1</v>
      </c>
      <c r="U26">
        <f t="shared" si="10"/>
        <v>6</v>
      </c>
      <c r="V26">
        <f>IF(F26="-", U26)</f>
        <v>6</v>
      </c>
      <c r="W26">
        <f>IF(F26="-", Y26)</f>
        <v>2</v>
      </c>
      <c r="X26">
        <v>5</v>
      </c>
      <c r="Y26">
        <v>2</v>
      </c>
      <c r="Z26" t="b">
        <v>1</v>
      </c>
      <c r="AA26" t="s">
        <v>579</v>
      </c>
      <c r="AB26">
        <f>IFERROR(INDEX('List of Leagues'!E:E, MATCH(AA26, 'List of Leagues'!F:F, 0)), 0)</f>
        <v>64.7</v>
      </c>
      <c r="AC26" t="s">
        <v>533</v>
      </c>
      <c r="AD26">
        <f>IFERROR(INDEX('List of Leagues'!E:E, MATCH(AC26, 'List of Leagues'!F:F, 0)), 0)</f>
        <v>80.8</v>
      </c>
      <c r="AE26" t="s">
        <v>182</v>
      </c>
      <c r="AF26">
        <f>IFERROR(INDEX('List of Leagues'!E:E, MATCH(AE26, 'List of Leagues'!F:F, 0)), 0)</f>
        <v>0</v>
      </c>
      <c r="AG26" t="s">
        <v>542</v>
      </c>
      <c r="AH26">
        <f>IFERROR(INDEX('List of Leagues'!E:E, MATCH(AG26, 'List of Leagues'!F:F, 0)), 0)</f>
        <v>90.3</v>
      </c>
      <c r="AI26" t="s">
        <v>178</v>
      </c>
      <c r="AJ26">
        <f>IFERROR(INDEX('List of Leagues'!E:E, MATCH(AI26, 'List of Leagues'!F:F, 0)), 0)</f>
        <v>69.3</v>
      </c>
      <c r="AK26" t="s">
        <v>756</v>
      </c>
      <c r="AL26">
        <f>IFERROR(INDEX('List of Leagues'!E:E, MATCH(AK26, 'List of Leagues'!F:F, 0)), 0)</f>
        <v>76.8</v>
      </c>
      <c r="AM26" t="s">
        <v>762</v>
      </c>
      <c r="AN26">
        <f>IFERROR(INDEX('List of Leagues'!E:E, MATCH(AM26, 'List of Leagues'!F:F, 0)), 0)</f>
        <v>0</v>
      </c>
      <c r="AO26" t="s">
        <v>762</v>
      </c>
      <c r="AP26">
        <f>IFERROR(INDEX('List of Leagues'!E:E, MATCH(AO26, 'List of Leagues'!F:F, 0)), 0)</f>
        <v>0</v>
      </c>
      <c r="AQ26">
        <f t="shared" si="3"/>
        <v>47.737500000000004</v>
      </c>
      <c r="AR26" t="s">
        <v>177</v>
      </c>
      <c r="AS26">
        <f>IFERROR(INDEX('List of Leagues'!$E:$E, MATCH(AR26, 'List of Leagues'!$F:$F, 0)), 0)</f>
        <v>0</v>
      </c>
      <c r="AT26" t="s">
        <v>762</v>
      </c>
      <c r="AU26">
        <f>IFERROR(INDEX('List of Leagues'!$E:$E, MATCH(AT26, 'List of Leagues'!$F:$F, 0)), 0)</f>
        <v>0</v>
      </c>
      <c r="AV26" t="s">
        <v>762</v>
      </c>
      <c r="AW26">
        <f>IFERROR(INDEX('List of Leagues'!$E:$E, MATCH(AV26, 'List of Leagues'!$F:$F, 0)), 0)</f>
        <v>0</v>
      </c>
      <c r="AX26" t="s">
        <v>762</v>
      </c>
      <c r="AY26">
        <f>IFERROR(INDEX('List of Leagues'!$E:$E, MATCH(AX26, 'List of Leagues'!$F:$F, 0)), 0)</f>
        <v>0</v>
      </c>
      <c r="AZ26" t="s">
        <v>762</v>
      </c>
      <c r="BA26">
        <f>IFERROR(INDEX('List of Leagues'!$E:$E, MATCH(AZ26, 'List of Leagues'!$F:$F, 0)), 0)</f>
        <v>0</v>
      </c>
      <c r="BB26" t="s">
        <v>762</v>
      </c>
      <c r="BC26">
        <f>IFERROR(INDEX('List of Leagues'!$E:$E, MATCH(BB26, 'List of Leagues'!$F:$F, 0)), 0)</f>
        <v>0</v>
      </c>
      <c r="BD26">
        <f t="shared" si="4"/>
        <v>0</v>
      </c>
    </row>
    <row r="27" spans="1:56" x14ac:dyDescent="0.35">
      <c r="A27" t="s">
        <v>34</v>
      </c>
      <c r="B27">
        <v>0</v>
      </c>
      <c r="C27">
        <v>1</v>
      </c>
      <c r="D27">
        <v>2010</v>
      </c>
      <c r="E27" t="s">
        <v>21</v>
      </c>
      <c r="F27" t="str">
        <f>IF(B27=0, "-", "")</f>
        <v>-</v>
      </c>
      <c r="G27" t="s">
        <v>10</v>
      </c>
      <c r="H27" t="s">
        <v>10</v>
      </c>
      <c r="I27">
        <f t="shared" si="6"/>
        <v>0</v>
      </c>
      <c r="J27">
        <f>SUMIF(A$2:A27,A27, O$2:O27)</f>
        <v>114</v>
      </c>
      <c r="K27">
        <f>SUMIF(A$2:A27, A27, P$2:P27)</f>
        <v>47</v>
      </c>
      <c r="L27">
        <f>SUMIF(A$2:A27, A27, Q$2:Q27)</f>
        <v>28</v>
      </c>
      <c r="M27">
        <f>SUMIF(A$2:A27, A27, R$2:R27)</f>
        <v>39</v>
      </c>
      <c r="N27">
        <f t="shared" si="5"/>
        <v>169</v>
      </c>
      <c r="O27">
        <f t="shared" si="8"/>
        <v>24</v>
      </c>
      <c r="P27">
        <v>7</v>
      </c>
      <c r="Q27">
        <v>7</v>
      </c>
      <c r="R27">
        <v>10</v>
      </c>
      <c r="S27">
        <f t="shared" si="9"/>
        <v>28</v>
      </c>
      <c r="T27">
        <v>1</v>
      </c>
      <c r="U27">
        <f t="shared" si="10"/>
        <v>4</v>
      </c>
      <c r="V27">
        <f>IF(F27="-", U27)</f>
        <v>4</v>
      </c>
      <c r="W27">
        <f>IF(F27="-", Y27)</f>
        <v>1</v>
      </c>
      <c r="X27">
        <v>3</v>
      </c>
      <c r="Y27">
        <v>1</v>
      </c>
      <c r="Z27" t="b">
        <v>1</v>
      </c>
      <c r="AA27" t="s">
        <v>202</v>
      </c>
      <c r="AB27">
        <f>IFERROR(INDEX('List of Leagues'!E:E, MATCH(AA27, 'List of Leagues'!F:F, 0)), 0)</f>
        <v>51</v>
      </c>
      <c r="AC27" t="s">
        <v>551</v>
      </c>
      <c r="AD27">
        <f>IFERROR(INDEX('List of Leagues'!E:E, MATCH(AC27, 'List of Leagues'!F:F, 0)), 0)</f>
        <v>70.900000000000006</v>
      </c>
      <c r="AE27" t="s">
        <v>178</v>
      </c>
      <c r="AF27">
        <f>IFERROR(INDEX('List of Leagues'!E:E, MATCH(AE27, 'List of Leagues'!F:F, 0)), 0)</f>
        <v>69.3</v>
      </c>
      <c r="AG27" t="s">
        <v>178</v>
      </c>
      <c r="AH27">
        <f>IFERROR(INDEX('List of Leagues'!E:E, MATCH(AG27, 'List of Leagues'!F:F, 0)), 0)</f>
        <v>69.3</v>
      </c>
      <c r="AI27" t="s">
        <v>184</v>
      </c>
      <c r="AJ27">
        <f>IFERROR(INDEX('List of Leagues'!E:E, MATCH(AI27, 'List of Leagues'!F:F, 0)), 0)</f>
        <v>93.8</v>
      </c>
      <c r="AK27" t="s">
        <v>185</v>
      </c>
      <c r="AL27">
        <f>IFERROR(INDEX('List of Leagues'!E:E, MATCH(AK27, 'List of Leagues'!F:F, 0)), 0)</f>
        <v>75.400000000000006</v>
      </c>
      <c r="AM27" t="s">
        <v>756</v>
      </c>
      <c r="AN27">
        <f>IFERROR(INDEX('List of Leagues'!E:E, MATCH(AM27, 'List of Leagues'!F:F, 0)), 0)</f>
        <v>76.8</v>
      </c>
      <c r="AO27" t="s">
        <v>762</v>
      </c>
      <c r="AP27">
        <f>IFERROR(INDEX('List of Leagues'!E:E, MATCH(AO27, 'List of Leagues'!F:F, 0)), 0)</f>
        <v>0</v>
      </c>
      <c r="AQ27">
        <f t="shared" si="3"/>
        <v>63.312500000000007</v>
      </c>
      <c r="AR27" t="s">
        <v>201</v>
      </c>
      <c r="AS27">
        <f>IFERROR(INDEX('List of Leagues'!$E:$E, MATCH(AR27, 'List of Leagues'!$F:$F, 0)), 0)</f>
        <v>80</v>
      </c>
      <c r="AT27" t="s">
        <v>762</v>
      </c>
      <c r="AU27">
        <f>IFERROR(INDEX('List of Leagues'!$E:$E, MATCH(AT27, 'List of Leagues'!$F:$F, 0)), 0)</f>
        <v>0</v>
      </c>
      <c r="AV27" t="s">
        <v>762</v>
      </c>
      <c r="AW27">
        <f>IFERROR(INDEX('List of Leagues'!$E:$E, MATCH(AV27, 'List of Leagues'!$F:$F, 0)), 0)</f>
        <v>0</v>
      </c>
      <c r="AX27" t="s">
        <v>762</v>
      </c>
      <c r="AY27">
        <f>IFERROR(INDEX('List of Leagues'!$E:$E, MATCH(AX27, 'List of Leagues'!$F:$F, 0)), 0)</f>
        <v>0</v>
      </c>
      <c r="AZ27" t="s">
        <v>762</v>
      </c>
      <c r="BA27">
        <f>IFERROR(INDEX('List of Leagues'!$E:$E, MATCH(AZ27, 'List of Leagues'!$F:$F, 0)), 0)</f>
        <v>0</v>
      </c>
      <c r="BB27" t="s">
        <v>762</v>
      </c>
      <c r="BC27">
        <f>IFERROR(INDEX('List of Leagues'!$E:$E, MATCH(BB27, 'List of Leagues'!$F:$F, 0)), 0)</f>
        <v>0</v>
      </c>
      <c r="BD27">
        <f t="shared" si="4"/>
        <v>13.333333333333334</v>
      </c>
    </row>
    <row r="28" spans="1:56" x14ac:dyDescent="0.35">
      <c r="A28" t="s">
        <v>40</v>
      </c>
      <c r="B28">
        <v>0</v>
      </c>
      <c r="C28">
        <f>IF(COUNTIF($A$11:A28, A28) &gt; 1, 1, 0)</f>
        <v>0</v>
      </c>
      <c r="D28">
        <v>2011</v>
      </c>
      <c r="E28" t="s">
        <v>21</v>
      </c>
      <c r="F28" t="str">
        <f>IF(B28=0, "-", "")</f>
        <v>-</v>
      </c>
      <c r="G28" t="s">
        <v>6</v>
      </c>
      <c r="H28" t="s">
        <v>131</v>
      </c>
      <c r="I28">
        <f t="shared" si="6"/>
        <v>1</v>
      </c>
      <c r="J28">
        <f>SUMIF(A$2:A28,A28, O$2:O28)</f>
        <v>44</v>
      </c>
      <c r="K28">
        <f>SUMIF(A$2:A28, A28, P$2:P28)</f>
        <v>7</v>
      </c>
      <c r="L28">
        <f>SUMIF(A$2:A28, A28, Q$2:Q28)</f>
        <v>15</v>
      </c>
      <c r="M28">
        <f>SUMIF(A$2:A28, A28, R$2:R28)</f>
        <v>22</v>
      </c>
      <c r="N28">
        <f t="shared" si="5"/>
        <v>36</v>
      </c>
      <c r="O28">
        <f t="shared" si="8"/>
        <v>44</v>
      </c>
      <c r="P28">
        <v>7</v>
      </c>
      <c r="Q28">
        <v>15</v>
      </c>
      <c r="R28">
        <v>22</v>
      </c>
      <c r="S28">
        <f t="shared" si="9"/>
        <v>36</v>
      </c>
      <c r="T28">
        <v>1</v>
      </c>
      <c r="U28">
        <f t="shared" si="10"/>
        <v>1</v>
      </c>
      <c r="V28">
        <f>IF(F28="-", U28)</f>
        <v>1</v>
      </c>
      <c r="W28">
        <f>IF(F28="-", Y28)</f>
        <v>3</v>
      </c>
      <c r="X28">
        <v>0</v>
      </c>
      <c r="Y28">
        <v>3</v>
      </c>
      <c r="Z28" t="b">
        <v>1</v>
      </c>
      <c r="AA28" t="s">
        <v>197</v>
      </c>
      <c r="AB28">
        <f>IFERROR(INDEX('List of Leagues'!E:E, MATCH(AA28, 'List of Leagues'!F:F, 0)), 0)</f>
        <v>78.400000000000006</v>
      </c>
      <c r="AC28" t="s">
        <v>529</v>
      </c>
      <c r="AD28">
        <f>IFERROR(INDEX('List of Leagues'!E:E, MATCH(AC28, 'List of Leagues'!F:F, 0)), 0)</f>
        <v>89.5</v>
      </c>
      <c r="AE28" t="s">
        <v>756</v>
      </c>
      <c r="AF28">
        <f>IFERROR(INDEX('List of Leagues'!E:E, MATCH(AE28, 'List of Leagues'!F:F, 0)), 0)</f>
        <v>76.8</v>
      </c>
      <c r="AG28" t="s">
        <v>762</v>
      </c>
      <c r="AH28">
        <f>IFERROR(INDEX('List of Leagues'!E:E, MATCH(AG28, 'List of Leagues'!F:F, 0)), 0)</f>
        <v>0</v>
      </c>
      <c r="AI28" t="s">
        <v>762</v>
      </c>
      <c r="AJ28">
        <f>IFERROR(INDEX('List of Leagues'!E:E, MATCH(AI28, 'List of Leagues'!F:F, 0)), 0)</f>
        <v>0</v>
      </c>
      <c r="AK28" t="s">
        <v>762</v>
      </c>
      <c r="AL28">
        <f>IFERROR(INDEX('List of Leagues'!E:E, MATCH(AK28, 'List of Leagues'!F:F, 0)), 0)</f>
        <v>0</v>
      </c>
      <c r="AM28" t="s">
        <v>762</v>
      </c>
      <c r="AN28">
        <f>IFERROR(INDEX('List of Leagues'!E:E, MATCH(AM28, 'List of Leagues'!F:F, 0)), 0)</f>
        <v>0</v>
      </c>
      <c r="AO28" t="s">
        <v>762</v>
      </c>
      <c r="AP28">
        <f>IFERROR(INDEX('List of Leagues'!E:E, MATCH(AO28, 'List of Leagues'!F:F, 0)), 0)</f>
        <v>0</v>
      </c>
      <c r="AQ28">
        <f t="shared" si="3"/>
        <v>30.587499999999999</v>
      </c>
      <c r="AR28" t="s">
        <v>177</v>
      </c>
      <c r="AS28">
        <f>IFERROR(INDEX('List of Leagues'!$E:$E, MATCH(AR28, 'List of Leagues'!$F:$F, 0)), 0)</f>
        <v>0</v>
      </c>
      <c r="AT28" t="s">
        <v>762</v>
      </c>
      <c r="AU28">
        <f>IFERROR(INDEX('List of Leagues'!$E:$E, MATCH(AT28, 'List of Leagues'!$F:$F, 0)), 0)</f>
        <v>0</v>
      </c>
      <c r="AV28" t="s">
        <v>762</v>
      </c>
      <c r="AW28">
        <f>IFERROR(INDEX('List of Leagues'!$E:$E, MATCH(AV28, 'List of Leagues'!$F:$F, 0)), 0)</f>
        <v>0</v>
      </c>
      <c r="AX28" t="s">
        <v>762</v>
      </c>
      <c r="AY28">
        <f>IFERROR(INDEX('List of Leagues'!$E:$E, MATCH(AX28, 'List of Leagues'!$F:$F, 0)), 0)</f>
        <v>0</v>
      </c>
      <c r="AZ28" t="s">
        <v>762</v>
      </c>
      <c r="BA28">
        <f>IFERROR(INDEX('List of Leagues'!$E:$E, MATCH(AZ28, 'List of Leagues'!$F:$F, 0)), 0)</f>
        <v>0</v>
      </c>
      <c r="BB28" t="s">
        <v>762</v>
      </c>
      <c r="BC28">
        <f>IFERROR(INDEX('List of Leagues'!$E:$E, MATCH(BB28, 'List of Leagues'!$F:$F, 0)), 0)</f>
        <v>0</v>
      </c>
      <c r="BD28">
        <f t="shared" si="4"/>
        <v>0</v>
      </c>
    </row>
    <row r="29" spans="1:56" x14ac:dyDescent="0.35">
      <c r="A29" t="s">
        <v>35</v>
      </c>
      <c r="B29">
        <v>1</v>
      </c>
      <c r="C29">
        <f>IF(COUNTIF($A$11:A29, A29) &gt; 1, 1, 0)</f>
        <v>0</v>
      </c>
      <c r="D29">
        <v>2011</v>
      </c>
      <c r="E29" t="s">
        <v>5</v>
      </c>
      <c r="F29" t="s">
        <v>45</v>
      </c>
      <c r="G29" t="s">
        <v>10</v>
      </c>
      <c r="H29" t="s">
        <v>10</v>
      </c>
      <c r="I29">
        <f t="shared" si="6"/>
        <v>0</v>
      </c>
      <c r="J29">
        <f>SUMIF(A$2:A29,A29, O$2:O29)</f>
        <v>91</v>
      </c>
      <c r="K29">
        <f>SUMIF(A$2:A29, A29, P$2:P29)</f>
        <v>39</v>
      </c>
      <c r="L29">
        <f>SUMIF(A$2:A29, A29, Q$2:Q29)</f>
        <v>23</v>
      </c>
      <c r="M29">
        <f>SUMIF(A$2:A29, A29, R$2:R29)</f>
        <v>29</v>
      </c>
      <c r="N29">
        <f t="shared" si="5"/>
        <v>140</v>
      </c>
      <c r="O29">
        <f t="shared" si="8"/>
        <v>91</v>
      </c>
      <c r="P29">
        <f>17+14+8</f>
        <v>39</v>
      </c>
      <c r="Q29">
        <f>7+6+10</f>
        <v>23</v>
      </c>
      <c r="R29">
        <f>13+11+5</f>
        <v>29</v>
      </c>
      <c r="S29">
        <f t="shared" si="9"/>
        <v>140</v>
      </c>
      <c r="T29">
        <v>3</v>
      </c>
      <c r="U29">
        <f t="shared" si="10"/>
        <v>5</v>
      </c>
      <c r="V29">
        <v>5</v>
      </c>
      <c r="W29">
        <v>0</v>
      </c>
      <c r="X29">
        <v>2</v>
      </c>
      <c r="Y29">
        <v>0</v>
      </c>
      <c r="Z29" t="b">
        <v>1</v>
      </c>
      <c r="AA29" t="s">
        <v>752</v>
      </c>
      <c r="AB29">
        <f>IFERROR(INDEX('List of Leagues'!E:E, MATCH(AA29, 'List of Leagues'!F:F, 0)), 0)</f>
        <v>0</v>
      </c>
      <c r="AC29" t="s">
        <v>534</v>
      </c>
      <c r="AD29">
        <f>IFERROR(INDEX('List of Leagues'!E:E, MATCH(AC29, 'List of Leagues'!F:F, 0)), 0)</f>
        <v>80.7</v>
      </c>
      <c r="AE29" t="s">
        <v>178</v>
      </c>
      <c r="AF29">
        <f>IFERROR(INDEX('List of Leagues'!E:E, MATCH(AE29, 'List of Leagues'!F:F, 0)), 0)</f>
        <v>69.3</v>
      </c>
      <c r="AG29" t="s">
        <v>756</v>
      </c>
      <c r="AH29">
        <f>IFERROR(INDEX('List of Leagues'!E:E, MATCH(AG29, 'List of Leagues'!F:F, 0)), 0)</f>
        <v>76.8</v>
      </c>
      <c r="AI29" t="s">
        <v>762</v>
      </c>
      <c r="AJ29">
        <f>IFERROR(INDEX('List of Leagues'!E:E, MATCH(AI29, 'List of Leagues'!F:F, 0)), 0)</f>
        <v>0</v>
      </c>
      <c r="AK29" t="s">
        <v>762</v>
      </c>
      <c r="AL29">
        <f>IFERROR(INDEX('List of Leagues'!E:E, MATCH(AK29, 'List of Leagues'!F:F, 0)), 0)</f>
        <v>0</v>
      </c>
      <c r="AM29" t="s">
        <v>762</v>
      </c>
      <c r="AN29">
        <f>IFERROR(INDEX('List of Leagues'!E:E, MATCH(AM29, 'List of Leagues'!F:F, 0)), 0)</f>
        <v>0</v>
      </c>
      <c r="AO29" t="s">
        <v>762</v>
      </c>
      <c r="AP29">
        <f>IFERROR(INDEX('List of Leagues'!E:E, MATCH(AO29, 'List of Leagues'!F:F, 0)), 0)</f>
        <v>0</v>
      </c>
      <c r="AQ29">
        <f t="shared" si="3"/>
        <v>28.35</v>
      </c>
      <c r="AR29" t="s">
        <v>178</v>
      </c>
      <c r="AS29">
        <f>IFERROR(INDEX('List of Leagues'!$E:$E, MATCH(AR29, 'List of Leagues'!$F:$F, 0)), 0)</f>
        <v>69.3</v>
      </c>
      <c r="AT29" t="s">
        <v>762</v>
      </c>
      <c r="AU29">
        <f>IFERROR(INDEX('List of Leagues'!$E:$E, MATCH(AT29, 'List of Leagues'!$F:$F, 0)), 0)</f>
        <v>0</v>
      </c>
      <c r="AV29" t="s">
        <v>762</v>
      </c>
      <c r="AW29">
        <f>IFERROR(INDEX('List of Leagues'!$E:$E, MATCH(AV29, 'List of Leagues'!$F:$F, 0)), 0)</f>
        <v>0</v>
      </c>
      <c r="AX29" t="s">
        <v>762</v>
      </c>
      <c r="AY29">
        <f>IFERROR(INDEX('List of Leagues'!$E:$E, MATCH(AX29, 'List of Leagues'!$F:$F, 0)), 0)</f>
        <v>0</v>
      </c>
      <c r="AZ29" t="s">
        <v>762</v>
      </c>
      <c r="BA29">
        <f>IFERROR(INDEX('List of Leagues'!$E:$E, MATCH(AZ29, 'List of Leagues'!$F:$F, 0)), 0)</f>
        <v>0</v>
      </c>
      <c r="BB29" t="s">
        <v>762</v>
      </c>
      <c r="BC29">
        <f>IFERROR(INDEX('List of Leagues'!$E:$E, MATCH(BB29, 'List of Leagues'!$F:$F, 0)), 0)</f>
        <v>0</v>
      </c>
      <c r="BD29">
        <f t="shared" si="4"/>
        <v>11.549999999999999</v>
      </c>
    </row>
    <row r="30" spans="1:56" x14ac:dyDescent="0.35">
      <c r="A30" t="s">
        <v>38</v>
      </c>
      <c r="B30">
        <v>0</v>
      </c>
      <c r="C30">
        <f>IF(COUNTIF($A$11:A30, A30) &gt; 1, 1, 0)</f>
        <v>0</v>
      </c>
      <c r="D30">
        <v>2011</v>
      </c>
      <c r="E30" t="s">
        <v>39</v>
      </c>
      <c r="F30" t="str">
        <f>IF(B30=0, "-", "")</f>
        <v>-</v>
      </c>
      <c r="G30" t="s">
        <v>10</v>
      </c>
      <c r="H30" t="s">
        <v>10</v>
      </c>
      <c r="I30">
        <f t="shared" si="6"/>
        <v>0</v>
      </c>
      <c r="J30">
        <f>SUMIF(A$2:A30,A30, O$2:O30)</f>
        <v>50</v>
      </c>
      <c r="K30">
        <f>SUMIF(A$2:A30, A30, P$2:P30)</f>
        <v>15</v>
      </c>
      <c r="L30">
        <f>SUMIF(A$2:A30, A30, Q$2:Q30)</f>
        <v>13</v>
      </c>
      <c r="M30">
        <f>SUMIF(A$2:A30, A30, R$2:R30)</f>
        <v>22</v>
      </c>
      <c r="N30">
        <f t="shared" si="5"/>
        <v>58</v>
      </c>
      <c r="O30">
        <f t="shared" si="8"/>
        <v>50</v>
      </c>
      <c r="P30">
        <f>11+4</f>
        <v>15</v>
      </c>
      <c r="Q30">
        <f>9+4</f>
        <v>13</v>
      </c>
      <c r="R30">
        <f>14+8</f>
        <v>22</v>
      </c>
      <c r="S30">
        <f t="shared" si="9"/>
        <v>58</v>
      </c>
      <c r="T30">
        <v>2</v>
      </c>
      <c r="U30">
        <f t="shared" si="10"/>
        <v>6</v>
      </c>
      <c r="V30">
        <f>IF(F30="-", U30)</f>
        <v>6</v>
      </c>
      <c r="W30">
        <f>IF(F30="-", Y30)</f>
        <v>4</v>
      </c>
      <c r="X30">
        <v>4</v>
      </c>
      <c r="Y30">
        <v>4</v>
      </c>
      <c r="Z30" t="b">
        <v>1</v>
      </c>
      <c r="AA30" t="s">
        <v>751</v>
      </c>
      <c r="AB30">
        <f>IFERROR(INDEX('List of Leagues'!E:E, MATCH(AA30, 'List of Leagues'!F:F, 0)), 0)</f>
        <v>68.400000000000006</v>
      </c>
      <c r="AC30" t="s">
        <v>765</v>
      </c>
      <c r="AD30">
        <f>IFERROR(INDEX('List of Leagues'!E:E, MATCH(AC30, 'List of Leagues'!F:F, 0)), 0)</f>
        <v>0</v>
      </c>
      <c r="AE30" t="s">
        <v>762</v>
      </c>
      <c r="AF30">
        <f>IFERROR(INDEX('List of Leagues'!E:E, MATCH(AE30, 'List of Leagues'!F:F, 0)), 0)</f>
        <v>0</v>
      </c>
      <c r="AG30" t="s">
        <v>178</v>
      </c>
      <c r="AH30">
        <f>IFERROR(INDEX('List of Leagues'!E:E, MATCH(AG30, 'List of Leagues'!F:F, 0)), 0)</f>
        <v>69.3</v>
      </c>
      <c r="AI30" t="s">
        <v>756</v>
      </c>
      <c r="AJ30">
        <f>IFERROR(INDEX('List of Leagues'!E:E, MATCH(AI30, 'List of Leagues'!F:F, 0)), 0)</f>
        <v>76.8</v>
      </c>
      <c r="AK30" t="s">
        <v>762</v>
      </c>
      <c r="AL30">
        <f>IFERROR(INDEX('List of Leagues'!E:E, MATCH(AK30, 'List of Leagues'!F:F, 0)), 0)</f>
        <v>0</v>
      </c>
      <c r="AM30" t="s">
        <v>762</v>
      </c>
      <c r="AN30">
        <f>IFERROR(INDEX('List of Leagues'!E:E, MATCH(AM30, 'List of Leagues'!F:F, 0)), 0)</f>
        <v>0</v>
      </c>
      <c r="AO30" t="s">
        <v>762</v>
      </c>
      <c r="AP30">
        <f>IFERROR(INDEX('List of Leagues'!E:E, MATCH(AO30, 'List of Leagues'!F:F, 0)), 0)</f>
        <v>0</v>
      </c>
      <c r="AQ30">
        <f t="shared" si="3"/>
        <v>26.8125</v>
      </c>
      <c r="AR30" t="s">
        <v>177</v>
      </c>
      <c r="AS30">
        <f>IFERROR(INDEX('List of Leagues'!$E:$E, MATCH(AR30, 'List of Leagues'!$F:$F, 0)), 0)</f>
        <v>0</v>
      </c>
      <c r="AT30" t="s">
        <v>762</v>
      </c>
      <c r="AU30">
        <f>IFERROR(INDEX('List of Leagues'!$E:$E, MATCH(AT30, 'List of Leagues'!$F:$F, 0)), 0)</f>
        <v>0</v>
      </c>
      <c r="AV30" t="s">
        <v>762</v>
      </c>
      <c r="AW30">
        <f>IFERROR(INDEX('List of Leagues'!$E:$E, MATCH(AV30, 'List of Leagues'!$F:$F, 0)), 0)</f>
        <v>0</v>
      </c>
      <c r="AX30" t="s">
        <v>762</v>
      </c>
      <c r="AY30">
        <f>IFERROR(INDEX('List of Leagues'!$E:$E, MATCH(AX30, 'List of Leagues'!$F:$F, 0)), 0)</f>
        <v>0</v>
      </c>
      <c r="AZ30" t="s">
        <v>762</v>
      </c>
      <c r="BA30">
        <f>IFERROR(INDEX('List of Leagues'!$E:$E, MATCH(AZ30, 'List of Leagues'!$F:$F, 0)), 0)</f>
        <v>0</v>
      </c>
      <c r="BB30" t="s">
        <v>762</v>
      </c>
      <c r="BC30">
        <f>IFERROR(INDEX('List of Leagues'!$E:$E, MATCH(BB30, 'List of Leagues'!$F:$F, 0)), 0)</f>
        <v>0</v>
      </c>
      <c r="BD30">
        <f t="shared" si="4"/>
        <v>0</v>
      </c>
    </row>
    <row r="31" spans="1:56" x14ac:dyDescent="0.35">
      <c r="A31" t="s">
        <v>37</v>
      </c>
      <c r="B31">
        <v>1</v>
      </c>
      <c r="C31">
        <f>IF(COUNTIF($A$11:A31, A31) &gt; 1, 1, 0)</f>
        <v>0</v>
      </c>
      <c r="D31">
        <v>2011</v>
      </c>
      <c r="E31" t="s">
        <v>29</v>
      </c>
      <c r="F31" t="s">
        <v>9</v>
      </c>
      <c r="G31" t="s">
        <v>6</v>
      </c>
      <c r="H31" t="s">
        <v>131</v>
      </c>
      <c r="I31">
        <f t="shared" si="6"/>
        <v>1</v>
      </c>
      <c r="J31">
        <f>SUMIF(A$2:A31,A31, O$2:O31)</f>
        <v>68</v>
      </c>
      <c r="K31">
        <f>SUMIF(A$2:A31, A31, P$2:P31)</f>
        <v>15</v>
      </c>
      <c r="L31">
        <f>SUMIF(A$2:A31, A31, Q$2:Q31)</f>
        <v>21</v>
      </c>
      <c r="M31">
        <f>SUMIF(A$2:A31, A31, R$2:R31)</f>
        <v>32</v>
      </c>
      <c r="N31">
        <f t="shared" si="5"/>
        <v>66</v>
      </c>
      <c r="O31">
        <f t="shared" si="8"/>
        <v>68</v>
      </c>
      <c r="P31">
        <v>15</v>
      </c>
      <c r="Q31">
        <v>21</v>
      </c>
      <c r="R31">
        <v>32</v>
      </c>
      <c r="S31">
        <f t="shared" si="9"/>
        <v>66</v>
      </c>
      <c r="T31">
        <v>2</v>
      </c>
      <c r="U31">
        <f t="shared" si="10"/>
        <v>2</v>
      </c>
      <c r="V31">
        <v>2</v>
      </c>
      <c r="W31">
        <v>10</v>
      </c>
      <c r="X31">
        <v>0</v>
      </c>
      <c r="Y31">
        <v>4</v>
      </c>
      <c r="Z31" t="b">
        <v>1</v>
      </c>
      <c r="AA31" t="s">
        <v>176</v>
      </c>
      <c r="AB31">
        <f>IFERROR(INDEX('List of Leagues'!E:E, MATCH(AA31, 'List of Leagues'!F:F, 0)), 0)</f>
        <v>0</v>
      </c>
      <c r="AC31" t="s">
        <v>750</v>
      </c>
      <c r="AD31">
        <f>IFERROR(INDEX('List of Leagues'!E:E, MATCH(AC31, 'List of Leagues'!F:F, 0)), 0)</f>
        <v>0</v>
      </c>
      <c r="AE31" t="s">
        <v>178</v>
      </c>
      <c r="AF31">
        <f>IFERROR(INDEX('List of Leagues'!E:E, MATCH(AE31, 'List of Leagues'!F:F, 0)), 0)</f>
        <v>69.3</v>
      </c>
      <c r="AG31" t="s">
        <v>756</v>
      </c>
      <c r="AH31">
        <f>IFERROR(INDEX('List of Leagues'!E:E, MATCH(AG31, 'List of Leagues'!F:F, 0)), 0)</f>
        <v>76.8</v>
      </c>
      <c r="AI31" t="s">
        <v>762</v>
      </c>
      <c r="AJ31">
        <f>IFERROR(INDEX('List of Leagues'!E:E, MATCH(AI31, 'List of Leagues'!F:F, 0)), 0)</f>
        <v>0</v>
      </c>
      <c r="AK31" t="s">
        <v>762</v>
      </c>
      <c r="AL31">
        <f>IFERROR(INDEX('List of Leagues'!E:E, MATCH(AK31, 'List of Leagues'!F:F, 0)), 0)</f>
        <v>0</v>
      </c>
      <c r="AM31" t="s">
        <v>762</v>
      </c>
      <c r="AN31">
        <f>IFERROR(INDEX('List of Leagues'!E:E, MATCH(AM31, 'List of Leagues'!F:F, 0)), 0)</f>
        <v>0</v>
      </c>
      <c r="AO31" t="s">
        <v>762</v>
      </c>
      <c r="AP31">
        <f>IFERROR(INDEX('List of Leagues'!E:E, MATCH(AO31, 'List of Leagues'!F:F, 0)), 0)</f>
        <v>0</v>
      </c>
      <c r="AQ31">
        <f t="shared" si="3"/>
        <v>18.262499999999999</v>
      </c>
      <c r="AR31" t="s">
        <v>178</v>
      </c>
      <c r="AS31">
        <f>IFERROR(INDEX('List of Leagues'!$E:$E, MATCH(AR31, 'List of Leagues'!$F:$F, 0)), 0)</f>
        <v>69.3</v>
      </c>
      <c r="AT31" t="s">
        <v>762</v>
      </c>
      <c r="AU31">
        <f>IFERROR(INDEX('List of Leagues'!$E:$E, MATCH(AT31, 'List of Leagues'!$F:$F, 0)), 0)</f>
        <v>0</v>
      </c>
      <c r="AV31" t="s">
        <v>762</v>
      </c>
      <c r="AW31">
        <f>IFERROR(INDEX('List of Leagues'!$E:$E, MATCH(AV31, 'List of Leagues'!$F:$F, 0)), 0)</f>
        <v>0</v>
      </c>
      <c r="AX31" t="s">
        <v>762</v>
      </c>
      <c r="AY31">
        <f>IFERROR(INDEX('List of Leagues'!$E:$E, MATCH(AX31, 'List of Leagues'!$F:$F, 0)), 0)</f>
        <v>0</v>
      </c>
      <c r="AZ31" t="s">
        <v>762</v>
      </c>
      <c r="BA31">
        <f>IFERROR(INDEX('List of Leagues'!$E:$E, MATCH(AZ31, 'List of Leagues'!$F:$F, 0)), 0)</f>
        <v>0</v>
      </c>
      <c r="BB31" t="s">
        <v>762</v>
      </c>
      <c r="BC31">
        <f>IFERROR(INDEX('List of Leagues'!$E:$E, MATCH(BB31, 'List of Leagues'!$F:$F, 0)), 0)</f>
        <v>0</v>
      </c>
      <c r="BD31">
        <f t="shared" si="4"/>
        <v>11.549999999999999</v>
      </c>
    </row>
    <row r="32" spans="1:56" x14ac:dyDescent="0.35">
      <c r="A32" t="s">
        <v>41</v>
      </c>
      <c r="B32">
        <v>0</v>
      </c>
      <c r="C32">
        <f>IF(COUNTIF($A$11:A32, A32) &gt; 1, 1, 0)</f>
        <v>0</v>
      </c>
      <c r="D32">
        <v>2011</v>
      </c>
      <c r="E32" t="s">
        <v>42</v>
      </c>
      <c r="F32" t="str">
        <f>IF(B32=0, "-", "")</f>
        <v>-</v>
      </c>
      <c r="G32" t="s">
        <v>10</v>
      </c>
      <c r="H32" t="s">
        <v>10</v>
      </c>
      <c r="I32">
        <f t="shared" si="6"/>
        <v>0</v>
      </c>
      <c r="J32">
        <f>SUMIF(A$2:A32,A32, O$2:O32)</f>
        <v>12</v>
      </c>
      <c r="K32">
        <f>SUMIF(A$2:A32, A32, P$2:P32)</f>
        <v>1</v>
      </c>
      <c r="L32">
        <f>SUMIF(A$2:A32, A32, Q$2:Q32)</f>
        <v>6</v>
      </c>
      <c r="M32">
        <f>SUMIF(A$2:A32, A32, R$2:R32)</f>
        <v>5</v>
      </c>
      <c r="N32">
        <f t="shared" si="5"/>
        <v>9</v>
      </c>
      <c r="O32">
        <f t="shared" si="8"/>
        <v>12</v>
      </c>
      <c r="P32">
        <v>1</v>
      </c>
      <c r="Q32">
        <v>6</v>
      </c>
      <c r="R32">
        <v>5</v>
      </c>
      <c r="S32">
        <f t="shared" si="9"/>
        <v>9</v>
      </c>
      <c r="T32">
        <v>5</v>
      </c>
      <c r="U32">
        <f t="shared" si="10"/>
        <v>25</v>
      </c>
      <c r="V32">
        <f>IF(F32="-", U32)</f>
        <v>25</v>
      </c>
      <c r="W32">
        <f>IF(F32="-", Y32)</f>
        <v>0</v>
      </c>
      <c r="X32">
        <v>20</v>
      </c>
      <c r="Y32">
        <v>0</v>
      </c>
      <c r="Z32" t="b">
        <v>1</v>
      </c>
      <c r="AA32" t="s">
        <v>755</v>
      </c>
      <c r="AB32">
        <f>IFERROR(INDEX('List of Leagues'!E:E, MATCH(AA32, 'List of Leagues'!F:F, 0)), 0)</f>
        <v>64.8</v>
      </c>
      <c r="AC32" t="s">
        <v>769</v>
      </c>
      <c r="AD32">
        <f>IFERROR(INDEX('List of Leagues'!E:E, MATCH(AC32, 'List of Leagues'!F:F, 0)), 0)</f>
        <v>74.2</v>
      </c>
      <c r="AE32" t="s">
        <v>756</v>
      </c>
      <c r="AF32">
        <f>IFERROR(INDEX('List of Leagues'!E:E, MATCH(AE32, 'List of Leagues'!F:F, 0)), 0)</f>
        <v>76.8</v>
      </c>
      <c r="AG32" t="s">
        <v>208</v>
      </c>
      <c r="AH32">
        <f>IFERROR(INDEX('List of Leagues'!E:E, MATCH(AG32, 'List of Leagues'!F:F, 0)), 0)</f>
        <v>85.1</v>
      </c>
      <c r="AI32" t="s">
        <v>762</v>
      </c>
      <c r="AJ32">
        <f>IFERROR(INDEX('List of Leagues'!E:E, MATCH(AI32, 'List of Leagues'!F:F, 0)), 0)</f>
        <v>0</v>
      </c>
      <c r="AK32" t="s">
        <v>762</v>
      </c>
      <c r="AL32">
        <f>IFERROR(INDEX('List of Leagues'!E:E, MATCH(AK32, 'List of Leagues'!F:F, 0)), 0)</f>
        <v>0</v>
      </c>
      <c r="AM32" t="s">
        <v>762</v>
      </c>
      <c r="AN32">
        <f>IFERROR(INDEX('List of Leagues'!E:E, MATCH(AM32, 'List of Leagues'!F:F, 0)), 0)</f>
        <v>0</v>
      </c>
      <c r="AO32" t="s">
        <v>762</v>
      </c>
      <c r="AP32">
        <f>IFERROR(INDEX('List of Leagues'!E:E, MATCH(AO32, 'List of Leagues'!F:F, 0)), 0)</f>
        <v>0</v>
      </c>
      <c r="AQ32">
        <f t="shared" si="3"/>
        <v>37.612499999999997</v>
      </c>
      <c r="AR32" t="s">
        <v>178</v>
      </c>
      <c r="AS32">
        <f>IFERROR(INDEX('List of Leagues'!$E:$E, MATCH(AR32, 'List of Leagues'!$F:$F, 0)), 0)</f>
        <v>69.3</v>
      </c>
      <c r="AT32" t="s">
        <v>762</v>
      </c>
      <c r="AU32">
        <f>IFERROR(INDEX('List of Leagues'!$E:$E, MATCH(AT32, 'List of Leagues'!$F:$F, 0)), 0)</f>
        <v>0</v>
      </c>
      <c r="AV32" t="s">
        <v>762</v>
      </c>
      <c r="AW32">
        <f>IFERROR(INDEX('List of Leagues'!$E:$E, MATCH(AV32, 'List of Leagues'!$F:$F, 0)), 0)</f>
        <v>0</v>
      </c>
      <c r="AX32" t="s">
        <v>762</v>
      </c>
      <c r="AY32">
        <f>IFERROR(INDEX('List of Leagues'!$E:$E, MATCH(AX32, 'List of Leagues'!$F:$F, 0)), 0)</f>
        <v>0</v>
      </c>
      <c r="AZ32" t="s">
        <v>762</v>
      </c>
      <c r="BA32">
        <f>IFERROR(INDEX('List of Leagues'!$E:$E, MATCH(AZ32, 'List of Leagues'!$F:$F, 0)), 0)</f>
        <v>0</v>
      </c>
      <c r="BB32" t="s">
        <v>762</v>
      </c>
      <c r="BC32">
        <f>IFERROR(INDEX('List of Leagues'!$E:$E, MATCH(BB32, 'List of Leagues'!$F:$F, 0)), 0)</f>
        <v>0</v>
      </c>
      <c r="BD32">
        <f t="shared" si="4"/>
        <v>11.549999999999999</v>
      </c>
    </row>
    <row r="33" spans="1:56" x14ac:dyDescent="0.35">
      <c r="A33" t="s">
        <v>46</v>
      </c>
      <c r="B33">
        <v>0</v>
      </c>
      <c r="C33">
        <f>IF(COUNTIF($A$11:A33, A33) &gt; 1, 1, 0)</f>
        <v>0</v>
      </c>
      <c r="D33">
        <v>2012</v>
      </c>
      <c r="E33" t="s">
        <v>197</v>
      </c>
      <c r="F33" t="str">
        <f>IF(B33=0, "-", "")</f>
        <v>-</v>
      </c>
      <c r="G33" t="s">
        <v>10</v>
      </c>
      <c r="H33" t="s">
        <v>10</v>
      </c>
      <c r="I33">
        <f t="shared" si="6"/>
        <v>0</v>
      </c>
      <c r="J33">
        <f>SUMIF(A$2:A33,A33, O$2:O33)</f>
        <v>199</v>
      </c>
      <c r="K33">
        <f>SUMIF(A$2:A33, A33, P$2:P33)</f>
        <v>75</v>
      </c>
      <c r="L33">
        <f>SUMIF(A$2:A33, A33, Q$2:Q33)</f>
        <v>43</v>
      </c>
      <c r="M33">
        <f>SUMIF(A$2:A33, A33, R$2:R33)</f>
        <v>81</v>
      </c>
      <c r="N33">
        <f t="shared" si="5"/>
        <v>268</v>
      </c>
      <c r="O33">
        <f t="shared" si="8"/>
        <v>199</v>
      </c>
      <c r="P33">
        <f>9+14+17+14+11+10</f>
        <v>75</v>
      </c>
      <c r="Q33">
        <f>8+9+4+8+9+5</f>
        <v>43</v>
      </c>
      <c r="R33">
        <f>14+12+13+11+17+14</f>
        <v>81</v>
      </c>
      <c r="S33">
        <f t="shared" si="9"/>
        <v>268</v>
      </c>
      <c r="T33">
        <v>6</v>
      </c>
      <c r="U33">
        <f t="shared" si="10"/>
        <v>6</v>
      </c>
      <c r="V33">
        <f>IF(F33="-", U33)</f>
        <v>6</v>
      </c>
      <c r="W33">
        <f>IF(F33="-", Y33)</f>
        <v>0</v>
      </c>
      <c r="X33">
        <v>0</v>
      </c>
      <c r="Y33">
        <v>0</v>
      </c>
      <c r="Z33" t="b">
        <v>1</v>
      </c>
      <c r="AA33" t="s">
        <v>178</v>
      </c>
      <c r="AB33">
        <f>IFERROR(INDEX('List of Leagues'!E:E, MATCH(AA33, 'List of Leagues'!F:F, 0)), 0)</f>
        <v>69.3</v>
      </c>
      <c r="AC33" t="s">
        <v>756</v>
      </c>
      <c r="AD33">
        <f>IFERROR(INDEX('List of Leagues'!E:E, MATCH(AC33, 'List of Leagues'!F:F, 0)), 0)</f>
        <v>76.8</v>
      </c>
      <c r="AE33" t="s">
        <v>185</v>
      </c>
      <c r="AF33">
        <f>IFERROR(INDEX('List of Leagues'!E:E, MATCH(AE33, 'List of Leagues'!F:F, 0)), 0)</f>
        <v>75.400000000000006</v>
      </c>
      <c r="AG33" t="s">
        <v>762</v>
      </c>
      <c r="AH33">
        <f>IFERROR(INDEX('List of Leagues'!E:E, MATCH(AG33, 'List of Leagues'!F:F, 0)), 0)</f>
        <v>0</v>
      </c>
      <c r="AI33" t="s">
        <v>762</v>
      </c>
      <c r="AJ33">
        <f>IFERROR(INDEX('List of Leagues'!E:E, MATCH(AI33, 'List of Leagues'!F:F, 0)), 0)</f>
        <v>0</v>
      </c>
      <c r="AK33" t="s">
        <v>762</v>
      </c>
      <c r="AL33">
        <f>IFERROR(INDEX('List of Leagues'!E:E, MATCH(AK33, 'List of Leagues'!F:F, 0)), 0)</f>
        <v>0</v>
      </c>
      <c r="AM33" t="s">
        <v>762</v>
      </c>
      <c r="AN33">
        <f>IFERROR(INDEX('List of Leagues'!E:E, MATCH(AM33, 'List of Leagues'!F:F, 0)), 0)</f>
        <v>0</v>
      </c>
      <c r="AO33" t="s">
        <v>762</v>
      </c>
      <c r="AP33">
        <f>IFERROR(INDEX('List of Leagues'!E:E, MATCH(AO33, 'List of Leagues'!F:F, 0)), 0)</f>
        <v>0</v>
      </c>
      <c r="AQ33">
        <f t="shared" si="3"/>
        <v>27.6875</v>
      </c>
      <c r="AR33" t="s">
        <v>177</v>
      </c>
      <c r="AS33">
        <f>IFERROR(INDEX('List of Leagues'!$E:$E, MATCH(AR33, 'List of Leagues'!$F:$F, 0)), 0)</f>
        <v>0</v>
      </c>
      <c r="AT33" t="s">
        <v>762</v>
      </c>
      <c r="AU33">
        <f>IFERROR(INDEX('List of Leagues'!$E:$E, MATCH(AT33, 'List of Leagues'!$F:$F, 0)), 0)</f>
        <v>0</v>
      </c>
      <c r="AV33" t="s">
        <v>762</v>
      </c>
      <c r="AW33">
        <f>IFERROR(INDEX('List of Leagues'!$E:$E, MATCH(AV33, 'List of Leagues'!$F:$F, 0)), 0)</f>
        <v>0</v>
      </c>
      <c r="AX33" t="s">
        <v>762</v>
      </c>
      <c r="AY33">
        <f>IFERROR(INDEX('List of Leagues'!$E:$E, MATCH(AX33, 'List of Leagues'!$F:$F, 0)), 0)</f>
        <v>0</v>
      </c>
      <c r="AZ33" t="s">
        <v>762</v>
      </c>
      <c r="BA33">
        <f>IFERROR(INDEX('List of Leagues'!$E:$E, MATCH(AZ33, 'List of Leagues'!$F:$F, 0)), 0)</f>
        <v>0</v>
      </c>
      <c r="BB33" t="s">
        <v>762</v>
      </c>
      <c r="BC33">
        <f>IFERROR(INDEX('List of Leagues'!$E:$E, MATCH(BB33, 'List of Leagues'!$F:$F, 0)), 0)</f>
        <v>0</v>
      </c>
      <c r="BD33">
        <f t="shared" si="4"/>
        <v>0</v>
      </c>
    </row>
    <row r="34" spans="1:56" x14ac:dyDescent="0.35">
      <c r="A34" t="s">
        <v>44</v>
      </c>
      <c r="B34">
        <v>1</v>
      </c>
      <c r="C34">
        <f>IF(COUNTIF($A$11:A34, A34) &gt; 1, 1, 0)</f>
        <v>0</v>
      </c>
      <c r="D34">
        <v>2012</v>
      </c>
      <c r="E34" t="s">
        <v>45</v>
      </c>
      <c r="F34" t="s">
        <v>17</v>
      </c>
      <c r="G34" t="s">
        <v>10</v>
      </c>
      <c r="H34" t="s">
        <v>10</v>
      </c>
      <c r="I34">
        <f t="shared" si="6"/>
        <v>0</v>
      </c>
      <c r="J34">
        <f>SUMIF(A$2:A34,A34, O$2:O34)</f>
        <v>34</v>
      </c>
      <c r="K34">
        <f>SUMIF(A$2:A34, A34, P$2:P34)</f>
        <v>12</v>
      </c>
      <c r="L34">
        <f>SUMIF(A$2:A34, A34, Q$2:Q34)</f>
        <v>6</v>
      </c>
      <c r="M34">
        <f>SUMIF(A$2:A34, A34, R$2:R34)</f>
        <v>16</v>
      </c>
      <c r="N34">
        <f t="shared" si="5"/>
        <v>42</v>
      </c>
      <c r="O34">
        <f t="shared" si="8"/>
        <v>34</v>
      </c>
      <c r="P34">
        <v>12</v>
      </c>
      <c r="Q34">
        <v>6</v>
      </c>
      <c r="R34">
        <v>16</v>
      </c>
      <c r="S34">
        <f t="shared" si="9"/>
        <v>42</v>
      </c>
      <c r="T34">
        <v>1</v>
      </c>
      <c r="U34">
        <f t="shared" si="10"/>
        <v>1</v>
      </c>
      <c r="V34">
        <v>1</v>
      </c>
      <c r="W34">
        <v>2</v>
      </c>
      <c r="X34">
        <v>0</v>
      </c>
      <c r="Y34">
        <v>2</v>
      </c>
      <c r="Z34" t="b">
        <v>1</v>
      </c>
      <c r="AA34" t="s">
        <v>178</v>
      </c>
      <c r="AB34">
        <f>IFERROR(INDEX('List of Leagues'!E:E, MATCH(AA34, 'List of Leagues'!F:F, 0)), 0)</f>
        <v>69.3</v>
      </c>
      <c r="AC34" t="s">
        <v>756</v>
      </c>
      <c r="AD34">
        <f>IFERROR(INDEX('List of Leagues'!E:E, MATCH(AC34, 'List of Leagues'!F:F, 0)), 0)</f>
        <v>76.8</v>
      </c>
      <c r="AE34" t="s">
        <v>762</v>
      </c>
      <c r="AF34">
        <f>IFERROR(INDEX('List of Leagues'!E:E, MATCH(AE34, 'List of Leagues'!F:F, 0)), 0)</f>
        <v>0</v>
      </c>
      <c r="AG34" t="s">
        <v>762</v>
      </c>
      <c r="AH34">
        <f>IFERROR(INDEX('List of Leagues'!E:E, MATCH(AG34, 'List of Leagues'!F:F, 0)), 0)</f>
        <v>0</v>
      </c>
      <c r="AI34" t="s">
        <v>762</v>
      </c>
      <c r="AJ34">
        <f>IFERROR(INDEX('List of Leagues'!E:E, MATCH(AI34, 'List of Leagues'!F:F, 0)), 0)</f>
        <v>0</v>
      </c>
      <c r="AK34" t="s">
        <v>762</v>
      </c>
      <c r="AL34">
        <f>IFERROR(INDEX('List of Leagues'!E:E, MATCH(AK34, 'List of Leagues'!F:F, 0)), 0)</f>
        <v>0</v>
      </c>
      <c r="AM34" t="s">
        <v>762</v>
      </c>
      <c r="AN34">
        <f>IFERROR(INDEX('List of Leagues'!E:E, MATCH(AM34, 'List of Leagues'!F:F, 0)), 0)</f>
        <v>0</v>
      </c>
      <c r="AO34" t="s">
        <v>762</v>
      </c>
      <c r="AP34">
        <f>IFERROR(INDEX('List of Leagues'!E:E, MATCH(AO34, 'List of Leagues'!F:F, 0)), 0)</f>
        <v>0</v>
      </c>
      <c r="AQ34">
        <f t="shared" ref="AQ34:AQ65" si="11">AVERAGE(AB34, AD34, AF34, AH34, AJ34, AL34, AN34, AP34)</f>
        <v>18.262499999999999</v>
      </c>
      <c r="AR34" t="s">
        <v>549</v>
      </c>
      <c r="AS34">
        <f>IFERROR(INDEX('List of Leagues'!$E:$E, MATCH(AR34, 'List of Leagues'!$F:$F, 0)), 0)</f>
        <v>72.7</v>
      </c>
      <c r="AT34" t="s">
        <v>201</v>
      </c>
      <c r="AU34">
        <f>IFERROR(INDEX('List of Leagues'!$E:$E, MATCH(AT34, 'List of Leagues'!$F:$F, 0)), 0)</f>
        <v>80</v>
      </c>
      <c r="AV34" t="s">
        <v>544</v>
      </c>
      <c r="AW34">
        <f>IFERROR(INDEX('List of Leagues'!$E:$E, MATCH(AV34, 'List of Leagues'!$F:$F, 0)), 0)</f>
        <v>76.900000000000006</v>
      </c>
      <c r="AX34" t="s">
        <v>762</v>
      </c>
      <c r="AY34">
        <f>IFERROR(INDEX('List of Leagues'!$E:$E, MATCH(AX34, 'List of Leagues'!$F:$F, 0)), 0)</f>
        <v>0</v>
      </c>
      <c r="AZ34" t="s">
        <v>762</v>
      </c>
      <c r="BA34">
        <f>IFERROR(INDEX('List of Leagues'!$E:$E, MATCH(AZ34, 'List of Leagues'!$F:$F, 0)), 0)</f>
        <v>0</v>
      </c>
      <c r="BB34" t="s">
        <v>762</v>
      </c>
      <c r="BC34">
        <f>IFERROR(INDEX('List of Leagues'!$E:$E, MATCH(BB34, 'List of Leagues'!$F:$F, 0)), 0)</f>
        <v>0</v>
      </c>
      <c r="BD34">
        <f t="shared" ref="BD34:BD65" si="12">AVERAGE(AS34, AU34, AW34, AY34, BA34, BC34)</f>
        <v>38.266666666666666</v>
      </c>
    </row>
    <row r="35" spans="1:56" x14ac:dyDescent="0.35">
      <c r="A35" t="s">
        <v>47</v>
      </c>
      <c r="B35">
        <v>0</v>
      </c>
      <c r="C35">
        <f>IF(COUNTIF($A$11:A35, A35) &gt; 1, 1, 0)</f>
        <v>0</v>
      </c>
      <c r="D35">
        <v>2012</v>
      </c>
      <c r="E35" t="s">
        <v>36</v>
      </c>
      <c r="F35" t="str">
        <f>IF(B35=0, "-", "")</f>
        <v>-</v>
      </c>
      <c r="G35" t="s">
        <v>10</v>
      </c>
      <c r="H35" t="s">
        <v>10</v>
      </c>
      <c r="I35">
        <f t="shared" si="6"/>
        <v>0</v>
      </c>
      <c r="J35">
        <f>SUMIF(A$2:A35,A35, O$2:O35)</f>
        <v>73</v>
      </c>
      <c r="K35">
        <f>SUMIF(A$2:A35, A35, P$2:P35)</f>
        <v>23</v>
      </c>
      <c r="L35">
        <f>SUMIF(A$2:A35, A35, Q$2:Q35)</f>
        <v>21</v>
      </c>
      <c r="M35">
        <f>SUMIF(A$2:A35, A35, R$2:R35)</f>
        <v>29</v>
      </c>
      <c r="N35">
        <f t="shared" si="5"/>
        <v>90</v>
      </c>
      <c r="O35">
        <f t="shared" si="8"/>
        <v>73</v>
      </c>
      <c r="P35">
        <f>8+12+3</f>
        <v>23</v>
      </c>
      <c r="Q35">
        <f>4+10+7</f>
        <v>21</v>
      </c>
      <c r="R35">
        <f>12+11+6</f>
        <v>29</v>
      </c>
      <c r="S35">
        <f t="shared" si="9"/>
        <v>90</v>
      </c>
      <c r="T35">
        <v>3</v>
      </c>
      <c r="U35">
        <f t="shared" si="10"/>
        <v>10</v>
      </c>
      <c r="V35">
        <f>IF(F35="-", U35)</f>
        <v>10</v>
      </c>
      <c r="W35">
        <f>IF(F35="-", Y35)</f>
        <v>12</v>
      </c>
      <c r="X35">
        <v>7</v>
      </c>
      <c r="Y35">
        <v>12</v>
      </c>
      <c r="Z35" t="b">
        <v>0</v>
      </c>
      <c r="AA35" t="s">
        <v>179</v>
      </c>
      <c r="AB35">
        <f>IFERROR(INDEX('List of Leagues'!E:E, MATCH(AA35, 'List of Leagues'!F:F, 0)), 0)</f>
        <v>0</v>
      </c>
      <c r="AC35" t="s">
        <v>762</v>
      </c>
      <c r="AD35">
        <f>IFERROR(INDEX('List of Leagues'!E:E, MATCH(AC35, 'List of Leagues'!F:F, 0)), 0)</f>
        <v>0</v>
      </c>
      <c r="AE35" t="s">
        <v>184</v>
      </c>
      <c r="AF35">
        <f>IFERROR(INDEX('List of Leagues'!E:E, MATCH(AE35, 'List of Leagues'!F:F, 0)), 0)</f>
        <v>93.8</v>
      </c>
      <c r="AG35" t="s">
        <v>762</v>
      </c>
      <c r="AH35">
        <f>IFERROR(INDEX('List of Leagues'!E:E, MATCH(AG35, 'List of Leagues'!F:F, 0)), 0)</f>
        <v>0</v>
      </c>
      <c r="AI35" t="s">
        <v>762</v>
      </c>
      <c r="AJ35">
        <f>IFERROR(INDEX('List of Leagues'!E:E, MATCH(AI35, 'List of Leagues'!F:F, 0)), 0)</f>
        <v>0</v>
      </c>
      <c r="AK35" t="s">
        <v>762</v>
      </c>
      <c r="AL35">
        <f>IFERROR(INDEX('List of Leagues'!E:E, MATCH(AK35, 'List of Leagues'!F:F, 0)), 0)</f>
        <v>0</v>
      </c>
      <c r="AM35" t="s">
        <v>762</v>
      </c>
      <c r="AN35">
        <f>IFERROR(INDEX('List of Leagues'!E:E, MATCH(AM35, 'List of Leagues'!F:F, 0)), 0)</f>
        <v>0</v>
      </c>
      <c r="AO35" t="s">
        <v>762</v>
      </c>
      <c r="AP35">
        <f>IFERROR(INDEX('List of Leagues'!E:E, MATCH(AO35, 'List of Leagues'!F:F, 0)), 0)</f>
        <v>0</v>
      </c>
      <c r="AQ35">
        <f t="shared" si="11"/>
        <v>11.725</v>
      </c>
      <c r="AR35" t="s">
        <v>217</v>
      </c>
      <c r="AS35">
        <f>IFERROR(INDEX('List of Leagues'!$E:$E, MATCH(AR35, 'List of Leagues'!$F:$F, 0)), 0)</f>
        <v>0</v>
      </c>
      <c r="AT35" t="s">
        <v>762</v>
      </c>
      <c r="AU35">
        <f>IFERROR(INDEX('List of Leagues'!$E:$E, MATCH(AT35, 'List of Leagues'!$F:$F, 0)), 0)</f>
        <v>0</v>
      </c>
      <c r="AV35" t="s">
        <v>762</v>
      </c>
      <c r="AW35">
        <f>IFERROR(INDEX('List of Leagues'!$E:$E, MATCH(AV35, 'List of Leagues'!$F:$F, 0)), 0)</f>
        <v>0</v>
      </c>
      <c r="AX35" t="s">
        <v>762</v>
      </c>
      <c r="AY35">
        <f>IFERROR(INDEX('List of Leagues'!$E:$E, MATCH(AX35, 'List of Leagues'!$F:$F, 0)), 0)</f>
        <v>0</v>
      </c>
      <c r="AZ35" t="s">
        <v>762</v>
      </c>
      <c r="BA35">
        <f>IFERROR(INDEX('List of Leagues'!$E:$E, MATCH(AZ35, 'List of Leagues'!$F:$F, 0)), 0)</f>
        <v>0</v>
      </c>
      <c r="BB35" t="s">
        <v>762</v>
      </c>
      <c r="BC35">
        <f>IFERROR(INDEX('List of Leagues'!$E:$E, MATCH(BB35, 'List of Leagues'!$F:$F, 0)), 0)</f>
        <v>0</v>
      </c>
      <c r="BD35">
        <f t="shared" si="12"/>
        <v>0</v>
      </c>
    </row>
    <row r="36" spans="1:56" x14ac:dyDescent="0.35">
      <c r="A36" t="s">
        <v>49</v>
      </c>
      <c r="B36">
        <v>0</v>
      </c>
      <c r="C36">
        <f>IF(COUNTIF($A$11:A36, A36) &gt; 1, 1, 0)</f>
        <v>0</v>
      </c>
      <c r="D36">
        <v>2012</v>
      </c>
      <c r="E36" t="s">
        <v>42</v>
      </c>
      <c r="F36" t="str">
        <f>IF(B36=0, "-", "")</f>
        <v>-</v>
      </c>
      <c r="G36" t="s">
        <v>10</v>
      </c>
      <c r="H36" t="s">
        <v>10</v>
      </c>
      <c r="I36">
        <f t="shared" si="6"/>
        <v>0</v>
      </c>
      <c r="J36">
        <f>SUMIF(A$2:A36,A36, O$2:O36)</f>
        <v>68</v>
      </c>
      <c r="K36">
        <f>SUMIF(A$2:A36, A36, P$2:P36)</f>
        <v>24</v>
      </c>
      <c r="L36">
        <f>SUMIF(A$2:A36, A36, Q$2:Q36)</f>
        <v>19</v>
      </c>
      <c r="M36">
        <f>SUMIF(A$2:A36, A36, R$2:R36)</f>
        <v>25</v>
      </c>
      <c r="N36">
        <f t="shared" si="5"/>
        <v>91</v>
      </c>
      <c r="O36">
        <f t="shared" si="8"/>
        <v>68</v>
      </c>
      <c r="P36">
        <f>13+11</f>
        <v>24</v>
      </c>
      <c r="Q36">
        <f>10+9</f>
        <v>19</v>
      </c>
      <c r="R36">
        <f>13+12</f>
        <v>25</v>
      </c>
      <c r="S36">
        <f t="shared" si="9"/>
        <v>91</v>
      </c>
      <c r="T36">
        <v>2</v>
      </c>
      <c r="U36">
        <f t="shared" si="10"/>
        <v>8</v>
      </c>
      <c r="V36">
        <f>IF(F36="-", U36)</f>
        <v>8</v>
      </c>
      <c r="W36">
        <f>IF(F36="-", Y36)</f>
        <v>0</v>
      </c>
      <c r="X36">
        <v>6</v>
      </c>
      <c r="Y36">
        <v>0</v>
      </c>
      <c r="Z36" t="b">
        <v>0</v>
      </c>
      <c r="AA36" t="s">
        <v>179</v>
      </c>
      <c r="AB36">
        <f>IFERROR(INDEX('List of Leagues'!E:E, MATCH(AA36, 'List of Leagues'!F:F, 0)), 0)</f>
        <v>0</v>
      </c>
      <c r="AC36" t="s">
        <v>762</v>
      </c>
      <c r="AD36">
        <f>IFERROR(INDEX('List of Leagues'!E:E, MATCH(AC36, 'List of Leagues'!F:F, 0)), 0)</f>
        <v>0</v>
      </c>
      <c r="AE36" t="s">
        <v>776</v>
      </c>
      <c r="AF36">
        <f>IFERROR(INDEX('List of Leagues'!E:E, MATCH(AE36, 'List of Leagues'!F:F, 0)), 0)</f>
        <v>0</v>
      </c>
      <c r="AG36" t="s">
        <v>762</v>
      </c>
      <c r="AH36">
        <f>IFERROR(INDEX('List of Leagues'!E:E, MATCH(AG36, 'List of Leagues'!F:F, 0)), 0)</f>
        <v>0</v>
      </c>
      <c r="AI36" t="s">
        <v>762</v>
      </c>
      <c r="AJ36">
        <f>IFERROR(INDEX('List of Leagues'!E:E, MATCH(AI36, 'List of Leagues'!F:F, 0)), 0)</f>
        <v>0</v>
      </c>
      <c r="AK36" t="s">
        <v>762</v>
      </c>
      <c r="AL36">
        <f>IFERROR(INDEX('List of Leagues'!E:E, MATCH(AK36, 'List of Leagues'!F:F, 0)), 0)</f>
        <v>0</v>
      </c>
      <c r="AM36" t="s">
        <v>762</v>
      </c>
      <c r="AN36">
        <f>IFERROR(INDEX('List of Leagues'!E:E, MATCH(AM36, 'List of Leagues'!F:F, 0)), 0)</f>
        <v>0</v>
      </c>
      <c r="AO36" t="s">
        <v>762</v>
      </c>
      <c r="AP36">
        <f>IFERROR(INDEX('List of Leagues'!E:E, MATCH(AO36, 'List of Leagues'!F:F, 0)), 0)</f>
        <v>0</v>
      </c>
      <c r="AQ36">
        <f t="shared" si="11"/>
        <v>0</v>
      </c>
      <c r="AR36" t="s">
        <v>781</v>
      </c>
      <c r="AS36">
        <f>IFERROR(INDEX('List of Leagues'!$E:$E, MATCH(AR36, 'List of Leagues'!$F:$F, 0)), 0)</f>
        <v>0</v>
      </c>
      <c r="AT36" t="s">
        <v>762</v>
      </c>
      <c r="AU36">
        <f>IFERROR(INDEX('List of Leagues'!$E:$E, MATCH(AT36, 'List of Leagues'!$F:$F, 0)), 0)</f>
        <v>0</v>
      </c>
      <c r="AV36" t="s">
        <v>762</v>
      </c>
      <c r="AW36">
        <f>IFERROR(INDEX('List of Leagues'!$E:$E, MATCH(AV36, 'List of Leagues'!$F:$F, 0)), 0)</f>
        <v>0</v>
      </c>
      <c r="AX36" t="s">
        <v>762</v>
      </c>
      <c r="AY36">
        <f>IFERROR(INDEX('List of Leagues'!$E:$E, MATCH(AX36, 'List of Leagues'!$F:$F, 0)), 0)</f>
        <v>0</v>
      </c>
      <c r="AZ36" t="s">
        <v>762</v>
      </c>
      <c r="BA36">
        <f>IFERROR(INDEX('List of Leagues'!$E:$E, MATCH(AZ36, 'List of Leagues'!$F:$F, 0)), 0)</f>
        <v>0</v>
      </c>
      <c r="BB36" t="s">
        <v>762</v>
      </c>
      <c r="BC36">
        <f>IFERROR(INDEX('List of Leagues'!$E:$E, MATCH(BB36, 'List of Leagues'!$F:$F, 0)), 0)</f>
        <v>0</v>
      </c>
      <c r="BD36">
        <f t="shared" si="12"/>
        <v>0</v>
      </c>
    </row>
    <row r="37" spans="1:56" x14ac:dyDescent="0.35">
      <c r="A37" t="s">
        <v>43</v>
      </c>
      <c r="B37">
        <v>1</v>
      </c>
      <c r="C37">
        <f>IF(COUNTIF($A$11:A37, A37) &gt; 1, 1, 0)</f>
        <v>0</v>
      </c>
      <c r="D37">
        <v>2012</v>
      </c>
      <c r="E37" t="s">
        <v>9</v>
      </c>
      <c r="F37" t="s">
        <v>11</v>
      </c>
      <c r="G37" t="s">
        <v>10</v>
      </c>
      <c r="H37" t="s">
        <v>10</v>
      </c>
      <c r="I37">
        <f t="shared" si="6"/>
        <v>0</v>
      </c>
      <c r="J37">
        <f>SUMIF(A$2:A37,A37, O$2:O37)</f>
        <v>72</v>
      </c>
      <c r="K37">
        <f>SUMIF(A$2:A37, A37, P$2:P37)</f>
        <v>26</v>
      </c>
      <c r="L37">
        <f>SUMIF(A$2:A37, A37, Q$2:Q37)</f>
        <v>13</v>
      </c>
      <c r="M37">
        <f>SUMIF(A$2:A37, A37, R$2:R37)</f>
        <v>33</v>
      </c>
      <c r="N37">
        <f t="shared" si="5"/>
        <v>91</v>
      </c>
      <c r="O37">
        <f t="shared" si="8"/>
        <v>72</v>
      </c>
      <c r="P37">
        <v>26</v>
      </c>
      <c r="Q37">
        <v>13</v>
      </c>
      <c r="R37">
        <v>33</v>
      </c>
      <c r="S37">
        <f t="shared" si="9"/>
        <v>91</v>
      </c>
      <c r="T37">
        <v>2</v>
      </c>
      <c r="U37">
        <f t="shared" si="10"/>
        <v>2</v>
      </c>
      <c r="V37">
        <v>2</v>
      </c>
      <c r="W37">
        <v>7</v>
      </c>
      <c r="X37">
        <v>0</v>
      </c>
      <c r="Y37">
        <v>7</v>
      </c>
      <c r="Z37" t="b">
        <v>1</v>
      </c>
      <c r="AA37" t="s">
        <v>536</v>
      </c>
      <c r="AB37">
        <f>IFERROR(INDEX('List of Leagues'!E:E, MATCH(AA37, 'List of Leagues'!F:F, 0)), 0)</f>
        <v>78.099999999999994</v>
      </c>
      <c r="AC37" t="s">
        <v>178</v>
      </c>
      <c r="AD37">
        <f>IFERROR(INDEX('List of Leagues'!E:E, MATCH(AC37, 'List of Leagues'!F:F, 0)), 0)</f>
        <v>69.3</v>
      </c>
      <c r="AE37" t="s">
        <v>756</v>
      </c>
      <c r="AF37">
        <f>IFERROR(INDEX('List of Leagues'!E:E, MATCH(AE37, 'List of Leagues'!F:F, 0)), 0)</f>
        <v>76.8</v>
      </c>
      <c r="AG37" t="s">
        <v>762</v>
      </c>
      <c r="AH37">
        <f>IFERROR(INDEX('List of Leagues'!E:E, MATCH(AG37, 'List of Leagues'!F:F, 0)), 0)</f>
        <v>0</v>
      </c>
      <c r="AI37" t="s">
        <v>762</v>
      </c>
      <c r="AJ37">
        <f>IFERROR(INDEX('List of Leagues'!E:E, MATCH(AI37, 'List of Leagues'!F:F, 0)), 0)</f>
        <v>0</v>
      </c>
      <c r="AK37" t="s">
        <v>762</v>
      </c>
      <c r="AL37">
        <f>IFERROR(INDEX('List of Leagues'!E:E, MATCH(AK37, 'List of Leagues'!F:F, 0)), 0)</f>
        <v>0</v>
      </c>
      <c r="AM37" t="s">
        <v>762</v>
      </c>
      <c r="AN37">
        <f>IFERROR(INDEX('List of Leagues'!E:E, MATCH(AM37, 'List of Leagues'!F:F, 0)), 0)</f>
        <v>0</v>
      </c>
      <c r="AO37" t="s">
        <v>762</v>
      </c>
      <c r="AP37">
        <f>IFERROR(INDEX('List of Leagues'!E:E, MATCH(AO37, 'List of Leagues'!F:F, 0)), 0)</f>
        <v>0</v>
      </c>
      <c r="AQ37">
        <f t="shared" si="11"/>
        <v>28.024999999999999</v>
      </c>
      <c r="AR37" t="s">
        <v>213</v>
      </c>
      <c r="AS37">
        <f>IFERROR(INDEX('List of Leagues'!$E:$E, MATCH(AR37, 'List of Leagues'!$F:$F, 0)), 0)</f>
        <v>0</v>
      </c>
      <c r="AT37" t="s">
        <v>762</v>
      </c>
      <c r="AU37">
        <f>IFERROR(INDEX('List of Leagues'!$E:$E, MATCH(AT37, 'List of Leagues'!$F:$F, 0)), 0)</f>
        <v>0</v>
      </c>
      <c r="AV37" t="s">
        <v>762</v>
      </c>
      <c r="AW37">
        <f>IFERROR(INDEX('List of Leagues'!$E:$E, MATCH(AV37, 'List of Leagues'!$F:$F, 0)), 0)</f>
        <v>0</v>
      </c>
      <c r="AX37" t="s">
        <v>762</v>
      </c>
      <c r="AY37">
        <f>IFERROR(INDEX('List of Leagues'!$E:$E, MATCH(AX37, 'List of Leagues'!$F:$F, 0)), 0)</f>
        <v>0</v>
      </c>
      <c r="AZ37" t="s">
        <v>762</v>
      </c>
      <c r="BA37">
        <f>IFERROR(INDEX('List of Leagues'!$E:$E, MATCH(AZ37, 'List of Leagues'!$F:$F, 0)), 0)</f>
        <v>0</v>
      </c>
      <c r="BB37" t="s">
        <v>762</v>
      </c>
      <c r="BC37">
        <f>IFERROR(INDEX('List of Leagues'!$E:$E, MATCH(BB37, 'List of Leagues'!$F:$F, 0)), 0)</f>
        <v>0</v>
      </c>
      <c r="BD37">
        <f t="shared" si="12"/>
        <v>0</v>
      </c>
    </row>
    <row r="38" spans="1:56" x14ac:dyDescent="0.35">
      <c r="A38" t="s">
        <v>48</v>
      </c>
      <c r="B38">
        <v>0</v>
      </c>
      <c r="C38">
        <f>IF(COUNTIF($A$11:A38, A38) &gt; 1, 1, 0)</f>
        <v>0</v>
      </c>
      <c r="D38">
        <v>2012</v>
      </c>
      <c r="E38" t="s">
        <v>21</v>
      </c>
      <c r="F38" t="str">
        <f>IF(B38=0, "-", "")</f>
        <v>-</v>
      </c>
      <c r="G38" t="s">
        <v>10</v>
      </c>
      <c r="H38" t="s">
        <v>10</v>
      </c>
      <c r="I38">
        <f t="shared" si="6"/>
        <v>0</v>
      </c>
      <c r="J38">
        <f>SUMIF(A$2:A38,A38, O$2:O38)</f>
        <v>24</v>
      </c>
      <c r="K38">
        <f>SUMIF(A$2:A38, A38, P$2:P38)</f>
        <v>4</v>
      </c>
      <c r="L38">
        <f>SUMIF(A$2:A38, A38, Q$2:Q38)</f>
        <v>8</v>
      </c>
      <c r="M38">
        <f>SUMIF(A$2:A38, A38, R$2:R38)</f>
        <v>12</v>
      </c>
      <c r="N38">
        <f t="shared" si="5"/>
        <v>20</v>
      </c>
      <c r="O38">
        <f t="shared" si="8"/>
        <v>24</v>
      </c>
      <c r="P38">
        <v>4</v>
      </c>
      <c r="Q38">
        <v>8</v>
      </c>
      <c r="R38">
        <v>12</v>
      </c>
      <c r="S38">
        <f t="shared" si="9"/>
        <v>20</v>
      </c>
      <c r="T38">
        <v>1</v>
      </c>
      <c r="U38">
        <f t="shared" si="10"/>
        <v>3</v>
      </c>
      <c r="V38">
        <f>IF(F38="-", U38)</f>
        <v>3</v>
      </c>
      <c r="W38">
        <f>IF(F38="-", Y38)</f>
        <v>6</v>
      </c>
      <c r="X38">
        <v>2</v>
      </c>
      <c r="Y38">
        <v>6</v>
      </c>
      <c r="Z38" t="b">
        <v>1</v>
      </c>
      <c r="AA38" t="s">
        <v>185</v>
      </c>
      <c r="AB38">
        <f>IFERROR(INDEX('List of Leagues'!E:E, MATCH(AA38, 'List of Leagues'!F:F, 0)), 0)</f>
        <v>75.400000000000006</v>
      </c>
      <c r="AC38" t="s">
        <v>184</v>
      </c>
      <c r="AD38">
        <f>IFERROR(INDEX('List of Leagues'!E:E, MATCH(AC38, 'List of Leagues'!F:F, 0)), 0)</f>
        <v>93.8</v>
      </c>
      <c r="AE38" t="s">
        <v>762</v>
      </c>
      <c r="AF38">
        <f>IFERROR(INDEX('List of Leagues'!E:E, MATCH(AE38, 'List of Leagues'!F:F, 0)), 0)</f>
        <v>0</v>
      </c>
      <c r="AG38" t="s">
        <v>756</v>
      </c>
      <c r="AH38">
        <f>IFERROR(INDEX('List of Leagues'!E:E, MATCH(AG38, 'List of Leagues'!F:F, 0)), 0)</f>
        <v>76.8</v>
      </c>
      <c r="AI38" t="s">
        <v>762</v>
      </c>
      <c r="AJ38">
        <f>IFERROR(INDEX('List of Leagues'!E:E, MATCH(AI38, 'List of Leagues'!F:F, 0)), 0)</f>
        <v>0</v>
      </c>
      <c r="AK38" t="s">
        <v>762</v>
      </c>
      <c r="AL38">
        <f>IFERROR(INDEX('List of Leagues'!E:E, MATCH(AK38, 'List of Leagues'!F:F, 0)), 0)</f>
        <v>0</v>
      </c>
      <c r="AM38" t="s">
        <v>762</v>
      </c>
      <c r="AN38">
        <f>IFERROR(INDEX('List of Leagues'!E:E, MATCH(AM38, 'List of Leagues'!F:F, 0)), 0)</f>
        <v>0</v>
      </c>
      <c r="AO38" t="s">
        <v>762</v>
      </c>
      <c r="AP38">
        <f>IFERROR(INDEX('List of Leagues'!E:E, MATCH(AO38, 'List of Leagues'!F:F, 0)), 0)</f>
        <v>0</v>
      </c>
      <c r="AQ38">
        <f t="shared" si="11"/>
        <v>30.75</v>
      </c>
      <c r="AR38" t="s">
        <v>529</v>
      </c>
      <c r="AS38">
        <f>IFERROR(INDEX('List of Leagues'!$E:$E, MATCH(AR38, 'List of Leagues'!$F:$F, 0)), 0)</f>
        <v>89.5</v>
      </c>
      <c r="AT38" t="s">
        <v>197</v>
      </c>
      <c r="AU38">
        <f>IFERROR(INDEX('List of Leagues'!$E:$E, MATCH(AT38, 'List of Leagues'!$F:$F, 0)), 0)</f>
        <v>78.400000000000006</v>
      </c>
      <c r="AV38" t="s">
        <v>184</v>
      </c>
      <c r="AW38">
        <f>IFERROR(INDEX('List of Leagues'!$E:$E, MATCH(AV38, 'List of Leagues'!$F:$F, 0)), 0)</f>
        <v>93.8</v>
      </c>
      <c r="AX38" t="s">
        <v>762</v>
      </c>
      <c r="AY38">
        <f>IFERROR(INDEX('List of Leagues'!$E:$E, MATCH(AX38, 'List of Leagues'!$F:$F, 0)), 0)</f>
        <v>0</v>
      </c>
      <c r="AZ38" t="s">
        <v>762</v>
      </c>
      <c r="BA38">
        <f>IFERROR(INDEX('List of Leagues'!$E:$E, MATCH(AZ38, 'List of Leagues'!$F:$F, 0)), 0)</f>
        <v>0</v>
      </c>
      <c r="BB38" t="s">
        <v>762</v>
      </c>
      <c r="BC38">
        <f>IFERROR(INDEX('List of Leagues'!$E:$E, MATCH(BB38, 'List of Leagues'!$F:$F, 0)), 0)</f>
        <v>0</v>
      </c>
      <c r="BD38">
        <f t="shared" si="12"/>
        <v>43.616666666666667</v>
      </c>
    </row>
    <row r="39" spans="1:56" x14ac:dyDescent="0.35">
      <c r="A39" t="s">
        <v>53</v>
      </c>
      <c r="B39">
        <v>1</v>
      </c>
      <c r="C39">
        <f>IF(COUNTIF($A$11:A39, A39) &gt; 1, 1, 0)</f>
        <v>0</v>
      </c>
      <c r="D39">
        <v>2013</v>
      </c>
      <c r="E39" t="s">
        <v>39</v>
      </c>
      <c r="F39" t="s">
        <v>23</v>
      </c>
      <c r="G39" t="s">
        <v>10</v>
      </c>
      <c r="H39" t="s">
        <v>10</v>
      </c>
      <c r="I39">
        <f t="shared" si="6"/>
        <v>0</v>
      </c>
      <c r="J39">
        <f>SUMIF(A$2:A39,A39, O$2:O39)</f>
        <v>170</v>
      </c>
      <c r="K39">
        <f>SUMIF(A$2:A39, A39, P$2:P39)</f>
        <v>68</v>
      </c>
      <c r="L39">
        <f>SUMIF(A$2:A39, A39, Q$2:Q39)</f>
        <v>52</v>
      </c>
      <c r="M39">
        <f>SUMIF(A$2:A39, A39, R$2:R39)</f>
        <v>50</v>
      </c>
      <c r="N39">
        <f t="shared" si="5"/>
        <v>256</v>
      </c>
      <c r="O39">
        <f t="shared" si="8"/>
        <v>170</v>
      </c>
      <c r="P39">
        <f>14+12+15+12+15</f>
        <v>68</v>
      </c>
      <c r="Q39">
        <f>15+13+8+8+8</f>
        <v>52</v>
      </c>
      <c r="R39">
        <f>5+9+11+14+11</f>
        <v>50</v>
      </c>
      <c r="S39">
        <f t="shared" si="9"/>
        <v>256</v>
      </c>
      <c r="T39">
        <v>5</v>
      </c>
      <c r="U39">
        <f t="shared" si="10"/>
        <v>11</v>
      </c>
      <c r="V39">
        <v>10</v>
      </c>
      <c r="W39">
        <v>5</v>
      </c>
      <c r="X39">
        <v>6</v>
      </c>
      <c r="Y39">
        <v>5</v>
      </c>
      <c r="Z39" t="b">
        <v>1</v>
      </c>
      <c r="AA39" t="s">
        <v>178</v>
      </c>
      <c r="AB39">
        <f>IFERROR(INDEX('List of Leagues'!E:E, MATCH(AA39, 'List of Leagues'!F:F, 0)), 0)</f>
        <v>69.3</v>
      </c>
      <c r="AC39" t="s">
        <v>187</v>
      </c>
      <c r="AD39">
        <f>IFERROR(INDEX('List of Leagues'!E:E, MATCH(AC39, 'List of Leagues'!F:F, 0)), 0)</f>
        <v>58.4</v>
      </c>
      <c r="AE39" t="s">
        <v>762</v>
      </c>
      <c r="AF39">
        <f>IFERROR(INDEX('List of Leagues'!E:E, MATCH(AE39, 'List of Leagues'!F:F, 0)), 0)</f>
        <v>0</v>
      </c>
      <c r="AG39" t="s">
        <v>762</v>
      </c>
      <c r="AH39">
        <f>IFERROR(INDEX('List of Leagues'!E:E, MATCH(AG39, 'List of Leagues'!F:F, 0)), 0)</f>
        <v>0</v>
      </c>
      <c r="AI39" t="s">
        <v>762</v>
      </c>
      <c r="AJ39">
        <f>IFERROR(INDEX('List of Leagues'!E:E, MATCH(AI39, 'List of Leagues'!F:F, 0)), 0)</f>
        <v>0</v>
      </c>
      <c r="AK39" t="s">
        <v>762</v>
      </c>
      <c r="AL39">
        <f>IFERROR(INDEX('List of Leagues'!E:E, MATCH(AK39, 'List of Leagues'!F:F, 0)), 0)</f>
        <v>0</v>
      </c>
      <c r="AM39" t="s">
        <v>762</v>
      </c>
      <c r="AN39">
        <f>IFERROR(INDEX('List of Leagues'!E:E, MATCH(AM39, 'List of Leagues'!F:F, 0)), 0)</f>
        <v>0</v>
      </c>
      <c r="AO39" t="s">
        <v>762</v>
      </c>
      <c r="AP39">
        <f>IFERROR(INDEX('List of Leagues'!E:E, MATCH(AO39, 'List of Leagues'!F:F, 0)), 0)</f>
        <v>0</v>
      </c>
      <c r="AQ39">
        <f t="shared" si="11"/>
        <v>15.962499999999999</v>
      </c>
      <c r="AR39" t="s">
        <v>182</v>
      </c>
      <c r="AS39">
        <f>IFERROR(INDEX('List of Leagues'!$E:$E, MATCH(AR39, 'List of Leagues'!$F:$F, 0)), 0)</f>
        <v>0</v>
      </c>
      <c r="AT39" t="s">
        <v>762</v>
      </c>
      <c r="AU39">
        <f>IFERROR(INDEX('List of Leagues'!$E:$E, MATCH(AT39, 'List of Leagues'!$F:$F, 0)), 0)</f>
        <v>0</v>
      </c>
      <c r="AV39" t="s">
        <v>762</v>
      </c>
      <c r="AW39">
        <f>IFERROR(INDEX('List of Leagues'!$E:$E, MATCH(AV39, 'List of Leagues'!$F:$F, 0)), 0)</f>
        <v>0</v>
      </c>
      <c r="AX39" t="s">
        <v>762</v>
      </c>
      <c r="AY39">
        <f>IFERROR(INDEX('List of Leagues'!$E:$E, MATCH(AX39, 'List of Leagues'!$F:$F, 0)), 0)</f>
        <v>0</v>
      </c>
      <c r="AZ39" t="s">
        <v>762</v>
      </c>
      <c r="BA39">
        <f>IFERROR(INDEX('List of Leagues'!$E:$E, MATCH(AZ39, 'List of Leagues'!$F:$F, 0)), 0)</f>
        <v>0</v>
      </c>
      <c r="BB39" t="s">
        <v>762</v>
      </c>
      <c r="BC39">
        <f>IFERROR(INDEX('List of Leagues'!$E:$E, MATCH(BB39, 'List of Leagues'!$F:$F, 0)), 0)</f>
        <v>0</v>
      </c>
      <c r="BD39">
        <f t="shared" si="12"/>
        <v>0</v>
      </c>
    </row>
    <row r="40" spans="1:56" x14ac:dyDescent="0.35">
      <c r="A40" t="s">
        <v>50</v>
      </c>
      <c r="B40">
        <v>0</v>
      </c>
      <c r="C40">
        <f>IF(COUNTIF($A$11:A40, A40) &gt; 1, 1, 0)</f>
        <v>0</v>
      </c>
      <c r="D40">
        <v>2013</v>
      </c>
      <c r="E40" t="s">
        <v>29</v>
      </c>
      <c r="F40" t="str">
        <f>IF(B40=0, "-", "")</f>
        <v>-</v>
      </c>
      <c r="G40" t="s">
        <v>6</v>
      </c>
      <c r="H40" t="s">
        <v>132</v>
      </c>
      <c r="I40">
        <f t="shared" si="6"/>
        <v>0</v>
      </c>
      <c r="J40">
        <f>SUMIF(A$2:A40,A40, O$2:O40)</f>
        <v>12</v>
      </c>
      <c r="K40">
        <f>SUMIF(A$2:A40, A40, P$2:P40)</f>
        <v>3</v>
      </c>
      <c r="L40">
        <f>SUMIF(A$2:A40, A40, Q$2:Q40)</f>
        <v>2</v>
      </c>
      <c r="M40">
        <f>SUMIF(A$2:A40, A40, R$2:R40)</f>
        <v>7</v>
      </c>
      <c r="N40">
        <f t="shared" si="5"/>
        <v>11</v>
      </c>
      <c r="O40">
        <f t="shared" si="8"/>
        <v>12</v>
      </c>
      <c r="P40">
        <v>3</v>
      </c>
      <c r="Q40">
        <v>2</v>
      </c>
      <c r="R40">
        <v>7</v>
      </c>
      <c r="S40">
        <f t="shared" si="9"/>
        <v>11</v>
      </c>
      <c r="T40">
        <v>1</v>
      </c>
      <c r="U40">
        <f t="shared" si="10"/>
        <v>8</v>
      </c>
      <c r="V40">
        <f>IF(F40="-", U40)</f>
        <v>8</v>
      </c>
      <c r="W40">
        <f>IF(F40="-", Y40)</f>
        <v>0</v>
      </c>
      <c r="X40">
        <v>7</v>
      </c>
      <c r="Y40">
        <v>0</v>
      </c>
      <c r="Z40" t="b">
        <v>0</v>
      </c>
      <c r="AA40" t="s">
        <v>179</v>
      </c>
      <c r="AB40">
        <f>IFERROR(INDEX('List of Leagues'!E:E, MATCH(AA40, 'List of Leagues'!F:F, 0)), 0)</f>
        <v>0</v>
      </c>
      <c r="AC40" t="s">
        <v>762</v>
      </c>
      <c r="AD40">
        <f>IFERROR(INDEX('List of Leagues'!E:E, MATCH(AC40, 'List of Leagues'!F:F, 0)), 0)</f>
        <v>0</v>
      </c>
      <c r="AE40" t="s">
        <v>756</v>
      </c>
      <c r="AF40">
        <f>IFERROR(INDEX('List of Leagues'!E:E, MATCH(AE40, 'List of Leagues'!F:F, 0)), 0)</f>
        <v>76.8</v>
      </c>
      <c r="AG40" t="s">
        <v>762</v>
      </c>
      <c r="AH40">
        <f>IFERROR(INDEX('List of Leagues'!E:E, MATCH(AG40, 'List of Leagues'!F:F, 0)), 0)</f>
        <v>0</v>
      </c>
      <c r="AI40" t="s">
        <v>762</v>
      </c>
      <c r="AJ40">
        <f>IFERROR(INDEX('List of Leagues'!E:E, MATCH(AI40, 'List of Leagues'!F:F, 0)), 0)</f>
        <v>0</v>
      </c>
      <c r="AK40" t="s">
        <v>762</v>
      </c>
      <c r="AL40">
        <f>IFERROR(INDEX('List of Leagues'!E:E, MATCH(AK40, 'List of Leagues'!F:F, 0)), 0)</f>
        <v>0</v>
      </c>
      <c r="AM40" t="s">
        <v>762</v>
      </c>
      <c r="AN40">
        <f>IFERROR(INDEX('List of Leagues'!E:E, MATCH(AM40, 'List of Leagues'!F:F, 0)), 0)</f>
        <v>0</v>
      </c>
      <c r="AO40" t="s">
        <v>762</v>
      </c>
      <c r="AP40">
        <f>IFERROR(INDEX('List of Leagues'!E:E, MATCH(AO40, 'List of Leagues'!F:F, 0)), 0)</f>
        <v>0</v>
      </c>
      <c r="AQ40">
        <f t="shared" si="11"/>
        <v>9.6</v>
      </c>
      <c r="AR40" t="s">
        <v>182</v>
      </c>
      <c r="AS40">
        <f>IFERROR(INDEX('List of Leagues'!$E:$E, MATCH(AR40, 'List of Leagues'!$F:$F, 0)), 0)</f>
        <v>0</v>
      </c>
      <c r="AT40" t="s">
        <v>178</v>
      </c>
      <c r="AU40">
        <f>IFERROR(INDEX('List of Leagues'!$E:$E, MATCH(AT40, 'List of Leagues'!$F:$F, 0)), 0)</f>
        <v>69.3</v>
      </c>
      <c r="AV40" t="s">
        <v>762</v>
      </c>
      <c r="AW40">
        <f>IFERROR(INDEX('List of Leagues'!$E:$E, MATCH(AV40, 'List of Leagues'!$F:$F, 0)), 0)</f>
        <v>0</v>
      </c>
      <c r="AX40" t="s">
        <v>762</v>
      </c>
      <c r="AY40">
        <f>IFERROR(INDEX('List of Leagues'!$E:$E, MATCH(AX40, 'List of Leagues'!$F:$F, 0)), 0)</f>
        <v>0</v>
      </c>
      <c r="AZ40" t="s">
        <v>762</v>
      </c>
      <c r="BA40">
        <f>IFERROR(INDEX('List of Leagues'!$E:$E, MATCH(AZ40, 'List of Leagues'!$F:$F, 0)), 0)</f>
        <v>0</v>
      </c>
      <c r="BB40" t="s">
        <v>762</v>
      </c>
      <c r="BC40">
        <f>IFERROR(INDEX('List of Leagues'!$E:$E, MATCH(BB40, 'List of Leagues'!$F:$F, 0)), 0)</f>
        <v>0</v>
      </c>
      <c r="BD40">
        <f t="shared" si="12"/>
        <v>11.549999999999999</v>
      </c>
    </row>
    <row r="41" spans="1:56" x14ac:dyDescent="0.35">
      <c r="A41" t="s">
        <v>51</v>
      </c>
      <c r="B41">
        <v>0</v>
      </c>
      <c r="C41">
        <f>IF(COUNTIF($A$11:A41, A41) &gt; 1, 1, 0)</f>
        <v>0</v>
      </c>
      <c r="D41">
        <v>2013</v>
      </c>
      <c r="E41" t="s">
        <v>45</v>
      </c>
      <c r="F41" t="str">
        <f>IF(B41=0, "-", "")</f>
        <v>-</v>
      </c>
      <c r="G41" t="s">
        <v>10</v>
      </c>
      <c r="H41" t="s">
        <v>10</v>
      </c>
      <c r="I41">
        <f t="shared" si="6"/>
        <v>0</v>
      </c>
      <c r="J41">
        <f>SUMIF(A$2:A41,A41, O$2:O41)</f>
        <v>34</v>
      </c>
      <c r="K41">
        <f>SUMIF(A$2:A41, A41, P$2:P41)</f>
        <v>14</v>
      </c>
      <c r="L41">
        <f>SUMIF(A$2:A41, A41, Q$2:Q41)</f>
        <v>7</v>
      </c>
      <c r="M41">
        <f>SUMIF(A$2:A41, A41, R$2:R41)</f>
        <v>13</v>
      </c>
      <c r="N41">
        <f t="shared" si="5"/>
        <v>49</v>
      </c>
      <c r="O41">
        <f t="shared" si="8"/>
        <v>34</v>
      </c>
      <c r="P41">
        <v>14</v>
      </c>
      <c r="Q41">
        <v>7</v>
      </c>
      <c r="R41">
        <v>13</v>
      </c>
      <c r="S41">
        <f t="shared" si="9"/>
        <v>49</v>
      </c>
      <c r="T41">
        <v>1</v>
      </c>
      <c r="U41">
        <f t="shared" si="10"/>
        <v>13</v>
      </c>
      <c r="V41">
        <f>IF(F41="-", U41)</f>
        <v>13</v>
      </c>
      <c r="W41">
        <f>IF(F41="-", Y41)</f>
        <v>3</v>
      </c>
      <c r="X41">
        <v>12</v>
      </c>
      <c r="Y41">
        <v>3</v>
      </c>
      <c r="Z41" t="b">
        <v>1</v>
      </c>
      <c r="AA41" t="s">
        <v>539</v>
      </c>
      <c r="AB41">
        <f>IFERROR(INDEX('List of Leagues'!E:E, MATCH(AA41, 'List of Leagues'!F:F, 0)), 0)</f>
        <v>77.400000000000006</v>
      </c>
      <c r="AC41" t="s">
        <v>756</v>
      </c>
      <c r="AD41">
        <f>IFERROR(INDEX('List of Leagues'!E:E, MATCH(AC41, 'List of Leagues'!F:F, 0)), 0)</f>
        <v>76.8</v>
      </c>
      <c r="AE41" t="s">
        <v>185</v>
      </c>
      <c r="AF41">
        <f>IFERROR(INDEX('List of Leagues'!E:E, MATCH(AE41, 'List of Leagues'!F:F, 0)), 0)</f>
        <v>75.400000000000006</v>
      </c>
      <c r="AG41" t="s">
        <v>762</v>
      </c>
      <c r="AH41">
        <f>IFERROR(INDEX('List of Leagues'!E:E, MATCH(AG41, 'List of Leagues'!F:F, 0)), 0)</f>
        <v>0</v>
      </c>
      <c r="AI41" t="s">
        <v>762</v>
      </c>
      <c r="AJ41">
        <f>IFERROR(INDEX('List of Leagues'!E:E, MATCH(AI41, 'List of Leagues'!F:F, 0)), 0)</f>
        <v>0</v>
      </c>
      <c r="AK41" t="s">
        <v>762</v>
      </c>
      <c r="AL41">
        <f>IFERROR(INDEX('List of Leagues'!E:E, MATCH(AK41, 'List of Leagues'!F:F, 0)), 0)</f>
        <v>0</v>
      </c>
      <c r="AM41" t="s">
        <v>762</v>
      </c>
      <c r="AN41">
        <f>IFERROR(INDEX('List of Leagues'!E:E, MATCH(AM41, 'List of Leagues'!F:F, 0)), 0)</f>
        <v>0</v>
      </c>
      <c r="AO41" t="s">
        <v>762</v>
      </c>
      <c r="AP41">
        <f>IFERROR(INDEX('List of Leagues'!E:E, MATCH(AO41, 'List of Leagues'!F:F, 0)), 0)</f>
        <v>0</v>
      </c>
      <c r="AQ41">
        <f t="shared" si="11"/>
        <v>28.7</v>
      </c>
      <c r="AR41" t="s">
        <v>178</v>
      </c>
      <c r="AS41">
        <f>IFERROR(INDEX('List of Leagues'!$E:$E, MATCH(AR41, 'List of Leagues'!$F:$F, 0)), 0)</f>
        <v>69.3</v>
      </c>
      <c r="AT41" t="s">
        <v>756</v>
      </c>
      <c r="AU41">
        <f>IFERROR(INDEX('List of Leagues'!$E:$E, MATCH(AT41, 'List of Leagues'!$F:$F, 0)), 0)</f>
        <v>76.8</v>
      </c>
      <c r="AV41" t="s">
        <v>762</v>
      </c>
      <c r="AW41">
        <f>IFERROR(INDEX('List of Leagues'!$E:$E, MATCH(AV41, 'List of Leagues'!$F:$F, 0)), 0)</f>
        <v>0</v>
      </c>
      <c r="AX41" t="s">
        <v>762</v>
      </c>
      <c r="AY41">
        <f>IFERROR(INDEX('List of Leagues'!$E:$E, MATCH(AX41, 'List of Leagues'!$F:$F, 0)), 0)</f>
        <v>0</v>
      </c>
      <c r="AZ41" t="s">
        <v>762</v>
      </c>
      <c r="BA41">
        <f>IFERROR(INDEX('List of Leagues'!$E:$E, MATCH(AZ41, 'List of Leagues'!$F:$F, 0)), 0)</f>
        <v>0</v>
      </c>
      <c r="BB41" t="s">
        <v>762</v>
      </c>
      <c r="BC41">
        <f>IFERROR(INDEX('List of Leagues'!$E:$E, MATCH(BB41, 'List of Leagues'!$F:$F, 0)), 0)</f>
        <v>0</v>
      </c>
      <c r="BD41">
        <f t="shared" si="12"/>
        <v>24.349999999999998</v>
      </c>
    </row>
    <row r="42" spans="1:56" x14ac:dyDescent="0.35">
      <c r="A42" t="s">
        <v>54</v>
      </c>
      <c r="B42">
        <v>0</v>
      </c>
      <c r="C42">
        <f>IF(COUNTIF($A$11:A42, A42) &gt; 1, 1, 0)</f>
        <v>0</v>
      </c>
      <c r="D42">
        <v>2013</v>
      </c>
      <c r="E42" t="s">
        <v>19</v>
      </c>
      <c r="F42" t="str">
        <f>IF(B42=0, "-", "")</f>
        <v>-</v>
      </c>
      <c r="G42" t="s">
        <v>10</v>
      </c>
      <c r="H42" t="s">
        <v>10</v>
      </c>
      <c r="I42">
        <f t="shared" si="6"/>
        <v>0</v>
      </c>
      <c r="J42">
        <f>SUMIF(A$2:A42,A42, O$2:O42)</f>
        <v>51</v>
      </c>
      <c r="K42">
        <f>SUMIF(A$2:A42, A42, P$2:P42)</f>
        <v>17</v>
      </c>
      <c r="L42">
        <f>SUMIF(A$2:A42, A42, Q$2:Q42)</f>
        <v>14</v>
      </c>
      <c r="M42">
        <f>SUMIF(A$2:A42, A42, R$2:R42)</f>
        <v>20</v>
      </c>
      <c r="N42">
        <f t="shared" si="5"/>
        <v>65</v>
      </c>
      <c r="O42">
        <f t="shared" si="8"/>
        <v>51</v>
      </c>
      <c r="P42">
        <f>11+6</f>
        <v>17</v>
      </c>
      <c r="Q42">
        <f>3+11</f>
        <v>14</v>
      </c>
      <c r="R42">
        <v>20</v>
      </c>
      <c r="S42">
        <f t="shared" si="9"/>
        <v>65</v>
      </c>
      <c r="T42">
        <v>2</v>
      </c>
      <c r="U42">
        <f t="shared" si="10"/>
        <v>2</v>
      </c>
      <c r="V42">
        <f>IF(F42="-", U42)</f>
        <v>2</v>
      </c>
      <c r="W42">
        <f>IF(F42="-", Y42)</f>
        <v>9</v>
      </c>
      <c r="X42">
        <v>0</v>
      </c>
      <c r="Y42">
        <v>9</v>
      </c>
      <c r="Z42" t="b">
        <v>1</v>
      </c>
      <c r="AA42" t="s">
        <v>178</v>
      </c>
      <c r="AB42">
        <f>IFERROR(INDEX('List of Leagues'!E:E, MATCH(AA42, 'List of Leagues'!F:F, 0)), 0)</f>
        <v>69.3</v>
      </c>
      <c r="AC42" t="s">
        <v>766</v>
      </c>
      <c r="AD42">
        <f>IFERROR(INDEX('List of Leagues'!E:E, MATCH(AC42, 'List of Leagues'!F:F, 0)), 0)</f>
        <v>0</v>
      </c>
      <c r="AE42" t="s">
        <v>762</v>
      </c>
      <c r="AF42">
        <f>IFERROR(INDEX('List of Leagues'!E:E, MATCH(AE42, 'List of Leagues'!F:F, 0)), 0)</f>
        <v>0</v>
      </c>
      <c r="AG42" t="s">
        <v>187</v>
      </c>
      <c r="AH42">
        <f>IFERROR(INDEX('List of Leagues'!E:E, MATCH(AG42, 'List of Leagues'!F:F, 0)), 0)</f>
        <v>58.4</v>
      </c>
      <c r="AI42" t="s">
        <v>211</v>
      </c>
      <c r="AJ42">
        <f>IFERROR(INDEX('List of Leagues'!E:E, MATCH(AI42, 'List of Leagues'!F:F, 0)), 0)</f>
        <v>60.5</v>
      </c>
      <c r="AK42" t="s">
        <v>756</v>
      </c>
      <c r="AL42">
        <f>IFERROR(INDEX('List of Leagues'!E:E, MATCH(AK42, 'List of Leagues'!F:F, 0)), 0)</f>
        <v>76.8</v>
      </c>
      <c r="AM42" t="s">
        <v>762</v>
      </c>
      <c r="AN42">
        <f>IFERROR(INDEX('List of Leagues'!E:E, MATCH(AM42, 'List of Leagues'!F:F, 0)), 0)</f>
        <v>0</v>
      </c>
      <c r="AO42" t="s">
        <v>762</v>
      </c>
      <c r="AP42">
        <f>IFERROR(INDEX('List of Leagues'!E:E, MATCH(AO42, 'List of Leagues'!F:F, 0)), 0)</f>
        <v>0</v>
      </c>
      <c r="AQ42">
        <f t="shared" si="11"/>
        <v>33.125</v>
      </c>
      <c r="AR42" t="s">
        <v>178</v>
      </c>
      <c r="AS42">
        <f>IFERROR(INDEX('List of Leagues'!$E:$E, MATCH(AR42, 'List of Leagues'!$F:$F, 0)), 0)</f>
        <v>69.3</v>
      </c>
      <c r="AT42" t="s">
        <v>756</v>
      </c>
      <c r="AU42">
        <f>IFERROR(INDEX('List of Leagues'!$E:$E, MATCH(AT42, 'List of Leagues'!$F:$F, 0)), 0)</f>
        <v>76.8</v>
      </c>
      <c r="AV42" t="s">
        <v>762</v>
      </c>
      <c r="AW42">
        <f>IFERROR(INDEX('List of Leagues'!$E:$E, MATCH(AV42, 'List of Leagues'!$F:$F, 0)), 0)</f>
        <v>0</v>
      </c>
      <c r="AX42" t="s">
        <v>762</v>
      </c>
      <c r="AY42">
        <f>IFERROR(INDEX('List of Leagues'!$E:$E, MATCH(AX42, 'List of Leagues'!$F:$F, 0)), 0)</f>
        <v>0</v>
      </c>
      <c r="AZ42" t="s">
        <v>762</v>
      </c>
      <c r="BA42">
        <f>IFERROR(INDEX('List of Leagues'!$E:$E, MATCH(AZ42, 'List of Leagues'!$F:$F, 0)), 0)</f>
        <v>0</v>
      </c>
      <c r="BB42" t="s">
        <v>762</v>
      </c>
      <c r="BC42">
        <f>IFERROR(INDEX('List of Leagues'!$E:$E, MATCH(BB42, 'List of Leagues'!$F:$F, 0)), 0)</f>
        <v>0</v>
      </c>
      <c r="BD42">
        <f t="shared" si="12"/>
        <v>24.349999999999998</v>
      </c>
    </row>
    <row r="43" spans="1:56" x14ac:dyDescent="0.35">
      <c r="A43" t="s">
        <v>52</v>
      </c>
      <c r="B43">
        <v>1</v>
      </c>
      <c r="C43">
        <f>IF(COUNTIF($A$11:A43, A43) &gt; 1, 1, 0)</f>
        <v>0</v>
      </c>
      <c r="D43">
        <v>2013</v>
      </c>
      <c r="E43" t="s">
        <v>17</v>
      </c>
      <c r="F43" t="s">
        <v>60</v>
      </c>
      <c r="G43" t="s">
        <v>10</v>
      </c>
      <c r="H43" t="s">
        <v>10</v>
      </c>
      <c r="I43">
        <f t="shared" ref="I43:I74" si="13">IF(H43="B", 1, 0)</f>
        <v>0</v>
      </c>
      <c r="J43">
        <f>SUMIF(A$2:A43,A43, O$2:O43)</f>
        <v>68</v>
      </c>
      <c r="K43">
        <f>SUMIF(A$2:A43, A43, P$2:P43)</f>
        <v>30</v>
      </c>
      <c r="L43">
        <f>SUMIF(A$2:A43, A43, Q$2:Q43)</f>
        <v>19</v>
      </c>
      <c r="M43">
        <f>SUMIF(A$2:A43, A43, R$2:R43)</f>
        <v>19</v>
      </c>
      <c r="N43">
        <f t="shared" si="5"/>
        <v>109</v>
      </c>
      <c r="O43">
        <f t="shared" si="8"/>
        <v>68</v>
      </c>
      <c r="P43">
        <f>13+17</f>
        <v>30</v>
      </c>
      <c r="Q43">
        <f>11+8</f>
        <v>19</v>
      </c>
      <c r="R43">
        <f>10+9</f>
        <v>19</v>
      </c>
      <c r="S43">
        <f t="shared" si="9"/>
        <v>109</v>
      </c>
      <c r="T43">
        <v>2</v>
      </c>
      <c r="U43">
        <f t="shared" si="10"/>
        <v>2</v>
      </c>
      <c r="V43">
        <v>2</v>
      </c>
      <c r="W43">
        <v>2</v>
      </c>
      <c r="X43">
        <v>0</v>
      </c>
      <c r="Y43">
        <v>2</v>
      </c>
      <c r="Z43" t="b">
        <v>1</v>
      </c>
      <c r="AA43" t="s">
        <v>178</v>
      </c>
      <c r="AB43">
        <f>IFERROR(INDEX('List of Leagues'!E:E, MATCH(AA43, 'List of Leagues'!F:F, 0)), 0)</f>
        <v>69.3</v>
      </c>
      <c r="AC43" t="s">
        <v>756</v>
      </c>
      <c r="AD43">
        <f>IFERROR(INDEX('List of Leagues'!E:E, MATCH(AC43, 'List of Leagues'!F:F, 0)), 0)</f>
        <v>76.8</v>
      </c>
      <c r="AE43" t="s">
        <v>762</v>
      </c>
      <c r="AF43">
        <f>IFERROR(INDEX('List of Leagues'!E:E, MATCH(AE43, 'List of Leagues'!F:F, 0)), 0)</f>
        <v>0</v>
      </c>
      <c r="AG43" t="s">
        <v>762</v>
      </c>
      <c r="AH43">
        <f>IFERROR(INDEX('List of Leagues'!E:E, MATCH(AG43, 'List of Leagues'!F:F, 0)), 0)</f>
        <v>0</v>
      </c>
      <c r="AI43" t="s">
        <v>762</v>
      </c>
      <c r="AJ43">
        <f>IFERROR(INDEX('List of Leagues'!E:E, MATCH(AI43, 'List of Leagues'!F:F, 0)), 0)</f>
        <v>0</v>
      </c>
      <c r="AK43" t="s">
        <v>762</v>
      </c>
      <c r="AL43">
        <f>IFERROR(INDEX('List of Leagues'!E:E, MATCH(AK43, 'List of Leagues'!F:F, 0)), 0)</f>
        <v>0</v>
      </c>
      <c r="AM43" t="s">
        <v>762</v>
      </c>
      <c r="AN43">
        <f>IFERROR(INDEX('List of Leagues'!E:E, MATCH(AM43, 'List of Leagues'!F:F, 0)), 0)</f>
        <v>0</v>
      </c>
      <c r="AO43" t="s">
        <v>762</v>
      </c>
      <c r="AP43">
        <f>IFERROR(INDEX('List of Leagues'!E:E, MATCH(AO43, 'List of Leagues'!F:F, 0)), 0)</f>
        <v>0</v>
      </c>
      <c r="AQ43">
        <f t="shared" si="11"/>
        <v>18.262499999999999</v>
      </c>
      <c r="AR43" t="s">
        <v>213</v>
      </c>
      <c r="AS43">
        <f>IFERROR(INDEX('List of Leagues'!$E:$E, MATCH(AR43, 'List of Leagues'!$F:$F, 0)), 0)</f>
        <v>0</v>
      </c>
      <c r="AT43" t="s">
        <v>762</v>
      </c>
      <c r="AU43">
        <f>IFERROR(INDEX('List of Leagues'!$E:$E, MATCH(AT43, 'List of Leagues'!$F:$F, 0)), 0)</f>
        <v>0</v>
      </c>
      <c r="AV43" t="s">
        <v>762</v>
      </c>
      <c r="AW43">
        <f>IFERROR(INDEX('List of Leagues'!$E:$E, MATCH(AV43, 'List of Leagues'!$F:$F, 0)), 0)</f>
        <v>0</v>
      </c>
      <c r="AX43" t="s">
        <v>762</v>
      </c>
      <c r="AY43">
        <f>IFERROR(INDEX('List of Leagues'!$E:$E, MATCH(AX43, 'List of Leagues'!$F:$F, 0)), 0)</f>
        <v>0</v>
      </c>
      <c r="AZ43" t="s">
        <v>762</v>
      </c>
      <c r="BA43">
        <f>IFERROR(INDEX('List of Leagues'!$E:$E, MATCH(AZ43, 'List of Leagues'!$F:$F, 0)), 0)</f>
        <v>0</v>
      </c>
      <c r="BB43" t="s">
        <v>762</v>
      </c>
      <c r="BC43">
        <f>IFERROR(INDEX('List of Leagues'!$E:$E, MATCH(BB43, 'List of Leagues'!$F:$F, 0)), 0)</f>
        <v>0</v>
      </c>
      <c r="BD43">
        <f t="shared" si="12"/>
        <v>0</v>
      </c>
    </row>
    <row r="44" spans="1:56" x14ac:dyDescent="0.35">
      <c r="A44" t="s">
        <v>55</v>
      </c>
      <c r="B44">
        <v>0</v>
      </c>
      <c r="C44">
        <f>IF(COUNTIF($A$11:A44, A44) &gt; 1, 1, 0)</f>
        <v>0</v>
      </c>
      <c r="D44">
        <v>2013</v>
      </c>
      <c r="E44" t="s">
        <v>21</v>
      </c>
      <c r="F44" t="str">
        <f>IF(B44=0, "-", "")</f>
        <v>-</v>
      </c>
      <c r="G44" t="s">
        <v>10</v>
      </c>
      <c r="H44" t="s">
        <v>10</v>
      </c>
      <c r="I44">
        <f t="shared" si="13"/>
        <v>0</v>
      </c>
      <c r="J44">
        <f>SUMIF(A$2:A44,A44, O$2:O44)</f>
        <v>60</v>
      </c>
      <c r="K44">
        <f>SUMIF(A$2:A44, A44, P$2:P44)</f>
        <v>15</v>
      </c>
      <c r="L44">
        <f>SUMIF(A$2:A44, A44, Q$2:Q44)</f>
        <v>17</v>
      </c>
      <c r="M44">
        <f>SUMIF(A$2:A44, A44, R$2:R44)</f>
        <v>28</v>
      </c>
      <c r="N44">
        <f t="shared" si="5"/>
        <v>62</v>
      </c>
      <c r="O44">
        <f t="shared" si="8"/>
        <v>60</v>
      </c>
      <c r="P44">
        <f>9+6</f>
        <v>15</v>
      </c>
      <c r="Q44">
        <f>6+11</f>
        <v>17</v>
      </c>
      <c r="R44">
        <f>17+11</f>
        <v>28</v>
      </c>
      <c r="S44">
        <f t="shared" si="9"/>
        <v>62</v>
      </c>
      <c r="T44">
        <v>2</v>
      </c>
      <c r="U44">
        <f t="shared" si="10"/>
        <v>2</v>
      </c>
      <c r="V44">
        <f>IF(F44="-", U44)</f>
        <v>2</v>
      </c>
      <c r="W44">
        <f>IF(F44="-", Y44)</f>
        <v>0</v>
      </c>
      <c r="X44">
        <v>0</v>
      </c>
      <c r="Y44">
        <v>0</v>
      </c>
      <c r="Z44" t="b">
        <v>1</v>
      </c>
      <c r="AA44" t="s">
        <v>178</v>
      </c>
      <c r="AB44">
        <f>IFERROR(INDEX('List of Leagues'!E:E, MATCH(AA44, 'List of Leagues'!F:F, 0)), 0)</f>
        <v>69.3</v>
      </c>
      <c r="AC44" t="s">
        <v>184</v>
      </c>
      <c r="AD44">
        <f>IFERROR(INDEX('List of Leagues'!E:E, MATCH(AC44, 'List of Leagues'!F:F, 0)), 0)</f>
        <v>93.8</v>
      </c>
      <c r="AE44" t="s">
        <v>762</v>
      </c>
      <c r="AF44">
        <f>IFERROR(INDEX('List of Leagues'!E:E, MATCH(AE44, 'List of Leagues'!F:F, 0)), 0)</f>
        <v>0</v>
      </c>
      <c r="AG44" t="s">
        <v>708</v>
      </c>
      <c r="AH44">
        <f>IFERROR(INDEX('List of Leagues'!E:E, MATCH(AG44, 'List of Leagues'!F:F, 0)), 0)</f>
        <v>43.1</v>
      </c>
      <c r="AI44" t="s">
        <v>756</v>
      </c>
      <c r="AJ44">
        <f>IFERROR(INDEX('List of Leagues'!E:E, MATCH(AI44, 'List of Leagues'!F:F, 0)), 0)</f>
        <v>76.8</v>
      </c>
      <c r="AK44" t="s">
        <v>762</v>
      </c>
      <c r="AL44">
        <f>IFERROR(INDEX('List of Leagues'!E:E, MATCH(AK44, 'List of Leagues'!F:F, 0)), 0)</f>
        <v>0</v>
      </c>
      <c r="AM44" t="s">
        <v>762</v>
      </c>
      <c r="AN44">
        <f>IFERROR(INDEX('List of Leagues'!E:E, MATCH(AM44, 'List of Leagues'!F:F, 0)), 0)</f>
        <v>0</v>
      </c>
      <c r="AO44" t="s">
        <v>762</v>
      </c>
      <c r="AP44">
        <f>IFERROR(INDEX('List of Leagues'!E:E, MATCH(AO44, 'List of Leagues'!F:F, 0)), 0)</f>
        <v>0</v>
      </c>
      <c r="AQ44">
        <f t="shared" si="11"/>
        <v>35.375</v>
      </c>
      <c r="AR44" t="s">
        <v>532</v>
      </c>
      <c r="AS44">
        <f>IFERROR(INDEX('List of Leagues'!$E:$E, MATCH(AR44, 'List of Leagues'!$F:$F, 0)), 0)</f>
        <v>80.8</v>
      </c>
      <c r="AT44" t="s">
        <v>771</v>
      </c>
      <c r="AU44">
        <f>IFERROR(INDEX('List of Leagues'!$E:$E, MATCH(AT44, 'List of Leagues'!$F:$F, 0)), 0)</f>
        <v>0</v>
      </c>
      <c r="AV44" t="s">
        <v>762</v>
      </c>
      <c r="AW44">
        <f>IFERROR(INDEX('List of Leagues'!$E:$E, MATCH(AV44, 'List of Leagues'!$F:$F, 0)), 0)</f>
        <v>0</v>
      </c>
      <c r="AX44" t="s">
        <v>762</v>
      </c>
      <c r="AY44">
        <f>IFERROR(INDEX('List of Leagues'!$E:$E, MATCH(AX44, 'List of Leagues'!$F:$F, 0)), 0)</f>
        <v>0</v>
      </c>
      <c r="AZ44" t="s">
        <v>762</v>
      </c>
      <c r="BA44">
        <f>IFERROR(INDEX('List of Leagues'!$E:$E, MATCH(AZ44, 'List of Leagues'!$F:$F, 0)), 0)</f>
        <v>0</v>
      </c>
      <c r="BB44" t="s">
        <v>762</v>
      </c>
      <c r="BC44">
        <f>IFERROR(INDEX('List of Leagues'!$E:$E, MATCH(BB44, 'List of Leagues'!$F:$F, 0)), 0)</f>
        <v>0</v>
      </c>
      <c r="BD44">
        <f t="shared" si="12"/>
        <v>13.466666666666667</v>
      </c>
    </row>
    <row r="45" spans="1:56" x14ac:dyDescent="0.35">
      <c r="A45" t="s">
        <v>62</v>
      </c>
      <c r="B45">
        <v>0</v>
      </c>
      <c r="C45">
        <f>IF(COUNTIF($A$11:A45, A45) &gt; 1, 1, 0)</f>
        <v>0</v>
      </c>
      <c r="D45">
        <v>2014</v>
      </c>
      <c r="E45" t="s">
        <v>42</v>
      </c>
      <c r="F45" t="str">
        <f>IF(B45=0, "-", "")</f>
        <v>-</v>
      </c>
      <c r="G45" t="s">
        <v>10</v>
      </c>
      <c r="H45" t="s">
        <v>10</v>
      </c>
      <c r="I45">
        <f t="shared" si="13"/>
        <v>0</v>
      </c>
      <c r="J45">
        <f>SUMIF(A$2:A45,A45, O$2:O45)</f>
        <v>165</v>
      </c>
      <c r="K45">
        <f>SUMIF(A$2:A45, A45, P$2:P45)</f>
        <v>64</v>
      </c>
      <c r="L45">
        <f>SUMIF(A$2:A45, A45, Q$2:Q45)</f>
        <v>42</v>
      </c>
      <c r="M45">
        <f>SUMIF(A$2:A45, A45, R$2:R45)</f>
        <v>59</v>
      </c>
      <c r="N45">
        <f t="shared" si="5"/>
        <v>234</v>
      </c>
      <c r="O45">
        <f t="shared" si="8"/>
        <v>165</v>
      </c>
      <c r="P45">
        <f>12+16+10+15+11</f>
        <v>64</v>
      </c>
      <c r="Q45">
        <f>8+7+9+5+13</f>
        <v>42</v>
      </c>
      <c r="R45">
        <f>13+12+15+13+6</f>
        <v>59</v>
      </c>
      <c r="S45">
        <f t="shared" si="9"/>
        <v>234</v>
      </c>
      <c r="T45">
        <v>5</v>
      </c>
      <c r="U45">
        <f t="shared" si="10"/>
        <v>5</v>
      </c>
      <c r="V45">
        <f>IF(F45="-", U45)</f>
        <v>5</v>
      </c>
      <c r="W45">
        <f>IF(F45="-", Y45)</f>
        <v>2</v>
      </c>
      <c r="X45">
        <v>0</v>
      </c>
      <c r="Y45">
        <v>2</v>
      </c>
      <c r="Z45" t="b">
        <v>1</v>
      </c>
      <c r="AA45" t="s">
        <v>185</v>
      </c>
      <c r="AB45">
        <f>IFERROR(INDEX('List of Leagues'!E:E, MATCH(AA45, 'List of Leagues'!F:F, 0)), 0)</f>
        <v>75.400000000000006</v>
      </c>
      <c r="AC45" t="s">
        <v>184</v>
      </c>
      <c r="AD45">
        <f>IFERROR(INDEX('List of Leagues'!E:E, MATCH(AC45, 'List of Leagues'!F:F, 0)), 0)</f>
        <v>93.8</v>
      </c>
      <c r="AE45" t="s">
        <v>762</v>
      </c>
      <c r="AF45">
        <f>IFERROR(INDEX('List of Leagues'!E:E, MATCH(AE45, 'List of Leagues'!F:F, 0)), 0)</f>
        <v>0</v>
      </c>
      <c r="AG45" t="s">
        <v>756</v>
      </c>
      <c r="AH45">
        <f>IFERROR(INDEX('List of Leagues'!E:E, MATCH(AG45, 'List of Leagues'!F:F, 0)), 0)</f>
        <v>76.8</v>
      </c>
      <c r="AI45" t="s">
        <v>762</v>
      </c>
      <c r="AJ45">
        <f>IFERROR(INDEX('List of Leagues'!E:E, MATCH(AI45, 'List of Leagues'!F:F, 0)), 0)</f>
        <v>0</v>
      </c>
      <c r="AK45" t="s">
        <v>762</v>
      </c>
      <c r="AL45">
        <f>IFERROR(INDEX('List of Leagues'!E:E, MATCH(AK45, 'List of Leagues'!F:F, 0)), 0)</f>
        <v>0</v>
      </c>
      <c r="AM45" t="s">
        <v>762</v>
      </c>
      <c r="AN45">
        <f>IFERROR(INDEX('List of Leagues'!E:E, MATCH(AM45, 'List of Leagues'!F:F, 0)), 0)</f>
        <v>0</v>
      </c>
      <c r="AO45" t="s">
        <v>762</v>
      </c>
      <c r="AP45">
        <f>IFERROR(INDEX('List of Leagues'!E:E, MATCH(AO45, 'List of Leagues'!F:F, 0)), 0)</f>
        <v>0</v>
      </c>
      <c r="AQ45">
        <f t="shared" si="11"/>
        <v>30.75</v>
      </c>
      <c r="AR45" t="s">
        <v>177</v>
      </c>
      <c r="AS45">
        <f>IFERROR(INDEX('List of Leagues'!$E:$E, MATCH(AR45, 'List of Leagues'!$F:$F, 0)), 0)</f>
        <v>0</v>
      </c>
      <c r="AT45" t="s">
        <v>762</v>
      </c>
      <c r="AU45">
        <f>IFERROR(INDEX('List of Leagues'!$E:$E, MATCH(AT45, 'List of Leagues'!$F:$F, 0)), 0)</f>
        <v>0</v>
      </c>
      <c r="AV45" t="s">
        <v>762</v>
      </c>
      <c r="AW45">
        <f>IFERROR(INDEX('List of Leagues'!$E:$E, MATCH(AV45, 'List of Leagues'!$F:$F, 0)), 0)</f>
        <v>0</v>
      </c>
      <c r="AX45" t="s">
        <v>762</v>
      </c>
      <c r="AY45">
        <f>IFERROR(INDEX('List of Leagues'!$E:$E, MATCH(AX45, 'List of Leagues'!$F:$F, 0)), 0)</f>
        <v>0</v>
      </c>
      <c r="AZ45" t="s">
        <v>762</v>
      </c>
      <c r="BA45">
        <f>IFERROR(INDEX('List of Leagues'!$E:$E, MATCH(AZ45, 'List of Leagues'!$F:$F, 0)), 0)</f>
        <v>0</v>
      </c>
      <c r="BB45" t="s">
        <v>762</v>
      </c>
      <c r="BC45">
        <f>IFERROR(INDEX('List of Leagues'!$E:$E, MATCH(BB45, 'List of Leagues'!$F:$F, 0)), 0)</f>
        <v>0</v>
      </c>
      <c r="BD45">
        <f t="shared" si="12"/>
        <v>0</v>
      </c>
    </row>
    <row r="46" spans="1:56" x14ac:dyDescent="0.35">
      <c r="A46" t="s">
        <v>35</v>
      </c>
      <c r="B46">
        <v>1</v>
      </c>
      <c r="C46">
        <f>IF(COUNTIF($A$11:A46, A46) &gt; 1, 1, 0)</f>
        <v>1</v>
      </c>
      <c r="D46">
        <v>2014</v>
      </c>
      <c r="E46" t="s">
        <v>45</v>
      </c>
      <c r="F46" t="s">
        <v>5</v>
      </c>
      <c r="G46" t="s">
        <v>10</v>
      </c>
      <c r="H46" t="s">
        <v>10</v>
      </c>
      <c r="I46">
        <f t="shared" si="13"/>
        <v>0</v>
      </c>
      <c r="J46">
        <f>SUMIF(A$2:A46,A46, O$2:O46)</f>
        <v>131</v>
      </c>
      <c r="K46">
        <f>SUMIF(A$2:A46, A46, P$2:P46)</f>
        <v>52</v>
      </c>
      <c r="L46">
        <f>SUMIF(A$2:A46, A46, Q$2:Q46)</f>
        <v>37</v>
      </c>
      <c r="M46">
        <f>SUMIF(A$2:A46, A46, R$2:R46)</f>
        <v>42</v>
      </c>
      <c r="N46">
        <f t="shared" si="5"/>
        <v>193</v>
      </c>
      <c r="O46">
        <f t="shared" si="8"/>
        <v>40</v>
      </c>
      <c r="P46">
        <v>13</v>
      </c>
      <c r="Q46">
        <v>14</v>
      </c>
      <c r="R46">
        <f>13</f>
        <v>13</v>
      </c>
      <c r="S46">
        <f t="shared" si="9"/>
        <v>53</v>
      </c>
      <c r="T46">
        <v>2</v>
      </c>
      <c r="U46">
        <f t="shared" si="10"/>
        <v>7</v>
      </c>
      <c r="V46">
        <v>7</v>
      </c>
      <c r="W46">
        <v>3</v>
      </c>
      <c r="X46">
        <v>5</v>
      </c>
      <c r="Y46">
        <v>0</v>
      </c>
      <c r="Z46" t="b">
        <v>1</v>
      </c>
      <c r="AA46" t="s">
        <v>752</v>
      </c>
      <c r="AB46">
        <f>IFERROR(INDEX('List of Leagues'!E:E, MATCH(AA46, 'List of Leagues'!F:F, 0)), 0)</f>
        <v>0</v>
      </c>
      <c r="AC46" t="s">
        <v>534</v>
      </c>
      <c r="AD46">
        <f>IFERROR(INDEX('List of Leagues'!E:E, MATCH(AC46, 'List of Leagues'!F:F, 0)), 0)</f>
        <v>80.7</v>
      </c>
      <c r="AE46" t="s">
        <v>178</v>
      </c>
      <c r="AF46">
        <f>IFERROR(INDEX('List of Leagues'!E:E, MATCH(AE46, 'List of Leagues'!F:F, 0)), 0)</f>
        <v>69.3</v>
      </c>
      <c r="AG46" t="s">
        <v>756</v>
      </c>
      <c r="AH46">
        <f>IFERROR(INDEX('List of Leagues'!E:E, MATCH(AG46, 'List of Leagues'!F:F, 0)), 0)</f>
        <v>76.8</v>
      </c>
      <c r="AI46" t="s">
        <v>762</v>
      </c>
      <c r="AJ46">
        <f>IFERROR(INDEX('List of Leagues'!E:E, MATCH(AI46, 'List of Leagues'!F:F, 0)), 0)</f>
        <v>0</v>
      </c>
      <c r="AK46" t="s">
        <v>762</v>
      </c>
      <c r="AL46">
        <f>IFERROR(INDEX('List of Leagues'!E:E, MATCH(AK46, 'List of Leagues'!F:F, 0)), 0)</f>
        <v>0</v>
      </c>
      <c r="AM46" t="s">
        <v>762</v>
      </c>
      <c r="AN46">
        <f>IFERROR(INDEX('List of Leagues'!E:E, MATCH(AM46, 'List of Leagues'!F:F, 0)), 0)</f>
        <v>0</v>
      </c>
      <c r="AO46" t="s">
        <v>762</v>
      </c>
      <c r="AP46">
        <f>IFERROR(INDEX('List of Leagues'!E:E, MATCH(AO46, 'List of Leagues'!F:F, 0)), 0)</f>
        <v>0</v>
      </c>
      <c r="AQ46">
        <f t="shared" si="11"/>
        <v>28.35</v>
      </c>
      <c r="AR46" t="s">
        <v>178</v>
      </c>
      <c r="AS46">
        <f>IFERROR(INDEX('List of Leagues'!$E:$E, MATCH(AR46, 'List of Leagues'!$F:$F, 0)), 0)</f>
        <v>69.3</v>
      </c>
      <c r="AT46" t="s">
        <v>185</v>
      </c>
      <c r="AU46">
        <f>IFERROR(INDEX('List of Leagues'!$E:$E, MATCH(AT46, 'List of Leagues'!$F:$F, 0)), 0)</f>
        <v>75.400000000000006</v>
      </c>
      <c r="AV46" t="s">
        <v>187</v>
      </c>
      <c r="AW46">
        <f>IFERROR(INDEX('List of Leagues'!$E:$E, MATCH(AV46, 'List of Leagues'!$F:$F, 0)), 0)</f>
        <v>58.4</v>
      </c>
      <c r="AX46" t="s">
        <v>762</v>
      </c>
      <c r="AY46">
        <f>IFERROR(INDEX('List of Leagues'!$E:$E, MATCH(AX46, 'List of Leagues'!$F:$F, 0)), 0)</f>
        <v>0</v>
      </c>
      <c r="AZ46" t="s">
        <v>762</v>
      </c>
      <c r="BA46">
        <f>IFERROR(INDEX('List of Leagues'!$E:$E, MATCH(AZ46, 'List of Leagues'!$F:$F, 0)), 0)</f>
        <v>0</v>
      </c>
      <c r="BB46" t="s">
        <v>762</v>
      </c>
      <c r="BC46">
        <f>IFERROR(INDEX('List of Leagues'!$E:$E, MATCH(BB46, 'List of Leagues'!$F:$F, 0)), 0)</f>
        <v>0</v>
      </c>
      <c r="BD46">
        <f t="shared" si="12"/>
        <v>33.85</v>
      </c>
    </row>
    <row r="47" spans="1:56" x14ac:dyDescent="0.35">
      <c r="A47" t="s">
        <v>18</v>
      </c>
      <c r="B47">
        <v>0</v>
      </c>
      <c r="C47">
        <f>IF(COUNTIF($A$11:A47, A47) &gt; 1, 1, 0)</f>
        <v>1</v>
      </c>
      <c r="D47">
        <v>2014</v>
      </c>
      <c r="E47" t="s">
        <v>5</v>
      </c>
      <c r="F47" t="str">
        <f>IF(B47=0, "-", "")</f>
        <v>-</v>
      </c>
      <c r="G47" t="s">
        <v>10</v>
      </c>
      <c r="H47" t="s">
        <v>10</v>
      </c>
      <c r="I47">
        <f t="shared" si="13"/>
        <v>0</v>
      </c>
      <c r="J47">
        <f>SUMIF(A$2:A47,A47, O$2:O47)</f>
        <v>372</v>
      </c>
      <c r="K47">
        <f>SUMIF(A$2:A47, A47, P$2:P47)</f>
        <v>130</v>
      </c>
      <c r="L47">
        <f>SUMIF(A$2:A47, A47, Q$2:Q47)</f>
        <v>108</v>
      </c>
      <c r="M47">
        <f>SUMIF(A$2:A47, A47, R$2:R47)</f>
        <v>134</v>
      </c>
      <c r="N47">
        <f t="shared" si="5"/>
        <v>498</v>
      </c>
      <c r="O47">
        <f t="shared" ref="O47:O78" si="14">P47+Q47+R47</f>
        <v>63</v>
      </c>
      <c r="P47">
        <v>13</v>
      </c>
      <c r="Q47">
        <f>18+6</f>
        <v>24</v>
      </c>
      <c r="R47">
        <v>26</v>
      </c>
      <c r="S47">
        <f t="shared" ref="S47:S63" si="15">P47*3 + Q47</f>
        <v>63</v>
      </c>
      <c r="T47">
        <v>2</v>
      </c>
      <c r="U47">
        <f t="shared" si="10"/>
        <v>15</v>
      </c>
      <c r="V47">
        <f>IF(F47="-", U47)</f>
        <v>15</v>
      </c>
      <c r="W47">
        <f>IF(F47="-", Y47)</f>
        <v>3</v>
      </c>
      <c r="X47">
        <v>13</v>
      </c>
      <c r="Y47">
        <v>3</v>
      </c>
      <c r="Z47" t="b">
        <v>1</v>
      </c>
      <c r="AA47" t="s">
        <v>185</v>
      </c>
      <c r="AB47">
        <f>IFERROR(INDEX('List of Leagues'!E:E, MATCH(AA47, 'List of Leagues'!F:F, 0)), 0)</f>
        <v>75.400000000000006</v>
      </c>
      <c r="AC47" t="s">
        <v>184</v>
      </c>
      <c r="AD47">
        <f>IFERROR(INDEX('List of Leagues'!E:E, MATCH(AC47, 'List of Leagues'!F:F, 0)), 0)</f>
        <v>93.8</v>
      </c>
      <c r="AE47" t="s">
        <v>762</v>
      </c>
      <c r="AF47">
        <f>IFERROR(INDEX('List of Leagues'!E:E, MATCH(AE47, 'List of Leagues'!F:F, 0)), 0)</f>
        <v>0</v>
      </c>
      <c r="AG47" t="s">
        <v>756</v>
      </c>
      <c r="AH47">
        <f>IFERROR(INDEX('List of Leagues'!E:E, MATCH(AG47, 'List of Leagues'!F:F, 0)), 0)</f>
        <v>76.8</v>
      </c>
      <c r="AI47" t="s">
        <v>762</v>
      </c>
      <c r="AJ47">
        <f>IFERROR(INDEX('List of Leagues'!E:E, MATCH(AI47, 'List of Leagues'!F:F, 0)), 0)</f>
        <v>0</v>
      </c>
      <c r="AK47" t="s">
        <v>762</v>
      </c>
      <c r="AL47">
        <f>IFERROR(INDEX('List of Leagues'!E:E, MATCH(AK47, 'List of Leagues'!F:F, 0)), 0)</f>
        <v>0</v>
      </c>
      <c r="AM47" t="s">
        <v>762</v>
      </c>
      <c r="AN47">
        <f>IFERROR(INDEX('List of Leagues'!E:E, MATCH(AM47, 'List of Leagues'!F:F, 0)), 0)</f>
        <v>0</v>
      </c>
      <c r="AO47" t="s">
        <v>762</v>
      </c>
      <c r="AP47">
        <f>IFERROR(INDEX('List of Leagues'!E:E, MATCH(AO47, 'List of Leagues'!F:F, 0)), 0)</f>
        <v>0</v>
      </c>
      <c r="AQ47">
        <f t="shared" si="11"/>
        <v>30.75</v>
      </c>
      <c r="AR47" t="s">
        <v>537</v>
      </c>
      <c r="AS47">
        <f>IFERROR(INDEX('List of Leagues'!$E:$E, MATCH(AR47, 'List of Leagues'!$F:$F, 0)), 0)</f>
        <v>71</v>
      </c>
      <c r="AT47" t="s">
        <v>756</v>
      </c>
      <c r="AU47">
        <f>IFERROR(INDEX('List of Leagues'!$E:$E, MATCH(AT47, 'List of Leagues'!$F:$F, 0)), 0)</f>
        <v>76.8</v>
      </c>
      <c r="AV47" t="s">
        <v>544</v>
      </c>
      <c r="AW47">
        <f>IFERROR(INDEX('List of Leagues'!$E:$E, MATCH(AV47, 'List of Leagues'!$F:$F, 0)), 0)</f>
        <v>76.900000000000006</v>
      </c>
      <c r="AX47" t="s">
        <v>532</v>
      </c>
      <c r="AY47">
        <f>IFERROR(INDEX('List of Leagues'!$E:$E, MATCH(AX47, 'List of Leagues'!$F:$F, 0)), 0)</f>
        <v>80.8</v>
      </c>
      <c r="AZ47" t="s">
        <v>762</v>
      </c>
      <c r="BA47">
        <f>IFERROR(INDEX('List of Leagues'!$E:$E, MATCH(AZ47, 'List of Leagues'!$F:$F, 0)), 0)</f>
        <v>0</v>
      </c>
      <c r="BB47" t="s">
        <v>762</v>
      </c>
      <c r="BC47">
        <f>IFERROR(INDEX('List of Leagues'!$E:$E, MATCH(BB47, 'List of Leagues'!$F:$F, 0)), 0)</f>
        <v>0</v>
      </c>
      <c r="BD47">
        <f t="shared" si="12"/>
        <v>50.916666666666664</v>
      </c>
    </row>
    <row r="48" spans="1:56" x14ac:dyDescent="0.35">
      <c r="A48" t="s">
        <v>61</v>
      </c>
      <c r="B48">
        <v>1</v>
      </c>
      <c r="C48">
        <f>IF(COUNTIF($A$11:A48, A48) &gt; 1, 1, 0)</f>
        <v>0</v>
      </c>
      <c r="D48">
        <v>2014</v>
      </c>
      <c r="E48" t="s">
        <v>21</v>
      </c>
      <c r="F48" t="s">
        <v>14</v>
      </c>
      <c r="G48" t="s">
        <v>10</v>
      </c>
      <c r="H48" t="s">
        <v>10</v>
      </c>
      <c r="I48">
        <f t="shared" si="13"/>
        <v>0</v>
      </c>
      <c r="J48">
        <f>SUMIF(A$2:A48,A48, O$2:O48)</f>
        <v>203</v>
      </c>
      <c r="K48">
        <f>SUMIF(A$2:A48, A48, P$2:P48)</f>
        <v>87</v>
      </c>
      <c r="L48">
        <f>SUMIF(A$2:A48, A48, Q$2:Q48)</f>
        <v>48</v>
      </c>
      <c r="M48">
        <f>SUMIF(A$2:A48, A48, R$2:R48)</f>
        <v>68</v>
      </c>
      <c r="N48">
        <f t="shared" si="5"/>
        <v>309</v>
      </c>
      <c r="O48">
        <f t="shared" si="14"/>
        <v>203</v>
      </c>
      <c r="P48">
        <f>15+14+20+10+13+13+2</f>
        <v>87</v>
      </c>
      <c r="Q48">
        <f>2+4+11+9+6+11+5</f>
        <v>48</v>
      </c>
      <c r="R48">
        <f>6+5+10+18+5+9+15</f>
        <v>68</v>
      </c>
      <c r="S48">
        <f t="shared" si="15"/>
        <v>309</v>
      </c>
      <c r="T48">
        <v>6</v>
      </c>
      <c r="U48">
        <f t="shared" si="10"/>
        <v>6</v>
      </c>
      <c r="V48">
        <v>6</v>
      </c>
      <c r="W48">
        <v>2</v>
      </c>
      <c r="X48">
        <v>0</v>
      </c>
      <c r="Y48">
        <v>2</v>
      </c>
      <c r="Z48" t="b">
        <v>1</v>
      </c>
      <c r="AA48" t="s">
        <v>187</v>
      </c>
      <c r="AB48">
        <f>IFERROR(INDEX('List of Leagues'!E:E, MATCH(AA48, 'List of Leagues'!F:F, 0)), 0)</f>
        <v>58.4</v>
      </c>
      <c r="AC48" t="s">
        <v>178</v>
      </c>
      <c r="AD48">
        <f>IFERROR(INDEX('List of Leagues'!E:E, MATCH(AC48, 'List of Leagues'!F:F, 0)), 0)</f>
        <v>69.3</v>
      </c>
      <c r="AE48" t="s">
        <v>775</v>
      </c>
      <c r="AF48">
        <f>IFERROR(INDEX('List of Leagues'!E:E, MATCH(AE48, 'List of Leagues'!F:F, 0)), 0)</f>
        <v>71.7</v>
      </c>
      <c r="AG48" t="s">
        <v>756</v>
      </c>
      <c r="AH48">
        <f>IFERROR(INDEX('List of Leagues'!E:E, MATCH(AG48, 'List of Leagues'!F:F, 0)), 0)</f>
        <v>76.8</v>
      </c>
      <c r="AI48" t="s">
        <v>762</v>
      </c>
      <c r="AJ48">
        <f>IFERROR(INDEX('List of Leagues'!E:E, MATCH(AI48, 'List of Leagues'!F:F, 0)), 0)</f>
        <v>0</v>
      </c>
      <c r="AK48" t="s">
        <v>762</v>
      </c>
      <c r="AL48">
        <f>IFERROR(INDEX('List of Leagues'!E:E, MATCH(AK48, 'List of Leagues'!F:F, 0)), 0)</f>
        <v>0</v>
      </c>
      <c r="AM48" t="s">
        <v>762</v>
      </c>
      <c r="AN48">
        <f>IFERROR(INDEX('List of Leagues'!E:E, MATCH(AM48, 'List of Leagues'!F:F, 0)), 0)</f>
        <v>0</v>
      </c>
      <c r="AO48" t="s">
        <v>762</v>
      </c>
      <c r="AP48">
        <f>IFERROR(INDEX('List of Leagues'!E:E, MATCH(AO48, 'List of Leagues'!F:F, 0)), 0)</f>
        <v>0</v>
      </c>
      <c r="AQ48">
        <f t="shared" si="11"/>
        <v>34.524999999999999</v>
      </c>
      <c r="AR48" t="s">
        <v>537</v>
      </c>
      <c r="AS48">
        <f>IFERROR(INDEX('List of Leagues'!$E:$E, MATCH(AR48, 'List of Leagues'!$F:$F, 0)), 0)</f>
        <v>71</v>
      </c>
      <c r="AT48" t="s">
        <v>756</v>
      </c>
      <c r="AU48">
        <f>IFERROR(INDEX('List of Leagues'!$E:$E, MATCH(AT48, 'List of Leagues'!$F:$F, 0)), 0)</f>
        <v>76.8</v>
      </c>
      <c r="AV48" t="s">
        <v>544</v>
      </c>
      <c r="AW48">
        <f>IFERROR(INDEX('List of Leagues'!$E:$E, MATCH(AV48, 'List of Leagues'!$F:$F, 0)), 0)</f>
        <v>76.900000000000006</v>
      </c>
      <c r="AX48" t="s">
        <v>532</v>
      </c>
      <c r="AY48">
        <f>IFERROR(INDEX('List of Leagues'!$E:$E, MATCH(AX48, 'List of Leagues'!$F:$F, 0)), 0)</f>
        <v>80.8</v>
      </c>
      <c r="AZ48" t="s">
        <v>178</v>
      </c>
      <c r="BA48">
        <f>IFERROR(INDEX('List of Leagues'!$E:$E, MATCH(AZ48, 'List of Leagues'!$F:$F, 0)), 0)</f>
        <v>69.3</v>
      </c>
      <c r="BB48" t="s">
        <v>762</v>
      </c>
      <c r="BC48">
        <f>IFERROR(INDEX('List of Leagues'!$E:$E, MATCH(BB48, 'List of Leagues'!$F:$F, 0)), 0)</f>
        <v>0</v>
      </c>
      <c r="BD48">
        <f t="shared" si="12"/>
        <v>62.466666666666669</v>
      </c>
    </row>
    <row r="49" spans="1:56" x14ac:dyDescent="0.35">
      <c r="A49" t="s">
        <v>58</v>
      </c>
      <c r="B49">
        <v>0</v>
      </c>
      <c r="C49">
        <f>IF(COUNTIF($A$11:A49, A49) &gt; 1, 1, 0)</f>
        <v>0</v>
      </c>
      <c r="D49">
        <v>2014</v>
      </c>
      <c r="E49" t="s">
        <v>23</v>
      </c>
      <c r="F49" t="str">
        <f>IF(B49=0, "-", "")</f>
        <v>-</v>
      </c>
      <c r="G49" t="s">
        <v>10</v>
      </c>
      <c r="H49" t="s">
        <v>10</v>
      </c>
      <c r="I49">
        <f t="shared" si="13"/>
        <v>0</v>
      </c>
      <c r="J49">
        <f>SUMIF(A$2:A49,A49, O$2:O49)</f>
        <v>170</v>
      </c>
      <c r="K49">
        <f>SUMIF(A$2:A49, A49, P$2:P49)</f>
        <v>67</v>
      </c>
      <c r="L49">
        <f>SUMIF(A$2:A49, A49, Q$2:Q49)</f>
        <v>45</v>
      </c>
      <c r="M49">
        <f>SUMIF(A$2:A49, A49, R$2:R49)</f>
        <v>58</v>
      </c>
      <c r="N49">
        <f t="shared" si="5"/>
        <v>246</v>
      </c>
      <c r="O49">
        <f t="shared" si="14"/>
        <v>170</v>
      </c>
      <c r="P49">
        <f>14+16+8+15+14</f>
        <v>67</v>
      </c>
      <c r="Q49">
        <f>9+6+12+8+10</f>
        <v>45</v>
      </c>
      <c r="R49">
        <f>11+12+14+11+10</f>
        <v>58</v>
      </c>
      <c r="S49">
        <f t="shared" si="15"/>
        <v>246</v>
      </c>
      <c r="T49">
        <v>5</v>
      </c>
      <c r="U49">
        <f t="shared" si="10"/>
        <v>8</v>
      </c>
      <c r="V49">
        <f>IF(F49="-", U49)</f>
        <v>8</v>
      </c>
      <c r="W49">
        <f>IF(F49="-", Y49)</f>
        <v>1</v>
      </c>
      <c r="X49">
        <v>3</v>
      </c>
      <c r="Y49">
        <v>1</v>
      </c>
      <c r="Z49" t="b">
        <v>1</v>
      </c>
      <c r="AA49" t="s">
        <v>209</v>
      </c>
      <c r="AB49">
        <f>IFERROR(INDEX('List of Leagues'!E:E, MATCH(AA49, 'List of Leagues'!F:F, 0)), 0)</f>
        <v>60.6</v>
      </c>
      <c r="AC49" t="s">
        <v>178</v>
      </c>
      <c r="AD49">
        <f>IFERROR(INDEX('List of Leagues'!E:E, MATCH(AC49, 'List of Leagues'!F:F, 0)), 0)</f>
        <v>69.3</v>
      </c>
      <c r="AE49" t="s">
        <v>756</v>
      </c>
      <c r="AF49">
        <f>IFERROR(INDEX('List of Leagues'!E:E, MATCH(AE49, 'List of Leagues'!F:F, 0)), 0)</f>
        <v>76.8</v>
      </c>
      <c r="AG49" t="s">
        <v>653</v>
      </c>
      <c r="AH49">
        <f>IFERROR(INDEX('List of Leagues'!E:E, MATCH(AG49, 'List of Leagues'!F:F, 0)), 0)</f>
        <v>77.099999999999994</v>
      </c>
      <c r="AI49" t="s">
        <v>756</v>
      </c>
      <c r="AJ49">
        <f>IFERROR(INDEX('List of Leagues'!E:E, MATCH(AI49, 'List of Leagues'!F:F, 0)), 0)</f>
        <v>76.8</v>
      </c>
      <c r="AK49" t="s">
        <v>762</v>
      </c>
      <c r="AL49">
        <f>IFERROR(INDEX('List of Leagues'!E:E, MATCH(AK49, 'List of Leagues'!F:F, 0)), 0)</f>
        <v>0</v>
      </c>
      <c r="AM49" t="s">
        <v>762</v>
      </c>
      <c r="AN49">
        <f>IFERROR(INDEX('List of Leagues'!E:E, MATCH(AM49, 'List of Leagues'!F:F, 0)), 0)</f>
        <v>0</v>
      </c>
      <c r="AO49" t="s">
        <v>762</v>
      </c>
      <c r="AP49">
        <f>IFERROR(INDEX('List of Leagues'!E:E, MATCH(AO49, 'List of Leagues'!F:F, 0)), 0)</f>
        <v>0</v>
      </c>
      <c r="AQ49">
        <f t="shared" si="11"/>
        <v>45.074999999999996</v>
      </c>
      <c r="AR49" t="s">
        <v>185</v>
      </c>
      <c r="AS49">
        <f>IFERROR(INDEX('List of Leagues'!$E:$E, MATCH(AR49, 'List of Leagues'!$F:$F, 0)), 0)</f>
        <v>75.400000000000006</v>
      </c>
      <c r="AT49" t="s">
        <v>206</v>
      </c>
      <c r="AU49">
        <f>IFERROR(INDEX('List of Leagues'!$E:$E, MATCH(AT49, 'List of Leagues'!$F:$F, 0)), 0)</f>
        <v>75.3</v>
      </c>
      <c r="AV49" t="s">
        <v>762</v>
      </c>
      <c r="AW49">
        <f>IFERROR(INDEX('List of Leagues'!$E:$E, MATCH(AV49, 'List of Leagues'!$F:$F, 0)), 0)</f>
        <v>0</v>
      </c>
      <c r="AX49" t="s">
        <v>762</v>
      </c>
      <c r="AY49">
        <f>IFERROR(INDEX('List of Leagues'!$E:$E, MATCH(AX49, 'List of Leagues'!$F:$F, 0)), 0)</f>
        <v>0</v>
      </c>
      <c r="AZ49" t="s">
        <v>762</v>
      </c>
      <c r="BA49">
        <f>IFERROR(INDEX('List of Leagues'!$E:$E, MATCH(AZ49, 'List of Leagues'!$F:$F, 0)), 0)</f>
        <v>0</v>
      </c>
      <c r="BB49" t="s">
        <v>762</v>
      </c>
      <c r="BC49">
        <f>IFERROR(INDEX('List of Leagues'!$E:$E, MATCH(BB49, 'List of Leagues'!$F:$F, 0)), 0)</f>
        <v>0</v>
      </c>
      <c r="BD49">
        <f t="shared" si="12"/>
        <v>25.116666666666664</v>
      </c>
    </row>
    <row r="50" spans="1:56" x14ac:dyDescent="0.35">
      <c r="A50" t="s">
        <v>59</v>
      </c>
      <c r="B50">
        <v>0</v>
      </c>
      <c r="C50">
        <f>IF(COUNTIF($A$11:A50, A50) &gt; 1, 1, 0)</f>
        <v>0</v>
      </c>
      <c r="D50">
        <v>2014</v>
      </c>
      <c r="E50" t="s">
        <v>60</v>
      </c>
      <c r="F50" t="str">
        <f>IF(B50=0, "-", "")</f>
        <v>-</v>
      </c>
      <c r="G50" t="s">
        <v>10</v>
      </c>
      <c r="H50" t="s">
        <v>10</v>
      </c>
      <c r="I50">
        <f t="shared" si="13"/>
        <v>0</v>
      </c>
      <c r="J50">
        <f>SUMIF(A$2:A50,A50, O$2:O50)</f>
        <v>106</v>
      </c>
      <c r="K50">
        <f>SUMIF(A$2:A50, A50, P$2:P50)</f>
        <v>38</v>
      </c>
      <c r="L50">
        <f>SUMIF(A$2:A50, A50, Q$2:Q50)</f>
        <v>31</v>
      </c>
      <c r="M50">
        <f>SUMIF(A$2:A50, A50, R$2:R50)</f>
        <v>37</v>
      </c>
      <c r="N50">
        <f t="shared" si="5"/>
        <v>145</v>
      </c>
      <c r="O50">
        <f t="shared" si="14"/>
        <v>106</v>
      </c>
      <c r="P50">
        <f>15+11+12</f>
        <v>38</v>
      </c>
      <c r="Q50">
        <f>8+11+12</f>
        <v>31</v>
      </c>
      <c r="R50">
        <f>8+15+14</f>
        <v>37</v>
      </c>
      <c r="S50">
        <f t="shared" si="15"/>
        <v>145</v>
      </c>
      <c r="T50">
        <v>4</v>
      </c>
      <c r="U50">
        <f t="shared" si="10"/>
        <v>4</v>
      </c>
      <c r="V50">
        <f>IF(F50="-", U50)</f>
        <v>4</v>
      </c>
      <c r="W50">
        <f>IF(F50="-", Y50)</f>
        <v>5</v>
      </c>
      <c r="X50">
        <v>0</v>
      </c>
      <c r="Y50">
        <v>5</v>
      </c>
      <c r="Z50" t="b">
        <v>1</v>
      </c>
      <c r="AA50" t="s">
        <v>187</v>
      </c>
      <c r="AB50">
        <f>IFERROR(INDEX('List of Leagues'!E:E, MATCH(AA50, 'List of Leagues'!F:F, 0)), 0)</f>
        <v>58.4</v>
      </c>
      <c r="AC50" t="s">
        <v>178</v>
      </c>
      <c r="AD50">
        <f>IFERROR(INDEX('List of Leagues'!E:E, MATCH(AC50, 'List of Leagues'!F:F, 0)), 0)</f>
        <v>69.3</v>
      </c>
      <c r="AE50" t="s">
        <v>762</v>
      </c>
      <c r="AF50">
        <f>IFERROR(INDEX('List of Leagues'!E:E, MATCH(AE50, 'List of Leagues'!F:F, 0)), 0)</f>
        <v>0</v>
      </c>
      <c r="AG50" t="s">
        <v>762</v>
      </c>
      <c r="AH50">
        <f>IFERROR(INDEX('List of Leagues'!E:E, MATCH(AG50, 'List of Leagues'!F:F, 0)), 0)</f>
        <v>0</v>
      </c>
      <c r="AI50" t="s">
        <v>762</v>
      </c>
      <c r="AJ50">
        <f>IFERROR(INDEX('List of Leagues'!E:E, MATCH(AI50, 'List of Leagues'!F:F, 0)), 0)</f>
        <v>0</v>
      </c>
      <c r="AK50" t="s">
        <v>762</v>
      </c>
      <c r="AL50">
        <f>IFERROR(INDEX('List of Leagues'!E:E, MATCH(AK50, 'List of Leagues'!F:F, 0)), 0)</f>
        <v>0</v>
      </c>
      <c r="AM50" t="s">
        <v>762</v>
      </c>
      <c r="AN50">
        <f>IFERROR(INDEX('List of Leagues'!E:E, MATCH(AM50, 'List of Leagues'!F:F, 0)), 0)</f>
        <v>0</v>
      </c>
      <c r="AO50" t="s">
        <v>762</v>
      </c>
      <c r="AP50">
        <f>IFERROR(INDEX('List of Leagues'!E:E, MATCH(AO50, 'List of Leagues'!F:F, 0)), 0)</f>
        <v>0</v>
      </c>
      <c r="AQ50">
        <f t="shared" si="11"/>
        <v>15.962499999999999</v>
      </c>
      <c r="AR50" t="s">
        <v>188</v>
      </c>
      <c r="AS50">
        <f>IFERROR(INDEX('List of Leagues'!$E:$E, MATCH(AR50, 'List of Leagues'!$F:$F, 0)), 0)</f>
        <v>0</v>
      </c>
      <c r="AT50" t="s">
        <v>762</v>
      </c>
      <c r="AU50">
        <f>IFERROR(INDEX('List of Leagues'!$E:$E, MATCH(AT50, 'List of Leagues'!$F:$F, 0)), 0)</f>
        <v>0</v>
      </c>
      <c r="AV50" t="s">
        <v>762</v>
      </c>
      <c r="AW50">
        <f>IFERROR(INDEX('List of Leagues'!$E:$E, MATCH(AV50, 'List of Leagues'!$F:$F, 0)), 0)</f>
        <v>0</v>
      </c>
      <c r="AX50" t="s">
        <v>762</v>
      </c>
      <c r="AY50">
        <f>IFERROR(INDEX('List of Leagues'!$E:$E, MATCH(AX50, 'List of Leagues'!$F:$F, 0)), 0)</f>
        <v>0</v>
      </c>
      <c r="AZ50" t="s">
        <v>762</v>
      </c>
      <c r="BA50">
        <f>IFERROR(INDEX('List of Leagues'!$E:$E, MATCH(AZ50, 'List of Leagues'!$F:$F, 0)), 0)</f>
        <v>0</v>
      </c>
      <c r="BB50" t="s">
        <v>762</v>
      </c>
      <c r="BC50">
        <f>IFERROR(INDEX('List of Leagues'!$E:$E, MATCH(BB50, 'List of Leagues'!$F:$F, 0)), 0)</f>
        <v>0</v>
      </c>
      <c r="BD50">
        <f t="shared" si="12"/>
        <v>0</v>
      </c>
    </row>
    <row r="51" spans="1:56" x14ac:dyDescent="0.35">
      <c r="A51" t="s">
        <v>43</v>
      </c>
      <c r="B51">
        <v>1</v>
      </c>
      <c r="C51">
        <f>IF(COUNTIF($A$11:A51, A51) &gt; 1, 1, 0)</f>
        <v>1</v>
      </c>
      <c r="D51">
        <v>2014</v>
      </c>
      <c r="E51" t="s">
        <v>11</v>
      </c>
      <c r="F51" t="s">
        <v>68</v>
      </c>
      <c r="G51" t="s">
        <v>10</v>
      </c>
      <c r="H51" t="s">
        <v>10</v>
      </c>
      <c r="I51">
        <f t="shared" si="13"/>
        <v>0</v>
      </c>
      <c r="J51">
        <f>SUMIF(A$2:A51,A51, O$2:O51)</f>
        <v>242</v>
      </c>
      <c r="K51">
        <f>SUMIF(A$2:A51, A51, P$2:P51)</f>
        <v>104</v>
      </c>
      <c r="L51">
        <f>SUMIF(A$2:A51, A51, Q$2:Q51)</f>
        <v>56</v>
      </c>
      <c r="M51">
        <f>SUMIF(A$2:A51, A51, R$2:R51)</f>
        <v>82</v>
      </c>
      <c r="N51">
        <f t="shared" si="5"/>
        <v>368</v>
      </c>
      <c r="O51">
        <f t="shared" si="14"/>
        <v>170</v>
      </c>
      <c r="P51">
        <f>16+18+17+11+16</f>
        <v>78</v>
      </c>
      <c r="Q51">
        <f>9+13+9+6+6</f>
        <v>43</v>
      </c>
      <c r="R51">
        <f>9+10+8+10+12</f>
        <v>49</v>
      </c>
      <c r="S51">
        <f t="shared" si="15"/>
        <v>277</v>
      </c>
      <c r="T51">
        <v>5</v>
      </c>
      <c r="U51">
        <f t="shared" si="10"/>
        <v>7</v>
      </c>
      <c r="V51">
        <v>8</v>
      </c>
      <c r="W51">
        <v>7</v>
      </c>
      <c r="X51">
        <v>2</v>
      </c>
      <c r="Y51">
        <v>7</v>
      </c>
      <c r="Z51" t="b">
        <v>1</v>
      </c>
      <c r="AA51" t="s">
        <v>536</v>
      </c>
      <c r="AB51">
        <f>IFERROR(INDEX('List of Leagues'!E:E, MATCH(AA51, 'List of Leagues'!F:F, 0)), 0)</f>
        <v>78.099999999999994</v>
      </c>
      <c r="AC51" t="s">
        <v>178</v>
      </c>
      <c r="AD51">
        <f>IFERROR(INDEX('List of Leagues'!E:E, MATCH(AC51, 'List of Leagues'!F:F, 0)), 0)</f>
        <v>69.3</v>
      </c>
      <c r="AE51" t="s">
        <v>756</v>
      </c>
      <c r="AF51">
        <f>IFERROR(INDEX('List of Leagues'!E:E, MATCH(AE51, 'List of Leagues'!F:F, 0)), 0)</f>
        <v>76.8</v>
      </c>
      <c r="AG51" t="s">
        <v>762</v>
      </c>
      <c r="AH51">
        <f>IFERROR(INDEX('List of Leagues'!E:E, MATCH(AG51, 'List of Leagues'!F:F, 0)), 0)</f>
        <v>0</v>
      </c>
      <c r="AI51" t="s">
        <v>762</v>
      </c>
      <c r="AJ51">
        <f>IFERROR(INDEX('List of Leagues'!E:E, MATCH(AI51, 'List of Leagues'!F:F, 0)), 0)</f>
        <v>0</v>
      </c>
      <c r="AK51" t="s">
        <v>762</v>
      </c>
      <c r="AL51">
        <f>IFERROR(INDEX('List of Leagues'!E:E, MATCH(AK51, 'List of Leagues'!F:F, 0)), 0)</f>
        <v>0</v>
      </c>
      <c r="AM51" t="s">
        <v>762</v>
      </c>
      <c r="AN51">
        <f>IFERROR(INDEX('List of Leagues'!E:E, MATCH(AM51, 'List of Leagues'!F:F, 0)), 0)</f>
        <v>0</v>
      </c>
      <c r="AO51" t="s">
        <v>762</v>
      </c>
      <c r="AP51">
        <f>IFERROR(INDEX('List of Leagues'!E:E, MATCH(AO51, 'List of Leagues'!F:F, 0)), 0)</f>
        <v>0</v>
      </c>
      <c r="AQ51">
        <f t="shared" si="11"/>
        <v>28.024999999999999</v>
      </c>
      <c r="AR51" t="s">
        <v>177</v>
      </c>
      <c r="AS51">
        <f>IFERROR(INDEX('List of Leagues'!$E:$E, MATCH(AR51, 'List of Leagues'!$F:$F, 0)), 0)</f>
        <v>0</v>
      </c>
      <c r="AT51" t="s">
        <v>762</v>
      </c>
      <c r="AU51">
        <f>IFERROR(INDEX('List of Leagues'!$E:$E, MATCH(AT51, 'List of Leagues'!$F:$F, 0)), 0)</f>
        <v>0</v>
      </c>
      <c r="AV51" t="s">
        <v>762</v>
      </c>
      <c r="AW51">
        <f>IFERROR(INDEX('List of Leagues'!$E:$E, MATCH(AV51, 'List of Leagues'!$F:$F, 0)), 0)</f>
        <v>0</v>
      </c>
      <c r="AX51" t="s">
        <v>762</v>
      </c>
      <c r="AY51">
        <f>IFERROR(INDEX('List of Leagues'!$E:$E, MATCH(AX51, 'List of Leagues'!$F:$F, 0)), 0)</f>
        <v>0</v>
      </c>
      <c r="AZ51" t="s">
        <v>762</v>
      </c>
      <c r="BA51">
        <f>IFERROR(INDEX('List of Leagues'!$E:$E, MATCH(AZ51, 'List of Leagues'!$F:$F, 0)), 0)</f>
        <v>0</v>
      </c>
      <c r="BB51" t="s">
        <v>762</v>
      </c>
      <c r="BC51">
        <f>IFERROR(INDEX('List of Leagues'!$E:$E, MATCH(BB51, 'List of Leagues'!$F:$F, 0)), 0)</f>
        <v>0</v>
      </c>
      <c r="BD51">
        <f t="shared" si="12"/>
        <v>0</v>
      </c>
    </row>
    <row r="52" spans="1:56" x14ac:dyDescent="0.35">
      <c r="A52" t="s">
        <v>57</v>
      </c>
      <c r="B52">
        <v>1</v>
      </c>
      <c r="C52">
        <f>IF(COUNTIF($A$11:A52, A52) &gt; 1, 1, 0)</f>
        <v>0</v>
      </c>
      <c r="D52">
        <v>2014</v>
      </c>
      <c r="E52" t="s">
        <v>9</v>
      </c>
      <c r="F52" t="s">
        <v>60</v>
      </c>
      <c r="G52" t="s">
        <v>6</v>
      </c>
      <c r="H52" t="s">
        <v>132</v>
      </c>
      <c r="I52">
        <f t="shared" si="13"/>
        <v>0</v>
      </c>
      <c r="J52">
        <f>SUMIF(A$2:A52,A52, O$2:O52)</f>
        <v>124</v>
      </c>
      <c r="K52">
        <f>SUMIF(A$2:A52, A52, P$2:P52)</f>
        <v>38</v>
      </c>
      <c r="L52">
        <f>SUMIF(A$2:A52, A52, Q$2:Q52)</f>
        <v>35</v>
      </c>
      <c r="M52">
        <f>SUMIF(A$2:A52, A52, R$2:R52)</f>
        <v>51</v>
      </c>
      <c r="N52">
        <f t="shared" si="5"/>
        <v>149</v>
      </c>
      <c r="O52">
        <f t="shared" si="14"/>
        <v>124</v>
      </c>
      <c r="P52">
        <f>8+9+15+6</f>
        <v>38</v>
      </c>
      <c r="Q52">
        <f>8+10+13+4</f>
        <v>35</v>
      </c>
      <c r="R52">
        <f>18+15+6+12</f>
        <v>51</v>
      </c>
      <c r="S52">
        <f t="shared" si="15"/>
        <v>149</v>
      </c>
      <c r="T52">
        <v>4</v>
      </c>
      <c r="U52">
        <f t="shared" si="10"/>
        <v>4</v>
      </c>
      <c r="V52">
        <v>5</v>
      </c>
      <c r="W52">
        <v>2</v>
      </c>
      <c r="X52">
        <v>0</v>
      </c>
      <c r="Y52">
        <v>0</v>
      </c>
      <c r="Z52" t="b">
        <v>1</v>
      </c>
      <c r="AA52" t="s">
        <v>178</v>
      </c>
      <c r="AB52">
        <f>IFERROR(INDEX('List of Leagues'!E:E, MATCH(AA52, 'List of Leagues'!F:F, 0)), 0)</f>
        <v>69.3</v>
      </c>
      <c r="AC52" t="s">
        <v>187</v>
      </c>
      <c r="AD52">
        <f>IFERROR(INDEX('List of Leagues'!E:E, MATCH(AC52, 'List of Leagues'!F:F, 0)), 0)</f>
        <v>58.4</v>
      </c>
      <c r="AE52" t="s">
        <v>756</v>
      </c>
      <c r="AF52">
        <f>IFERROR(INDEX('List of Leagues'!E:E, MATCH(AE52, 'List of Leagues'!F:F, 0)), 0)</f>
        <v>76.8</v>
      </c>
      <c r="AG52" t="s">
        <v>762</v>
      </c>
      <c r="AH52">
        <f>IFERROR(INDEX('List of Leagues'!E:E, MATCH(AG52, 'List of Leagues'!F:F, 0)), 0)</f>
        <v>0</v>
      </c>
      <c r="AI52" t="s">
        <v>762</v>
      </c>
      <c r="AJ52">
        <f>IFERROR(INDEX('List of Leagues'!E:E, MATCH(AI52, 'List of Leagues'!F:F, 0)), 0)</f>
        <v>0</v>
      </c>
      <c r="AK52" t="s">
        <v>762</v>
      </c>
      <c r="AL52">
        <f>IFERROR(INDEX('List of Leagues'!E:E, MATCH(AK52, 'List of Leagues'!F:F, 0)), 0)</f>
        <v>0</v>
      </c>
      <c r="AM52" t="s">
        <v>762</v>
      </c>
      <c r="AN52">
        <f>IFERROR(INDEX('List of Leagues'!E:E, MATCH(AM52, 'List of Leagues'!F:F, 0)), 0)</f>
        <v>0</v>
      </c>
      <c r="AO52" t="s">
        <v>762</v>
      </c>
      <c r="AP52">
        <f>IFERROR(INDEX('List of Leagues'!E:E, MATCH(AO52, 'List of Leagues'!F:F, 0)), 0)</f>
        <v>0</v>
      </c>
      <c r="AQ52">
        <f t="shared" si="11"/>
        <v>25.5625</v>
      </c>
      <c r="AR52" t="s">
        <v>178</v>
      </c>
      <c r="AS52">
        <f>IFERROR(INDEX('List of Leagues'!$E:$E, MATCH(AR52, 'List of Leagues'!$F:$F, 0)), 0)</f>
        <v>69.3</v>
      </c>
      <c r="AT52" t="s">
        <v>762</v>
      </c>
      <c r="AU52">
        <f>IFERROR(INDEX('List of Leagues'!$E:$E, MATCH(AT52, 'List of Leagues'!$F:$F, 0)), 0)</f>
        <v>0</v>
      </c>
      <c r="AV52" t="s">
        <v>762</v>
      </c>
      <c r="AW52">
        <f>IFERROR(INDEX('List of Leagues'!$E:$E, MATCH(AV52, 'List of Leagues'!$F:$F, 0)), 0)</f>
        <v>0</v>
      </c>
      <c r="AX52" t="s">
        <v>762</v>
      </c>
      <c r="AY52">
        <f>IFERROR(INDEX('List of Leagues'!$E:$E, MATCH(AX52, 'List of Leagues'!$F:$F, 0)), 0)</f>
        <v>0</v>
      </c>
      <c r="AZ52" t="s">
        <v>762</v>
      </c>
      <c r="BA52">
        <f>IFERROR(INDEX('List of Leagues'!$E:$E, MATCH(AZ52, 'List of Leagues'!$F:$F, 0)), 0)</f>
        <v>0</v>
      </c>
      <c r="BB52" t="s">
        <v>762</v>
      </c>
      <c r="BC52">
        <f>IFERROR(INDEX('List of Leagues'!$E:$E, MATCH(BB52, 'List of Leagues'!$F:$F, 0)), 0)</f>
        <v>0</v>
      </c>
      <c r="BD52">
        <f t="shared" si="12"/>
        <v>11.549999999999999</v>
      </c>
    </row>
    <row r="53" spans="1:56" x14ac:dyDescent="0.35">
      <c r="A53" t="s">
        <v>56</v>
      </c>
      <c r="B53">
        <v>1</v>
      </c>
      <c r="C53">
        <f>IF(COUNTIF($A$11:A53, A53) &gt; 1, 1, 0)</f>
        <v>0</v>
      </c>
      <c r="D53">
        <v>2014</v>
      </c>
      <c r="E53" t="s">
        <v>29</v>
      </c>
      <c r="F53" t="s">
        <v>64</v>
      </c>
      <c r="G53" t="s">
        <v>6</v>
      </c>
      <c r="H53" t="s">
        <v>132</v>
      </c>
      <c r="I53">
        <f t="shared" si="13"/>
        <v>0</v>
      </c>
      <c r="J53">
        <f>SUMIF(A$2:A53,A53, O$2:O53)</f>
        <v>34</v>
      </c>
      <c r="K53">
        <f>SUMIF(A$2:A53, A53, P$2:P53)</f>
        <v>9</v>
      </c>
      <c r="L53">
        <f>SUMIF(A$2:A53, A53, Q$2:Q53)</f>
        <v>7</v>
      </c>
      <c r="M53">
        <f>SUMIF(A$2:A53, A53, R$2:R53)</f>
        <v>18</v>
      </c>
      <c r="N53">
        <f t="shared" si="5"/>
        <v>34</v>
      </c>
      <c r="O53">
        <f t="shared" si="14"/>
        <v>34</v>
      </c>
      <c r="P53">
        <v>9</v>
      </c>
      <c r="Q53">
        <v>7</v>
      </c>
      <c r="R53">
        <v>18</v>
      </c>
      <c r="S53">
        <f t="shared" si="15"/>
        <v>34</v>
      </c>
      <c r="T53">
        <v>1</v>
      </c>
      <c r="U53">
        <f t="shared" si="10"/>
        <v>6</v>
      </c>
      <c r="V53">
        <v>7</v>
      </c>
      <c r="W53">
        <v>4</v>
      </c>
      <c r="X53">
        <v>5</v>
      </c>
      <c r="Y53">
        <v>4</v>
      </c>
      <c r="Z53" t="b">
        <v>1</v>
      </c>
      <c r="AA53" t="s">
        <v>536</v>
      </c>
      <c r="AB53">
        <f>IFERROR(INDEX('List of Leagues'!E:E, MATCH(AA53, 'List of Leagues'!F:F, 0)), 0)</f>
        <v>78.099999999999994</v>
      </c>
      <c r="AC53" t="s">
        <v>187</v>
      </c>
      <c r="AD53">
        <f>IFERROR(INDEX('List of Leagues'!E:E, MATCH(AC53, 'List of Leagues'!F:F, 0)), 0)</f>
        <v>58.4</v>
      </c>
      <c r="AE53" t="s">
        <v>178</v>
      </c>
      <c r="AF53">
        <f>IFERROR(INDEX('List of Leagues'!E:E, MATCH(AE53, 'List of Leagues'!F:F, 0)), 0)</f>
        <v>69.3</v>
      </c>
      <c r="AG53" t="s">
        <v>762</v>
      </c>
      <c r="AH53">
        <f>IFERROR(INDEX('List of Leagues'!E:E, MATCH(AG53, 'List of Leagues'!F:F, 0)), 0)</f>
        <v>0</v>
      </c>
      <c r="AI53" t="s">
        <v>762</v>
      </c>
      <c r="AJ53">
        <f>IFERROR(INDEX('List of Leagues'!E:E, MATCH(AI53, 'List of Leagues'!F:F, 0)), 0)</f>
        <v>0</v>
      </c>
      <c r="AK53" t="s">
        <v>762</v>
      </c>
      <c r="AL53">
        <f>IFERROR(INDEX('List of Leagues'!E:E, MATCH(AK53, 'List of Leagues'!F:F, 0)), 0)</f>
        <v>0</v>
      </c>
      <c r="AM53" t="s">
        <v>762</v>
      </c>
      <c r="AN53">
        <f>IFERROR(INDEX('List of Leagues'!E:E, MATCH(AM53, 'List of Leagues'!F:F, 0)), 0)</f>
        <v>0</v>
      </c>
      <c r="AO53" t="s">
        <v>762</v>
      </c>
      <c r="AP53">
        <f>IFERROR(INDEX('List of Leagues'!E:E, MATCH(AO53, 'List of Leagues'!F:F, 0)), 0)</f>
        <v>0</v>
      </c>
      <c r="AQ53">
        <f t="shared" si="11"/>
        <v>25.725000000000001</v>
      </c>
      <c r="AR53" t="s">
        <v>211</v>
      </c>
      <c r="AS53">
        <f>IFERROR(INDEX('List of Leagues'!$E:$E, MATCH(AR53, 'List of Leagues'!$F:$F, 0)), 0)</f>
        <v>60.5</v>
      </c>
      <c r="AT53" t="s">
        <v>762</v>
      </c>
      <c r="AU53">
        <f>IFERROR(INDEX('List of Leagues'!$E:$E, MATCH(AT53, 'List of Leagues'!$F:$F, 0)), 0)</f>
        <v>0</v>
      </c>
      <c r="AV53" t="s">
        <v>762</v>
      </c>
      <c r="AW53">
        <f>IFERROR(INDEX('List of Leagues'!$E:$E, MATCH(AV53, 'List of Leagues'!$F:$F, 0)), 0)</f>
        <v>0</v>
      </c>
      <c r="AX53" t="s">
        <v>762</v>
      </c>
      <c r="AY53">
        <f>IFERROR(INDEX('List of Leagues'!$E:$E, MATCH(AX53, 'List of Leagues'!$F:$F, 0)), 0)</f>
        <v>0</v>
      </c>
      <c r="AZ53" t="s">
        <v>762</v>
      </c>
      <c r="BA53">
        <f>IFERROR(INDEX('List of Leagues'!$E:$E, MATCH(AZ53, 'List of Leagues'!$F:$F, 0)), 0)</f>
        <v>0</v>
      </c>
      <c r="BB53" t="s">
        <v>762</v>
      </c>
      <c r="BC53">
        <f>IFERROR(INDEX('List of Leagues'!$E:$E, MATCH(BB53, 'List of Leagues'!$F:$F, 0)), 0)</f>
        <v>0</v>
      </c>
      <c r="BD53">
        <f t="shared" si="12"/>
        <v>10.083333333333334</v>
      </c>
    </row>
    <row r="54" spans="1:56" x14ac:dyDescent="0.35">
      <c r="A54" t="s">
        <v>67</v>
      </c>
      <c r="B54">
        <v>1</v>
      </c>
      <c r="C54">
        <f>IF(COUNTIF($A$11:A54, A54) &gt; 1, 1, 0)</f>
        <v>0</v>
      </c>
      <c r="D54">
        <v>2015</v>
      </c>
      <c r="E54" t="s">
        <v>68</v>
      </c>
      <c r="F54" t="s">
        <v>74</v>
      </c>
      <c r="G54" t="s">
        <v>10</v>
      </c>
      <c r="H54" t="s">
        <v>10</v>
      </c>
      <c r="I54">
        <f t="shared" si="13"/>
        <v>0</v>
      </c>
      <c r="J54">
        <f>SUMIF(A$2:A54,A54, O$2:O54)</f>
        <v>50</v>
      </c>
      <c r="K54">
        <f>SUMIF(A$2:A54, A54, P$2:P54)</f>
        <v>16</v>
      </c>
      <c r="L54">
        <f>SUMIF(A$2:A54, A54, Q$2:Q54)</f>
        <v>16</v>
      </c>
      <c r="M54">
        <f>SUMIF(A$2:A54, A54, R$2:R54)</f>
        <v>18</v>
      </c>
      <c r="N54">
        <f t="shared" si="5"/>
        <v>64</v>
      </c>
      <c r="O54">
        <f t="shared" si="14"/>
        <v>50</v>
      </c>
      <c r="P54">
        <v>16</v>
      </c>
      <c r="Q54">
        <v>16</v>
      </c>
      <c r="R54">
        <f>14+4</f>
        <v>18</v>
      </c>
      <c r="S54">
        <f t="shared" si="15"/>
        <v>64</v>
      </c>
      <c r="T54">
        <v>9</v>
      </c>
      <c r="U54">
        <f t="shared" si="10"/>
        <v>11</v>
      </c>
      <c r="V54">
        <v>11</v>
      </c>
      <c r="W54">
        <v>4</v>
      </c>
      <c r="X54">
        <v>2</v>
      </c>
      <c r="Y54">
        <v>4</v>
      </c>
      <c r="Z54" t="b">
        <v>1</v>
      </c>
      <c r="AA54" t="s">
        <v>185</v>
      </c>
      <c r="AB54">
        <f>IFERROR(INDEX('List of Leagues'!E:E, MATCH(AA54, 'List of Leagues'!F:F, 0)), 0)</f>
        <v>75.400000000000006</v>
      </c>
      <c r="AC54" t="s">
        <v>538</v>
      </c>
      <c r="AD54">
        <f>IFERROR(INDEX('List of Leagues'!E:E, MATCH(AC54, 'List of Leagues'!F:F, 0)), 0)</f>
        <v>77.3</v>
      </c>
      <c r="AE54" t="s">
        <v>762</v>
      </c>
      <c r="AF54">
        <f>IFERROR(INDEX('List of Leagues'!E:E, MATCH(AE54, 'List of Leagues'!F:F, 0)), 0)</f>
        <v>0</v>
      </c>
      <c r="AG54" t="s">
        <v>762</v>
      </c>
      <c r="AH54">
        <f>IFERROR(INDEX('List of Leagues'!E:E, MATCH(AG54, 'List of Leagues'!F:F, 0)), 0)</f>
        <v>0</v>
      </c>
      <c r="AI54" t="s">
        <v>762</v>
      </c>
      <c r="AJ54">
        <f>IFERROR(INDEX('List of Leagues'!E:E, MATCH(AI54, 'List of Leagues'!F:F, 0)), 0)</f>
        <v>0</v>
      </c>
      <c r="AK54" t="s">
        <v>762</v>
      </c>
      <c r="AL54">
        <f>IFERROR(INDEX('List of Leagues'!E:E, MATCH(AK54, 'List of Leagues'!F:F, 0)), 0)</f>
        <v>0</v>
      </c>
      <c r="AM54" t="s">
        <v>762</v>
      </c>
      <c r="AN54">
        <f>IFERROR(INDEX('List of Leagues'!E:E, MATCH(AM54, 'List of Leagues'!F:F, 0)), 0)</f>
        <v>0</v>
      </c>
      <c r="AO54" t="s">
        <v>762</v>
      </c>
      <c r="AP54">
        <f>IFERROR(INDEX('List of Leagues'!E:E, MATCH(AO54, 'List of Leagues'!F:F, 0)), 0)</f>
        <v>0</v>
      </c>
      <c r="AQ54">
        <f t="shared" si="11"/>
        <v>19.087499999999999</v>
      </c>
      <c r="AR54" t="s">
        <v>547</v>
      </c>
      <c r="AS54">
        <f>IFERROR(INDEX('List of Leagues'!$E:$E, MATCH(AR54, 'List of Leagues'!$F:$F, 0)), 0)</f>
        <v>74.8</v>
      </c>
      <c r="AT54" t="s">
        <v>532</v>
      </c>
      <c r="AU54">
        <f>IFERROR(INDEX('List of Leagues'!$E:$E, MATCH(AT54, 'List of Leagues'!$F:$F, 0)), 0)</f>
        <v>80.8</v>
      </c>
      <c r="AV54" t="s">
        <v>762</v>
      </c>
      <c r="AW54">
        <f>IFERROR(INDEX('List of Leagues'!$E:$E, MATCH(AV54, 'List of Leagues'!$F:$F, 0)), 0)</f>
        <v>0</v>
      </c>
      <c r="AX54" t="s">
        <v>762</v>
      </c>
      <c r="AY54">
        <f>IFERROR(INDEX('List of Leagues'!$E:$E, MATCH(AX54, 'List of Leagues'!$F:$F, 0)), 0)</f>
        <v>0</v>
      </c>
      <c r="AZ54" t="s">
        <v>762</v>
      </c>
      <c r="BA54">
        <f>IFERROR(INDEX('List of Leagues'!$E:$E, MATCH(AZ54, 'List of Leagues'!$F:$F, 0)), 0)</f>
        <v>0</v>
      </c>
      <c r="BB54" t="s">
        <v>762</v>
      </c>
      <c r="BC54">
        <f>IFERROR(INDEX('List of Leagues'!$E:$E, MATCH(BB54, 'List of Leagues'!$F:$F, 0)), 0)</f>
        <v>0</v>
      </c>
      <c r="BD54">
        <f t="shared" si="12"/>
        <v>25.933333333333334</v>
      </c>
    </row>
    <row r="55" spans="1:56" x14ac:dyDescent="0.35">
      <c r="A55" t="s">
        <v>69</v>
      </c>
      <c r="B55">
        <v>0</v>
      </c>
      <c r="C55">
        <v>1</v>
      </c>
      <c r="D55">
        <v>2015</v>
      </c>
      <c r="E55" t="s">
        <v>19</v>
      </c>
      <c r="F55" t="str">
        <f>IF(B55=0, "-", "")</f>
        <v>-</v>
      </c>
      <c r="G55" t="s">
        <v>10</v>
      </c>
      <c r="H55" t="s">
        <v>10</v>
      </c>
      <c r="I55">
        <f t="shared" si="13"/>
        <v>0</v>
      </c>
      <c r="J55">
        <f>SUMIF(A$2:A55,A55, O$2:O55)</f>
        <v>421</v>
      </c>
      <c r="K55">
        <f>SUMIF(A$2:A55, A55, P$2:P55)</f>
        <v>152</v>
      </c>
      <c r="L55">
        <f>SUMIF(A$2:A55, A55, Q$2:Q55)</f>
        <v>134</v>
      </c>
      <c r="M55">
        <f>SUMIF(A$2:A55, A55, R$2:R55)</f>
        <v>135</v>
      </c>
      <c r="N55">
        <f t="shared" si="5"/>
        <v>590</v>
      </c>
      <c r="O55">
        <f t="shared" si="14"/>
        <v>85</v>
      </c>
      <c r="P55">
        <v>27</v>
      </c>
      <c r="Q55">
        <v>27</v>
      </c>
      <c r="R55">
        <v>31</v>
      </c>
      <c r="S55">
        <f t="shared" si="15"/>
        <v>108</v>
      </c>
      <c r="T55">
        <v>3</v>
      </c>
      <c r="U55">
        <f t="shared" si="10"/>
        <v>13</v>
      </c>
      <c r="V55">
        <f>IF(F55="-", U55)</f>
        <v>13</v>
      </c>
      <c r="W55">
        <f>IF(F55="-", Y55)</f>
        <v>2</v>
      </c>
      <c r="X55">
        <v>10</v>
      </c>
      <c r="Y55">
        <v>2</v>
      </c>
      <c r="Z55" t="b">
        <v>1</v>
      </c>
      <c r="AA55" t="s">
        <v>751</v>
      </c>
      <c r="AB55">
        <f>IFERROR(INDEX('List of Leagues'!E:E, MATCH(AA55, 'List of Leagues'!F:F, 0)), 0)</f>
        <v>68.400000000000006</v>
      </c>
      <c r="AC55" t="s">
        <v>178</v>
      </c>
      <c r="AD55">
        <f>IFERROR(INDEX('List of Leagues'!E:E, MATCH(AC55, 'List of Leagues'!F:F, 0)), 0)</f>
        <v>69.3</v>
      </c>
      <c r="AE55" t="s">
        <v>763</v>
      </c>
      <c r="AF55">
        <f>IFERROR(INDEX('List of Leagues'!E:E, MATCH(AE55, 'List of Leagues'!F:F, 0)), 0)</f>
        <v>0</v>
      </c>
      <c r="AG55" t="s">
        <v>756</v>
      </c>
      <c r="AH55">
        <f>IFERROR(INDEX('List of Leagues'!E:E, MATCH(AG55, 'List of Leagues'!F:F, 0)), 0)</f>
        <v>76.8</v>
      </c>
      <c r="AI55" t="s">
        <v>762</v>
      </c>
      <c r="AJ55">
        <f>IFERROR(INDEX('List of Leagues'!E:E, MATCH(AI55, 'List of Leagues'!F:F, 0)), 0)</f>
        <v>0</v>
      </c>
      <c r="AK55" t="s">
        <v>762</v>
      </c>
      <c r="AL55">
        <f>IFERROR(INDEX('List of Leagues'!E:E, MATCH(AK55, 'List of Leagues'!F:F, 0)), 0)</f>
        <v>0</v>
      </c>
      <c r="AM55" t="s">
        <v>762</v>
      </c>
      <c r="AN55">
        <f>IFERROR(INDEX('List of Leagues'!E:E, MATCH(AM55, 'List of Leagues'!F:F, 0)), 0)</f>
        <v>0</v>
      </c>
      <c r="AO55" t="s">
        <v>762</v>
      </c>
      <c r="AP55">
        <f>IFERROR(INDEX('List of Leagues'!E:E, MATCH(AO55, 'List of Leagues'!F:F, 0)), 0)</f>
        <v>0</v>
      </c>
      <c r="AQ55">
        <f t="shared" si="11"/>
        <v>26.8125</v>
      </c>
      <c r="AR55" t="s">
        <v>202</v>
      </c>
      <c r="AS55">
        <f>IFERROR(INDEX('List of Leagues'!$E:$E, MATCH(AR55, 'List of Leagues'!$F:$F, 0)), 0)</f>
        <v>51</v>
      </c>
      <c r="AT55" t="s">
        <v>769</v>
      </c>
      <c r="AU55">
        <f>IFERROR(INDEX('List of Leagues'!$E:$E, MATCH(AT55, 'List of Leagues'!$F:$F, 0)), 0)</f>
        <v>74.2</v>
      </c>
      <c r="AV55" t="s">
        <v>211</v>
      </c>
      <c r="AW55">
        <f>IFERROR(INDEX('List of Leagues'!$E:$E, MATCH(AV55, 'List of Leagues'!$F:$F, 0)), 0)</f>
        <v>60.5</v>
      </c>
      <c r="AX55" t="s">
        <v>779</v>
      </c>
      <c r="AY55">
        <f>IFERROR(INDEX('List of Leagues'!$E:$E, MATCH(AX55, 'List of Leagues'!$F:$F, 0)), 0)</f>
        <v>77.099999999999994</v>
      </c>
      <c r="AZ55" t="s">
        <v>534</v>
      </c>
      <c r="BA55">
        <f>IFERROR(INDEX('List of Leagues'!$E:$E, MATCH(AZ55, 'List of Leagues'!$F:$F, 0)), 0)</f>
        <v>80.7</v>
      </c>
      <c r="BB55" t="s">
        <v>780</v>
      </c>
      <c r="BC55">
        <f>IFERROR(INDEX('List of Leagues'!$E:$E, MATCH(BB55, 'List of Leagues'!$F:$F, 0)), 0)</f>
        <v>55.9</v>
      </c>
      <c r="BD55">
        <f t="shared" si="12"/>
        <v>66.566666666666649</v>
      </c>
    </row>
    <row r="56" spans="1:56" x14ac:dyDescent="0.35">
      <c r="A56" t="s">
        <v>66</v>
      </c>
      <c r="B56">
        <v>1</v>
      </c>
      <c r="C56">
        <v>1</v>
      </c>
      <c r="D56">
        <v>2015</v>
      </c>
      <c r="E56" t="s">
        <v>195</v>
      </c>
      <c r="F56" t="s">
        <v>68</v>
      </c>
      <c r="G56" t="s">
        <v>10</v>
      </c>
      <c r="H56" t="s">
        <v>10</v>
      </c>
      <c r="I56">
        <f t="shared" si="13"/>
        <v>0</v>
      </c>
      <c r="J56">
        <f>SUMIF(A$2:A56,A56, O$2:O56)</f>
        <v>112</v>
      </c>
      <c r="K56">
        <f>SUMIF(A$2:A56, A56, P$2:P56)</f>
        <v>100</v>
      </c>
      <c r="L56">
        <f>SUMIF(A$2:A56, A56, Q$2:Q56)</f>
        <v>64</v>
      </c>
      <c r="M56">
        <f>SUMIF(A$2:A56, A56, R$2:R56)</f>
        <v>87</v>
      </c>
      <c r="N56">
        <f t="shared" si="5"/>
        <v>364</v>
      </c>
      <c r="O56">
        <f t="shared" si="14"/>
        <v>34</v>
      </c>
      <c r="P56">
        <v>10</v>
      </c>
      <c r="Q56">
        <v>7</v>
      </c>
      <c r="R56">
        <v>17</v>
      </c>
      <c r="S56">
        <f t="shared" si="15"/>
        <v>37</v>
      </c>
      <c r="T56">
        <v>2</v>
      </c>
      <c r="U56">
        <f t="shared" si="10"/>
        <v>8</v>
      </c>
      <c r="V56">
        <v>8</v>
      </c>
      <c r="W56">
        <v>0</v>
      </c>
      <c r="X56">
        <v>6</v>
      </c>
      <c r="Y56">
        <v>0</v>
      </c>
      <c r="Z56" t="b">
        <v>1</v>
      </c>
      <c r="AA56" t="s">
        <v>552</v>
      </c>
      <c r="AB56">
        <f>IFERROR(INDEX('List of Leagues'!E:E, MATCH(AA56, 'List of Leagues'!F:F, 0)), 0)</f>
        <v>58.4</v>
      </c>
      <c r="AC56" t="s">
        <v>178</v>
      </c>
      <c r="AD56">
        <f>IFERROR(INDEX('List of Leagues'!E:E, MATCH(AC56, 'List of Leagues'!F:F, 0)), 0)</f>
        <v>69.3</v>
      </c>
      <c r="AE56" t="s">
        <v>756</v>
      </c>
      <c r="AF56">
        <f>IFERROR(INDEX('List of Leagues'!E:E, MATCH(AE56, 'List of Leagues'!F:F, 0)), 0)</f>
        <v>76.8</v>
      </c>
      <c r="AG56" t="s">
        <v>762</v>
      </c>
      <c r="AH56">
        <f>IFERROR(INDEX('List of Leagues'!E:E, MATCH(AG56, 'List of Leagues'!F:F, 0)), 0)</f>
        <v>0</v>
      </c>
      <c r="AI56" t="s">
        <v>762</v>
      </c>
      <c r="AJ56">
        <f>IFERROR(INDEX('List of Leagues'!E:E, MATCH(AI56, 'List of Leagues'!F:F, 0)), 0)</f>
        <v>0</v>
      </c>
      <c r="AK56" t="s">
        <v>762</v>
      </c>
      <c r="AL56">
        <f>IFERROR(INDEX('List of Leagues'!E:E, MATCH(AK56, 'List of Leagues'!F:F, 0)), 0)</f>
        <v>0</v>
      </c>
      <c r="AM56" t="s">
        <v>762</v>
      </c>
      <c r="AN56">
        <f>IFERROR(INDEX('List of Leagues'!E:E, MATCH(AM56, 'List of Leagues'!F:F, 0)), 0)</f>
        <v>0</v>
      </c>
      <c r="AO56" t="s">
        <v>762</v>
      </c>
      <c r="AP56">
        <f>IFERROR(INDEX('List of Leagues'!E:E, MATCH(AO56, 'List of Leagues'!F:F, 0)), 0)</f>
        <v>0</v>
      </c>
      <c r="AQ56">
        <f t="shared" si="11"/>
        <v>25.5625</v>
      </c>
      <c r="AR56" t="s">
        <v>203</v>
      </c>
      <c r="AS56">
        <f>IFERROR(INDEX('List of Leagues'!$E:$E, MATCH(AR56, 'List of Leagues'!$F:$F, 0)), 0)</f>
        <v>76.8</v>
      </c>
      <c r="AT56" t="s">
        <v>762</v>
      </c>
      <c r="AU56">
        <f>IFERROR(INDEX('List of Leagues'!$E:$E, MATCH(AT56, 'List of Leagues'!$F:$F, 0)), 0)</f>
        <v>0</v>
      </c>
      <c r="AV56" t="s">
        <v>762</v>
      </c>
      <c r="AW56">
        <f>IFERROR(INDEX('List of Leagues'!$E:$E, MATCH(AV56, 'List of Leagues'!$F:$F, 0)), 0)</f>
        <v>0</v>
      </c>
      <c r="AX56" t="s">
        <v>762</v>
      </c>
      <c r="AY56">
        <f>IFERROR(INDEX('List of Leagues'!$E:$E, MATCH(AX56, 'List of Leagues'!$F:$F, 0)), 0)</f>
        <v>0</v>
      </c>
      <c r="AZ56" t="s">
        <v>762</v>
      </c>
      <c r="BA56">
        <f>IFERROR(INDEX('List of Leagues'!$E:$E, MATCH(AZ56, 'List of Leagues'!$F:$F, 0)), 0)</f>
        <v>0</v>
      </c>
      <c r="BB56" t="s">
        <v>762</v>
      </c>
      <c r="BC56">
        <f>IFERROR(INDEX('List of Leagues'!$E:$E, MATCH(BB56, 'List of Leagues'!$F:$F, 0)), 0)</f>
        <v>0</v>
      </c>
      <c r="BD56">
        <f t="shared" si="12"/>
        <v>12.799999999999999</v>
      </c>
    </row>
    <row r="57" spans="1:56" x14ac:dyDescent="0.35">
      <c r="A57" t="s">
        <v>44</v>
      </c>
      <c r="B57">
        <v>0</v>
      </c>
      <c r="C57">
        <f>IF(COUNTIF($A$11:A57, A57) &gt; 1, 1, 0)</f>
        <v>1</v>
      </c>
      <c r="D57">
        <v>2015</v>
      </c>
      <c r="E57" t="s">
        <v>17</v>
      </c>
      <c r="F57" t="str">
        <f t="shared" ref="F57:F63" si="16">IF(B57=0, "-", "")</f>
        <v>-</v>
      </c>
      <c r="G57" t="s">
        <v>10</v>
      </c>
      <c r="H57" t="s">
        <v>10</v>
      </c>
      <c r="I57">
        <f t="shared" si="13"/>
        <v>0</v>
      </c>
      <c r="J57">
        <f>SUMIF(A$2:A57,A57, O$2:O57)</f>
        <v>152</v>
      </c>
      <c r="K57">
        <f>SUMIF(A$2:A57, A57, P$2:P57)</f>
        <v>70</v>
      </c>
      <c r="L57">
        <f>SUMIF(A$2:A57, A57, Q$2:Q57)</f>
        <v>31</v>
      </c>
      <c r="M57">
        <f>SUMIF(A$2:A57, A57, R$2:R57)</f>
        <v>51</v>
      </c>
      <c r="N57">
        <f t="shared" si="5"/>
        <v>241</v>
      </c>
      <c r="O57">
        <f t="shared" si="14"/>
        <v>118</v>
      </c>
      <c r="P57">
        <f>18+16+14+10</f>
        <v>58</v>
      </c>
      <c r="Q57">
        <f>8+9+6+2</f>
        <v>25</v>
      </c>
      <c r="R57">
        <f>12+9+10+4</f>
        <v>35</v>
      </c>
      <c r="S57">
        <f t="shared" si="15"/>
        <v>199</v>
      </c>
      <c r="T57">
        <v>4</v>
      </c>
      <c r="U57">
        <f t="shared" si="10"/>
        <v>5</v>
      </c>
      <c r="V57">
        <f t="shared" ref="V57:V63" si="17">IF(F57="-", U57)</f>
        <v>5</v>
      </c>
      <c r="W57">
        <f>IF(F57="-", Y57)</f>
        <v>2</v>
      </c>
      <c r="X57">
        <v>1</v>
      </c>
      <c r="Y57">
        <v>2</v>
      </c>
      <c r="Z57" t="b">
        <v>1</v>
      </c>
      <c r="AA57" t="s">
        <v>178</v>
      </c>
      <c r="AB57">
        <f>IFERROR(INDEX('List of Leagues'!E:E, MATCH(AA57, 'List of Leagues'!F:F, 0)), 0)</f>
        <v>69.3</v>
      </c>
      <c r="AC57" t="s">
        <v>756</v>
      </c>
      <c r="AD57">
        <f>IFERROR(INDEX('List of Leagues'!E:E, MATCH(AC57, 'List of Leagues'!F:F, 0)), 0)</f>
        <v>76.8</v>
      </c>
      <c r="AE57" t="s">
        <v>762</v>
      </c>
      <c r="AF57">
        <f>IFERROR(INDEX('List of Leagues'!E:E, MATCH(AE57, 'List of Leagues'!F:F, 0)), 0)</f>
        <v>0</v>
      </c>
      <c r="AG57" t="s">
        <v>762</v>
      </c>
      <c r="AH57">
        <f>IFERROR(INDEX('List of Leagues'!E:E, MATCH(AG57, 'List of Leagues'!F:F, 0)), 0)</f>
        <v>0</v>
      </c>
      <c r="AI57" t="s">
        <v>762</v>
      </c>
      <c r="AJ57">
        <f>IFERROR(INDEX('List of Leagues'!E:E, MATCH(AI57, 'List of Leagues'!F:F, 0)), 0)</f>
        <v>0</v>
      </c>
      <c r="AK57" t="s">
        <v>762</v>
      </c>
      <c r="AL57">
        <f>IFERROR(INDEX('List of Leagues'!E:E, MATCH(AK57, 'List of Leagues'!F:F, 0)), 0)</f>
        <v>0</v>
      </c>
      <c r="AM57" t="s">
        <v>762</v>
      </c>
      <c r="AN57">
        <f>IFERROR(INDEX('List of Leagues'!E:E, MATCH(AM57, 'List of Leagues'!F:F, 0)), 0)</f>
        <v>0</v>
      </c>
      <c r="AO57" t="s">
        <v>762</v>
      </c>
      <c r="AP57">
        <f>IFERROR(INDEX('List of Leagues'!E:E, MATCH(AO57, 'List of Leagues'!F:F, 0)), 0)</f>
        <v>0</v>
      </c>
      <c r="AQ57">
        <f t="shared" si="11"/>
        <v>18.262499999999999</v>
      </c>
      <c r="AR57" t="s">
        <v>203</v>
      </c>
      <c r="AS57">
        <f>IFERROR(INDEX('List of Leagues'!$E:$E, MATCH(AR57, 'List of Leagues'!$F:$F, 0)), 0)</f>
        <v>76.8</v>
      </c>
      <c r="AT57" t="s">
        <v>178</v>
      </c>
      <c r="AU57">
        <f>IFERROR(INDEX('List of Leagues'!$E:$E, MATCH(AT57, 'List of Leagues'!$F:$F, 0)), 0)</f>
        <v>69.3</v>
      </c>
      <c r="AV57" t="s">
        <v>762</v>
      </c>
      <c r="AW57">
        <f>IFERROR(INDEX('List of Leagues'!$E:$E, MATCH(AV57, 'List of Leagues'!$F:$F, 0)), 0)</f>
        <v>0</v>
      </c>
      <c r="AX57" t="s">
        <v>762</v>
      </c>
      <c r="AY57">
        <f>IFERROR(INDEX('List of Leagues'!$E:$E, MATCH(AX57, 'List of Leagues'!$F:$F, 0)), 0)</f>
        <v>0</v>
      </c>
      <c r="AZ57" t="s">
        <v>762</v>
      </c>
      <c r="BA57">
        <f>IFERROR(INDEX('List of Leagues'!$E:$E, MATCH(AZ57, 'List of Leagues'!$F:$F, 0)), 0)</f>
        <v>0</v>
      </c>
      <c r="BB57" t="s">
        <v>762</v>
      </c>
      <c r="BC57">
        <f>IFERROR(INDEX('List of Leagues'!$E:$E, MATCH(BB57, 'List of Leagues'!$F:$F, 0)), 0)</f>
        <v>0</v>
      </c>
      <c r="BD57">
        <f t="shared" si="12"/>
        <v>24.349999999999998</v>
      </c>
    </row>
    <row r="58" spans="1:56" x14ac:dyDescent="0.35">
      <c r="A58" t="s">
        <v>65</v>
      </c>
      <c r="B58">
        <v>0</v>
      </c>
      <c r="C58">
        <f>IF(COUNTIF($A$11:A58, A58) &gt; 1, 1, 0)</f>
        <v>0</v>
      </c>
      <c r="D58">
        <v>2015</v>
      </c>
      <c r="E58" t="s">
        <v>45</v>
      </c>
      <c r="F58" t="str">
        <f t="shared" si="16"/>
        <v>-</v>
      </c>
      <c r="G58" t="s">
        <v>10</v>
      </c>
      <c r="H58" t="s">
        <v>10</v>
      </c>
      <c r="I58">
        <f t="shared" si="13"/>
        <v>0</v>
      </c>
      <c r="J58">
        <f>SUMIF(A$2:A58,A58, O$2:O58)</f>
        <v>81</v>
      </c>
      <c r="K58">
        <f>SUMIF(A$2:A58, A58, P$2:P58)</f>
        <v>30</v>
      </c>
      <c r="L58">
        <f>SUMIF(A$2:A58, A58, Q$2:Q58)</f>
        <v>20</v>
      </c>
      <c r="M58">
        <f>SUMIF(A$2:A58, A58, R$2:R58)</f>
        <v>31</v>
      </c>
      <c r="N58">
        <f t="shared" si="5"/>
        <v>110</v>
      </c>
      <c r="O58">
        <f t="shared" si="14"/>
        <v>81</v>
      </c>
      <c r="P58">
        <v>30</v>
      </c>
      <c r="Q58">
        <v>20</v>
      </c>
      <c r="R58">
        <f>11+17+3</f>
        <v>31</v>
      </c>
      <c r="S58">
        <f t="shared" si="15"/>
        <v>110</v>
      </c>
      <c r="T58">
        <v>3</v>
      </c>
      <c r="U58">
        <f t="shared" si="10"/>
        <v>3</v>
      </c>
      <c r="V58">
        <f t="shared" si="17"/>
        <v>3</v>
      </c>
      <c r="W58">
        <f>IF(F58="-", Y58)</f>
        <v>6</v>
      </c>
      <c r="X58">
        <v>0</v>
      </c>
      <c r="Y58">
        <v>6</v>
      </c>
      <c r="Z58" t="b">
        <v>1</v>
      </c>
      <c r="AA58" t="s">
        <v>552</v>
      </c>
      <c r="AB58">
        <f>IFERROR(INDEX('List of Leagues'!E:E, MATCH(AA58, 'List of Leagues'!F:F, 0)), 0)</f>
        <v>58.4</v>
      </c>
      <c r="AC58" t="s">
        <v>756</v>
      </c>
      <c r="AD58">
        <f>IFERROR(INDEX('List of Leagues'!E:E, MATCH(AC58, 'List of Leagues'!F:F, 0)), 0)</f>
        <v>76.8</v>
      </c>
      <c r="AE58" t="s">
        <v>762</v>
      </c>
      <c r="AF58">
        <f>IFERROR(INDEX('List of Leagues'!E:E, MATCH(AE58, 'List of Leagues'!F:F, 0)), 0)</f>
        <v>0</v>
      </c>
      <c r="AG58" t="s">
        <v>762</v>
      </c>
      <c r="AH58">
        <f>IFERROR(INDEX('List of Leagues'!E:E, MATCH(AG58, 'List of Leagues'!F:F, 0)), 0)</f>
        <v>0</v>
      </c>
      <c r="AI58" t="s">
        <v>762</v>
      </c>
      <c r="AJ58">
        <f>IFERROR(INDEX('List of Leagues'!E:E, MATCH(AI58, 'List of Leagues'!F:F, 0)), 0)</f>
        <v>0</v>
      </c>
      <c r="AK58" t="s">
        <v>762</v>
      </c>
      <c r="AL58">
        <f>IFERROR(INDEX('List of Leagues'!E:E, MATCH(AK58, 'List of Leagues'!F:F, 0)), 0)</f>
        <v>0</v>
      </c>
      <c r="AM58" t="s">
        <v>762</v>
      </c>
      <c r="AN58">
        <f>IFERROR(INDEX('List of Leagues'!E:E, MATCH(AM58, 'List of Leagues'!F:F, 0)), 0)</f>
        <v>0</v>
      </c>
      <c r="AO58" t="s">
        <v>762</v>
      </c>
      <c r="AP58">
        <f>IFERROR(INDEX('List of Leagues'!E:E, MATCH(AO58, 'List of Leagues'!F:F, 0)), 0)</f>
        <v>0</v>
      </c>
      <c r="AQ58">
        <f t="shared" si="11"/>
        <v>16.899999999999999</v>
      </c>
      <c r="AR58" t="s">
        <v>209</v>
      </c>
      <c r="AS58">
        <f>IFERROR(INDEX('List of Leagues'!$E:$E, MATCH(AR58, 'List of Leagues'!$F:$F, 0)), 0)</f>
        <v>60.6</v>
      </c>
      <c r="AT58" t="s">
        <v>185</v>
      </c>
      <c r="AU58">
        <f>IFERROR(INDEX('List of Leagues'!$E:$E, MATCH(AT58, 'List of Leagues'!$F:$F, 0)), 0)</f>
        <v>75.400000000000006</v>
      </c>
      <c r="AV58" t="s">
        <v>197</v>
      </c>
      <c r="AW58">
        <f>IFERROR(INDEX('List of Leagues'!$E:$E, MATCH(AV58, 'List of Leagues'!$F:$F, 0)), 0)</f>
        <v>78.400000000000006</v>
      </c>
      <c r="AX58" t="s">
        <v>762</v>
      </c>
      <c r="AY58">
        <f>IFERROR(INDEX('List of Leagues'!$E:$E, MATCH(AX58, 'List of Leagues'!$F:$F, 0)), 0)</f>
        <v>0</v>
      </c>
      <c r="AZ58" t="s">
        <v>762</v>
      </c>
      <c r="BA58">
        <f>IFERROR(INDEX('List of Leagues'!$E:$E, MATCH(AZ58, 'List of Leagues'!$F:$F, 0)), 0)</f>
        <v>0</v>
      </c>
      <c r="BB58" t="s">
        <v>762</v>
      </c>
      <c r="BC58">
        <f>IFERROR(INDEX('List of Leagues'!$E:$E, MATCH(BB58, 'List of Leagues'!$F:$F, 0)), 0)</f>
        <v>0</v>
      </c>
      <c r="BD58">
        <f t="shared" si="12"/>
        <v>35.733333333333334</v>
      </c>
    </row>
    <row r="59" spans="1:56" x14ac:dyDescent="0.35">
      <c r="A59" t="s">
        <v>63</v>
      </c>
      <c r="B59">
        <v>0</v>
      </c>
      <c r="C59">
        <f>IF(COUNTIF($A$11:A59, A59) &gt; 1, 1, 0)</f>
        <v>0</v>
      </c>
      <c r="D59">
        <v>2015</v>
      </c>
      <c r="E59" t="s">
        <v>64</v>
      </c>
      <c r="F59" t="str">
        <f t="shared" si="16"/>
        <v>-</v>
      </c>
      <c r="G59" t="s">
        <v>10</v>
      </c>
      <c r="H59" t="s">
        <v>10</v>
      </c>
      <c r="I59">
        <f t="shared" si="13"/>
        <v>0</v>
      </c>
      <c r="J59">
        <f>SUMIF(A$2:A59,A59, O$2:O59)</f>
        <v>46</v>
      </c>
      <c r="K59">
        <f>SUMIF(A$2:A59, A59, P$2:P59)</f>
        <v>14</v>
      </c>
      <c r="L59">
        <f>SUMIF(A$2:A59, A59, Q$2:Q59)</f>
        <v>11</v>
      </c>
      <c r="M59">
        <f>SUMIF(A$2:A59, A59, R$2:R59)</f>
        <v>21</v>
      </c>
      <c r="N59">
        <f t="shared" si="5"/>
        <v>53</v>
      </c>
      <c r="O59">
        <f t="shared" si="14"/>
        <v>46</v>
      </c>
      <c r="P59">
        <v>14</v>
      </c>
      <c r="Q59">
        <v>11</v>
      </c>
      <c r="R59">
        <v>21</v>
      </c>
      <c r="S59">
        <f t="shared" si="15"/>
        <v>53</v>
      </c>
      <c r="T59">
        <v>2</v>
      </c>
      <c r="U59">
        <f t="shared" si="10"/>
        <v>13</v>
      </c>
      <c r="V59">
        <f t="shared" si="17"/>
        <v>13</v>
      </c>
      <c r="W59">
        <f>IF(F59="-", Y59)</f>
        <v>1</v>
      </c>
      <c r="X59">
        <v>11</v>
      </c>
      <c r="Y59">
        <v>1</v>
      </c>
      <c r="Z59" t="b">
        <v>1</v>
      </c>
      <c r="AA59" t="s">
        <v>751</v>
      </c>
      <c r="AB59">
        <f>IFERROR(INDEX('List of Leagues'!E:E, MATCH(AA59, 'List of Leagues'!F:F, 0)), 0)</f>
        <v>68.400000000000006</v>
      </c>
      <c r="AC59" t="s">
        <v>756</v>
      </c>
      <c r="AD59">
        <f>IFERROR(INDEX('List of Leagues'!E:E, MATCH(AC59, 'List of Leagues'!F:F, 0)), 0)</f>
        <v>76.8</v>
      </c>
      <c r="AE59" t="s">
        <v>756</v>
      </c>
      <c r="AF59">
        <f>IFERROR(INDEX('List of Leagues'!E:E, MATCH(AE59, 'List of Leagues'!F:F, 0)), 0)</f>
        <v>76.8</v>
      </c>
      <c r="AG59" t="s">
        <v>762</v>
      </c>
      <c r="AH59">
        <f>IFERROR(INDEX('List of Leagues'!E:E, MATCH(AG59, 'List of Leagues'!F:F, 0)), 0)</f>
        <v>0</v>
      </c>
      <c r="AI59" t="s">
        <v>762</v>
      </c>
      <c r="AJ59">
        <f>IFERROR(INDEX('List of Leagues'!E:E, MATCH(AI59, 'List of Leagues'!F:F, 0)), 0)</f>
        <v>0</v>
      </c>
      <c r="AK59" t="s">
        <v>762</v>
      </c>
      <c r="AL59">
        <f>IFERROR(INDEX('List of Leagues'!E:E, MATCH(AK59, 'List of Leagues'!F:F, 0)), 0)</f>
        <v>0</v>
      </c>
      <c r="AM59" t="s">
        <v>762</v>
      </c>
      <c r="AN59">
        <f>IFERROR(INDEX('List of Leagues'!E:E, MATCH(AM59, 'List of Leagues'!F:F, 0)), 0)</f>
        <v>0</v>
      </c>
      <c r="AO59" t="s">
        <v>762</v>
      </c>
      <c r="AP59">
        <f>IFERROR(INDEX('List of Leagues'!E:E, MATCH(AO59, 'List of Leagues'!F:F, 0)), 0)</f>
        <v>0</v>
      </c>
      <c r="AQ59">
        <f t="shared" si="11"/>
        <v>27.75</v>
      </c>
      <c r="AR59" t="s">
        <v>187</v>
      </c>
      <c r="AS59">
        <f>IFERROR(INDEX('List of Leagues'!$E:$E, MATCH(AR59, 'List of Leagues'!$F:$F, 0)), 0)</f>
        <v>58.4</v>
      </c>
      <c r="AT59" t="s">
        <v>762</v>
      </c>
      <c r="AU59">
        <f>IFERROR(INDEX('List of Leagues'!$E:$E, MATCH(AT59, 'List of Leagues'!$F:$F, 0)), 0)</f>
        <v>0</v>
      </c>
      <c r="AV59" t="s">
        <v>762</v>
      </c>
      <c r="AW59">
        <f>IFERROR(INDEX('List of Leagues'!$E:$E, MATCH(AV59, 'List of Leagues'!$F:$F, 0)), 0)</f>
        <v>0</v>
      </c>
      <c r="AX59" t="s">
        <v>762</v>
      </c>
      <c r="AY59">
        <f>IFERROR(INDEX('List of Leagues'!$E:$E, MATCH(AX59, 'List of Leagues'!$F:$F, 0)), 0)</f>
        <v>0</v>
      </c>
      <c r="AZ59" t="s">
        <v>762</v>
      </c>
      <c r="BA59">
        <f>IFERROR(INDEX('List of Leagues'!$E:$E, MATCH(AZ59, 'List of Leagues'!$F:$F, 0)), 0)</f>
        <v>0</v>
      </c>
      <c r="BB59" t="s">
        <v>762</v>
      </c>
      <c r="BC59">
        <f>IFERROR(INDEX('List of Leagues'!$E:$E, MATCH(BB59, 'List of Leagues'!$F:$F, 0)), 0)</f>
        <v>0</v>
      </c>
      <c r="BD59">
        <f t="shared" si="12"/>
        <v>9.7333333333333325</v>
      </c>
    </row>
    <row r="60" spans="1:56" x14ac:dyDescent="0.35">
      <c r="A60" t="s">
        <v>66</v>
      </c>
      <c r="B60">
        <v>0</v>
      </c>
      <c r="C60">
        <f>IF(COUNTIF($A$11:A60, A60) &gt; 1, 1, 0)</f>
        <v>1</v>
      </c>
      <c r="D60">
        <v>2016</v>
      </c>
      <c r="E60" t="s">
        <v>68</v>
      </c>
      <c r="F60" t="str">
        <f t="shared" si="16"/>
        <v>-</v>
      </c>
      <c r="G60" t="s">
        <v>10</v>
      </c>
      <c r="H60" t="s">
        <v>10</v>
      </c>
      <c r="I60">
        <f t="shared" si="13"/>
        <v>0</v>
      </c>
      <c r="J60">
        <f>SUMIF(A$2:A60,A60, O$2:O60)</f>
        <v>156</v>
      </c>
      <c r="K60">
        <f>SUMIF(A$2:A60, A60, P$2:P60)</f>
        <v>114</v>
      </c>
      <c r="L60">
        <f>SUMIF(A$2:A60, A60, Q$2:Q60)</f>
        <v>75</v>
      </c>
      <c r="M60">
        <f>SUMIF(A$2:A60, A60, R$2:R60)</f>
        <v>106</v>
      </c>
      <c r="N60">
        <f t="shared" si="5"/>
        <v>417</v>
      </c>
      <c r="O60">
        <f t="shared" si="14"/>
        <v>44</v>
      </c>
      <c r="P60">
        <v>14</v>
      </c>
      <c r="Q60">
        <v>11</v>
      </c>
      <c r="R60">
        <v>19</v>
      </c>
      <c r="S60">
        <f t="shared" si="15"/>
        <v>53</v>
      </c>
      <c r="T60">
        <v>2</v>
      </c>
      <c r="U60">
        <f t="shared" si="10"/>
        <v>10</v>
      </c>
      <c r="V60">
        <f t="shared" si="17"/>
        <v>10</v>
      </c>
      <c r="W60">
        <f>IF(F60="-", Y60)</f>
        <v>0</v>
      </c>
      <c r="X60">
        <v>8</v>
      </c>
      <c r="Y60">
        <v>0</v>
      </c>
      <c r="Z60" t="b">
        <v>1</v>
      </c>
      <c r="AA60" t="s">
        <v>552</v>
      </c>
      <c r="AB60">
        <f>IFERROR(INDEX('List of Leagues'!E:E, MATCH(AA60, 'List of Leagues'!F:F, 0)), 0)</f>
        <v>58.4</v>
      </c>
      <c r="AC60" t="s">
        <v>178</v>
      </c>
      <c r="AD60">
        <f>IFERROR(INDEX('List of Leagues'!E:E, MATCH(AC60, 'List of Leagues'!F:F, 0)), 0)</f>
        <v>69.3</v>
      </c>
      <c r="AE60" t="s">
        <v>762</v>
      </c>
      <c r="AF60">
        <f>IFERROR(INDEX('List of Leagues'!E:E, MATCH(AE60, 'List of Leagues'!F:F, 0)), 0)</f>
        <v>0</v>
      </c>
      <c r="AG60" t="s">
        <v>762</v>
      </c>
      <c r="AH60">
        <f>IFERROR(INDEX('List of Leagues'!E:E, MATCH(AG60, 'List of Leagues'!F:F, 0)), 0)</f>
        <v>0</v>
      </c>
      <c r="AI60" t="s">
        <v>762</v>
      </c>
      <c r="AJ60">
        <f>IFERROR(INDEX('List of Leagues'!E:E, MATCH(AI60, 'List of Leagues'!F:F, 0)), 0)</f>
        <v>0</v>
      </c>
      <c r="AK60" t="s">
        <v>762</v>
      </c>
      <c r="AL60">
        <f>IFERROR(INDEX('List of Leagues'!E:E, MATCH(AK60, 'List of Leagues'!F:F, 0)), 0)</f>
        <v>0</v>
      </c>
      <c r="AM60" t="s">
        <v>762</v>
      </c>
      <c r="AN60">
        <f>IFERROR(INDEX('List of Leagues'!E:E, MATCH(AM60, 'List of Leagues'!F:F, 0)), 0)</f>
        <v>0</v>
      </c>
      <c r="AO60" t="s">
        <v>762</v>
      </c>
      <c r="AP60">
        <f>IFERROR(INDEX('List of Leagues'!E:E, MATCH(AO60, 'List of Leagues'!F:F, 0)), 0)</f>
        <v>0</v>
      </c>
      <c r="AQ60">
        <f t="shared" si="11"/>
        <v>15.962499999999999</v>
      </c>
      <c r="AR60" t="s">
        <v>178</v>
      </c>
      <c r="AS60">
        <f>IFERROR(INDEX('List of Leagues'!$E:$E, MATCH(AR60, 'List of Leagues'!$F:$F, 0)), 0)</f>
        <v>69.3</v>
      </c>
      <c r="AT60" t="s">
        <v>762</v>
      </c>
      <c r="AU60">
        <f>IFERROR(INDEX('List of Leagues'!$E:$E, MATCH(AT60, 'List of Leagues'!$F:$F, 0)), 0)</f>
        <v>0</v>
      </c>
      <c r="AV60" t="s">
        <v>762</v>
      </c>
      <c r="AW60">
        <f>IFERROR(INDEX('List of Leagues'!$E:$E, MATCH(AV60, 'List of Leagues'!$F:$F, 0)), 0)</f>
        <v>0</v>
      </c>
      <c r="AX60" t="s">
        <v>762</v>
      </c>
      <c r="AY60">
        <f>IFERROR(INDEX('List of Leagues'!$E:$E, MATCH(AX60, 'List of Leagues'!$F:$F, 0)), 0)</f>
        <v>0</v>
      </c>
      <c r="AZ60" t="s">
        <v>762</v>
      </c>
      <c r="BA60">
        <f>IFERROR(INDEX('List of Leagues'!$E:$E, MATCH(AZ60, 'List of Leagues'!$F:$F, 0)), 0)</f>
        <v>0</v>
      </c>
      <c r="BB60" t="s">
        <v>762</v>
      </c>
      <c r="BC60">
        <f>IFERROR(INDEX('List of Leagues'!$E:$E, MATCH(BB60, 'List of Leagues'!$F:$F, 0)), 0)</f>
        <v>0</v>
      </c>
      <c r="BD60">
        <f t="shared" si="12"/>
        <v>11.549999999999999</v>
      </c>
    </row>
    <row r="61" spans="1:56" x14ac:dyDescent="0.35">
      <c r="A61" t="s">
        <v>70</v>
      </c>
      <c r="B61">
        <v>0</v>
      </c>
      <c r="C61">
        <f>IF(COUNTIF($A$11:A61, A61) &gt; 1, 1, 0)</f>
        <v>0</v>
      </c>
      <c r="D61">
        <v>2016</v>
      </c>
      <c r="E61" t="s">
        <v>195</v>
      </c>
      <c r="F61" t="str">
        <f t="shared" si="16"/>
        <v>-</v>
      </c>
      <c r="G61" t="s">
        <v>6</v>
      </c>
      <c r="H61" t="s">
        <v>131</v>
      </c>
      <c r="I61">
        <f t="shared" si="13"/>
        <v>1</v>
      </c>
      <c r="J61">
        <f>SUMIF(A$2:A61,A61, O$2:O61)</f>
        <v>83</v>
      </c>
      <c r="K61">
        <f>SUMIF(A$2:A61, A61, P$2:P61)</f>
        <v>39</v>
      </c>
      <c r="L61">
        <f>SUMIF(A$2:A61, A61, Q$2:Q61)</f>
        <v>22</v>
      </c>
      <c r="M61">
        <f>SUMIF(A$2:A61, A61, R$2:R61)</f>
        <v>22</v>
      </c>
      <c r="N61">
        <f t="shared" si="5"/>
        <v>139</v>
      </c>
      <c r="O61">
        <f t="shared" si="14"/>
        <v>83</v>
      </c>
      <c r="P61">
        <v>39</v>
      </c>
      <c r="Q61">
        <v>22</v>
      </c>
      <c r="R61">
        <v>22</v>
      </c>
      <c r="S61">
        <f t="shared" si="15"/>
        <v>139</v>
      </c>
      <c r="T61">
        <v>2</v>
      </c>
      <c r="U61">
        <f t="shared" si="10"/>
        <v>4</v>
      </c>
      <c r="V61">
        <f t="shared" si="17"/>
        <v>4</v>
      </c>
      <c r="W61">
        <f>IF(F61="-", Y61)</f>
        <v>0</v>
      </c>
      <c r="X61">
        <v>2</v>
      </c>
      <c r="Y61">
        <v>0</v>
      </c>
      <c r="Z61" t="b">
        <v>1</v>
      </c>
      <c r="AA61" t="s">
        <v>184</v>
      </c>
      <c r="AB61">
        <f>IFERROR(INDEX('List of Leagues'!E:E, MATCH(AA61, 'List of Leagues'!F:F, 0)), 0)</f>
        <v>93.8</v>
      </c>
      <c r="AC61" t="s">
        <v>529</v>
      </c>
      <c r="AD61">
        <f>IFERROR(INDEX('List of Leagues'!E:E, MATCH(AC61, 'List of Leagues'!F:F, 0)), 0)</f>
        <v>89.5</v>
      </c>
      <c r="AE61" t="s">
        <v>750</v>
      </c>
      <c r="AF61">
        <f>IFERROR(INDEX('List of Leagues'!E:E, MATCH(AE61, 'List of Leagues'!F:F, 0)), 0)</f>
        <v>0</v>
      </c>
      <c r="AG61" t="s">
        <v>762</v>
      </c>
      <c r="AH61">
        <f>IFERROR(INDEX('List of Leagues'!E:E, MATCH(AG61, 'List of Leagues'!F:F, 0)), 0)</f>
        <v>0</v>
      </c>
      <c r="AI61" t="s">
        <v>762</v>
      </c>
      <c r="AJ61">
        <f>IFERROR(INDEX('List of Leagues'!E:E, MATCH(AI61, 'List of Leagues'!F:F, 0)), 0)</f>
        <v>0</v>
      </c>
      <c r="AK61" t="s">
        <v>762</v>
      </c>
      <c r="AL61">
        <f>IFERROR(INDEX('List of Leagues'!E:E, MATCH(AK61, 'List of Leagues'!F:F, 0)), 0)</f>
        <v>0</v>
      </c>
      <c r="AM61" t="s">
        <v>762</v>
      </c>
      <c r="AN61">
        <f>IFERROR(INDEX('List of Leagues'!E:E, MATCH(AM61, 'List of Leagues'!F:F, 0)), 0)</f>
        <v>0</v>
      </c>
      <c r="AO61" t="s">
        <v>762</v>
      </c>
      <c r="AP61">
        <f>IFERROR(INDEX('List of Leagues'!E:E, MATCH(AO61, 'List of Leagues'!F:F, 0)), 0)</f>
        <v>0</v>
      </c>
      <c r="AQ61">
        <f t="shared" si="11"/>
        <v>22.912500000000001</v>
      </c>
      <c r="AR61" t="s">
        <v>177</v>
      </c>
      <c r="AS61">
        <f>IFERROR(INDEX('List of Leagues'!$E:$E, MATCH(AR61, 'List of Leagues'!$F:$F, 0)), 0)</f>
        <v>0</v>
      </c>
      <c r="AT61" t="s">
        <v>762</v>
      </c>
      <c r="AU61">
        <f>IFERROR(INDEX('List of Leagues'!$E:$E, MATCH(AT61, 'List of Leagues'!$F:$F, 0)), 0)</f>
        <v>0</v>
      </c>
      <c r="AV61" t="s">
        <v>762</v>
      </c>
      <c r="AW61">
        <f>IFERROR(INDEX('List of Leagues'!$E:$E, MATCH(AV61, 'List of Leagues'!$F:$F, 0)), 0)</f>
        <v>0</v>
      </c>
      <c r="AX61" t="s">
        <v>762</v>
      </c>
      <c r="AY61">
        <f>IFERROR(INDEX('List of Leagues'!$E:$E, MATCH(AX61, 'List of Leagues'!$F:$F, 0)), 0)</f>
        <v>0</v>
      </c>
      <c r="AZ61" t="s">
        <v>762</v>
      </c>
      <c r="BA61">
        <f>IFERROR(INDEX('List of Leagues'!$E:$E, MATCH(AZ61, 'List of Leagues'!$F:$F, 0)), 0)</f>
        <v>0</v>
      </c>
      <c r="BB61" t="s">
        <v>762</v>
      </c>
      <c r="BC61">
        <f>IFERROR(INDEX('List of Leagues'!$E:$E, MATCH(BB61, 'List of Leagues'!$F:$F, 0)), 0)</f>
        <v>0</v>
      </c>
      <c r="BD61">
        <f t="shared" si="12"/>
        <v>0</v>
      </c>
    </row>
    <row r="62" spans="1:56" x14ac:dyDescent="0.35">
      <c r="A62" t="s">
        <v>111</v>
      </c>
      <c r="B62">
        <v>0</v>
      </c>
      <c r="C62">
        <f>IF(COUNTIF($A$11:A62, A62) &gt; 1, 1, 0)</f>
        <v>0</v>
      </c>
      <c r="D62">
        <v>2016</v>
      </c>
      <c r="E62" t="s">
        <v>5</v>
      </c>
      <c r="F62" t="str">
        <f t="shared" si="16"/>
        <v>-</v>
      </c>
      <c r="G62" t="s">
        <v>10</v>
      </c>
      <c r="H62" t="s">
        <v>10</v>
      </c>
      <c r="I62">
        <f t="shared" si="13"/>
        <v>0</v>
      </c>
      <c r="J62">
        <f>SUMIF(A$2:A62,A62, O$2:O62)</f>
        <v>170</v>
      </c>
      <c r="K62">
        <f>SUMIF(A$2:A62, A62, P$2:P62)</f>
        <v>49</v>
      </c>
      <c r="L62">
        <f>SUMIF(A$2:A62, A62, Q$2:Q62)</f>
        <v>43</v>
      </c>
      <c r="M62">
        <f>SUMIF(A$2:A62, A62, R$2:R62)</f>
        <v>78</v>
      </c>
      <c r="N62">
        <f t="shared" si="5"/>
        <v>190</v>
      </c>
      <c r="O62">
        <f t="shared" si="14"/>
        <v>170</v>
      </c>
      <c r="P62">
        <f>8+7+16+8+10</f>
        <v>49</v>
      </c>
      <c r="Q62">
        <f>12+8+7+10+6</f>
        <v>43</v>
      </c>
      <c r="R62">
        <f>12+18+11+17+20</f>
        <v>78</v>
      </c>
      <c r="S62">
        <f t="shared" si="15"/>
        <v>190</v>
      </c>
      <c r="T62">
        <v>4</v>
      </c>
      <c r="U62">
        <f t="shared" si="10"/>
        <v>8</v>
      </c>
      <c r="V62">
        <f t="shared" si="17"/>
        <v>8</v>
      </c>
      <c r="W62">
        <f t="shared" ref="W62:W65" si="18">IF(F62="-", Y62)</f>
        <v>0</v>
      </c>
      <c r="X62">
        <v>4</v>
      </c>
      <c r="Y62">
        <v>0</v>
      </c>
      <c r="Z62" t="b">
        <v>1</v>
      </c>
      <c r="AA62" t="s">
        <v>551</v>
      </c>
      <c r="AB62">
        <f>IFERROR(INDEX('List of Leagues'!E:E, MATCH(AA62, 'List of Leagues'!F:F, 0)), 0)</f>
        <v>70.900000000000006</v>
      </c>
      <c r="AC62" t="s">
        <v>538</v>
      </c>
      <c r="AD62">
        <f>IFERROR(INDEX('List of Leagues'!E:E, MATCH(AC62, 'List of Leagues'!F:F, 0)), 0)</f>
        <v>77.3</v>
      </c>
      <c r="AE62" t="s">
        <v>756</v>
      </c>
      <c r="AF62">
        <f>IFERROR(INDEX('List of Leagues'!E:E, MATCH(AE62, 'List of Leagues'!F:F, 0)), 0)</f>
        <v>76.8</v>
      </c>
      <c r="AG62" t="s">
        <v>178</v>
      </c>
      <c r="AH62">
        <f>IFERROR(INDEX('List of Leagues'!E:E, MATCH(AG62, 'List of Leagues'!F:F, 0)), 0)</f>
        <v>69.3</v>
      </c>
      <c r="AI62" t="s">
        <v>535</v>
      </c>
      <c r="AJ62">
        <f>IFERROR(INDEX('List of Leagues'!E:E, MATCH(AI62, 'List of Leagues'!F:F, 0)), 0)</f>
        <v>79.8</v>
      </c>
      <c r="AK62" t="s">
        <v>756</v>
      </c>
      <c r="AL62">
        <f>IFERROR(INDEX('List of Leagues'!E:E, MATCH(AK62, 'List of Leagues'!F:F, 0)), 0)</f>
        <v>76.8</v>
      </c>
      <c r="AM62" t="s">
        <v>762</v>
      </c>
      <c r="AN62">
        <f>IFERROR(INDEX('List of Leagues'!E:E, MATCH(AM62, 'List of Leagues'!F:F, 0)), 0)</f>
        <v>0</v>
      </c>
      <c r="AO62" t="s">
        <v>762</v>
      </c>
      <c r="AP62">
        <f>IFERROR(INDEX('List of Leagues'!E:E, MATCH(AO62, 'List of Leagues'!F:F, 0)), 0)</f>
        <v>0</v>
      </c>
      <c r="AQ62">
        <f t="shared" si="11"/>
        <v>56.362500000000004</v>
      </c>
      <c r="AR62" t="s">
        <v>177</v>
      </c>
      <c r="AS62">
        <f>IFERROR(INDEX('List of Leagues'!$E:$E, MATCH(AR62, 'List of Leagues'!$F:$F, 0)), 0)</f>
        <v>0</v>
      </c>
      <c r="AT62" t="s">
        <v>762</v>
      </c>
      <c r="AU62">
        <f>IFERROR(INDEX('List of Leagues'!$E:$E, MATCH(AT62, 'List of Leagues'!$F:$F, 0)), 0)</f>
        <v>0</v>
      </c>
      <c r="AV62" t="s">
        <v>762</v>
      </c>
      <c r="AW62">
        <f>IFERROR(INDEX('List of Leagues'!$E:$E, MATCH(AV62, 'List of Leagues'!$F:$F, 0)), 0)</f>
        <v>0</v>
      </c>
      <c r="AX62" t="s">
        <v>762</v>
      </c>
      <c r="AY62">
        <f>IFERROR(INDEX('List of Leagues'!$E:$E, MATCH(AX62, 'List of Leagues'!$F:$F, 0)), 0)</f>
        <v>0</v>
      </c>
      <c r="AZ62" t="s">
        <v>762</v>
      </c>
      <c r="BA62">
        <f>IFERROR(INDEX('List of Leagues'!$E:$E, MATCH(AZ62, 'List of Leagues'!$F:$F, 0)), 0)</f>
        <v>0</v>
      </c>
      <c r="BB62" t="s">
        <v>762</v>
      </c>
      <c r="BC62">
        <f>IFERROR(INDEX('List of Leagues'!$E:$E, MATCH(BB62, 'List of Leagues'!$F:$F, 0)), 0)</f>
        <v>0</v>
      </c>
      <c r="BD62">
        <f t="shared" si="12"/>
        <v>0</v>
      </c>
    </row>
    <row r="63" spans="1:56" x14ac:dyDescent="0.35">
      <c r="A63" t="s">
        <v>76</v>
      </c>
      <c r="B63">
        <v>0</v>
      </c>
      <c r="C63">
        <f>IF(COUNTIF($A$11:A63, A63) &gt; 1, 1, 0)</f>
        <v>0</v>
      </c>
      <c r="D63">
        <v>2017</v>
      </c>
      <c r="E63" t="s">
        <v>197</v>
      </c>
      <c r="F63" t="str">
        <f t="shared" si="16"/>
        <v>-</v>
      </c>
      <c r="G63" t="s">
        <v>10</v>
      </c>
      <c r="H63" t="s">
        <v>10</v>
      </c>
      <c r="I63">
        <f t="shared" si="13"/>
        <v>0</v>
      </c>
      <c r="J63">
        <f>SUMIF(A$2:A63,A63, O$2:O63)</f>
        <v>46</v>
      </c>
      <c r="K63">
        <f>SUMIF(A$2:A63, A63, P$2:P63)</f>
        <v>12</v>
      </c>
      <c r="L63">
        <f>SUMIF(A$2:A63, A63, Q$2:Q63)</f>
        <v>13</v>
      </c>
      <c r="M63">
        <f>SUMIF(A$2:A63, A63, R$2:R63)</f>
        <v>21</v>
      </c>
      <c r="N63">
        <f t="shared" si="5"/>
        <v>49</v>
      </c>
      <c r="O63">
        <f t="shared" si="14"/>
        <v>46</v>
      </c>
      <c r="P63">
        <v>12</v>
      </c>
      <c r="Q63">
        <v>13</v>
      </c>
      <c r="R63">
        <v>21</v>
      </c>
      <c r="S63">
        <f t="shared" si="15"/>
        <v>49</v>
      </c>
      <c r="T63">
        <v>2</v>
      </c>
      <c r="U63">
        <f t="shared" si="10"/>
        <v>4</v>
      </c>
      <c r="V63">
        <f t="shared" si="17"/>
        <v>4</v>
      </c>
      <c r="W63">
        <f t="shared" si="18"/>
        <v>0</v>
      </c>
      <c r="X63">
        <v>2</v>
      </c>
      <c r="Y63">
        <v>0</v>
      </c>
      <c r="Z63" t="b">
        <v>1</v>
      </c>
      <c r="AA63" t="s">
        <v>185</v>
      </c>
      <c r="AB63">
        <f>IFERROR(INDEX('List of Leagues'!E:E, MATCH(AA63, 'List of Leagues'!F:F, 0)), 0)</f>
        <v>75.400000000000006</v>
      </c>
      <c r="AC63" t="s">
        <v>184</v>
      </c>
      <c r="AD63">
        <f>IFERROR(INDEX('List of Leagues'!E:E, MATCH(AC63, 'List of Leagues'!F:F, 0)), 0)</f>
        <v>93.8</v>
      </c>
      <c r="AE63" t="s">
        <v>542</v>
      </c>
      <c r="AF63">
        <f>IFERROR(INDEX('List of Leagues'!E:E, MATCH(AE63, 'List of Leagues'!F:F, 0)), 0)</f>
        <v>90.3</v>
      </c>
      <c r="AG63" t="s">
        <v>178</v>
      </c>
      <c r="AH63">
        <f>IFERROR(INDEX('List of Leagues'!E:E, MATCH(AG63, 'List of Leagues'!F:F, 0)), 0)</f>
        <v>69.3</v>
      </c>
      <c r="AI63" t="s">
        <v>756</v>
      </c>
      <c r="AJ63">
        <f>IFERROR(INDEX('List of Leagues'!E:E, MATCH(AI63, 'List of Leagues'!F:F, 0)), 0)</f>
        <v>76.8</v>
      </c>
      <c r="AK63" t="s">
        <v>762</v>
      </c>
      <c r="AL63">
        <f>IFERROR(INDEX('List of Leagues'!E:E, MATCH(AK63, 'List of Leagues'!F:F, 0)), 0)</f>
        <v>0</v>
      </c>
      <c r="AM63" t="s">
        <v>762</v>
      </c>
      <c r="AN63">
        <f>IFERROR(INDEX('List of Leagues'!E:E, MATCH(AM63, 'List of Leagues'!F:F, 0)), 0)</f>
        <v>0</v>
      </c>
      <c r="AO63" t="s">
        <v>762</v>
      </c>
      <c r="AP63">
        <f>IFERROR(INDEX('List of Leagues'!E:E, MATCH(AO63, 'List of Leagues'!F:F, 0)), 0)</f>
        <v>0</v>
      </c>
      <c r="AQ63">
        <f t="shared" si="11"/>
        <v>50.7</v>
      </c>
      <c r="AR63" t="s">
        <v>178</v>
      </c>
      <c r="AS63">
        <f>IFERROR(INDEX('List of Leagues'!$E:$E, MATCH(AR63, 'List of Leagues'!$F:$F, 0)), 0)</f>
        <v>69.3</v>
      </c>
      <c r="AT63" t="s">
        <v>762</v>
      </c>
      <c r="AU63">
        <f>IFERROR(INDEX('List of Leagues'!$E:$E, MATCH(AT63, 'List of Leagues'!$F:$F, 0)), 0)</f>
        <v>0</v>
      </c>
      <c r="AV63" t="s">
        <v>762</v>
      </c>
      <c r="AW63">
        <f>IFERROR(INDEX('List of Leagues'!$E:$E, MATCH(AV63, 'List of Leagues'!$F:$F, 0)), 0)</f>
        <v>0</v>
      </c>
      <c r="AX63" t="s">
        <v>762</v>
      </c>
      <c r="AY63">
        <f>IFERROR(INDEX('List of Leagues'!$E:$E, MATCH(AX63, 'List of Leagues'!$F:$F, 0)), 0)</f>
        <v>0</v>
      </c>
      <c r="AZ63" t="s">
        <v>762</v>
      </c>
      <c r="BA63">
        <f>IFERROR(INDEX('List of Leagues'!$E:$E, MATCH(AZ63, 'List of Leagues'!$F:$F, 0)), 0)</f>
        <v>0</v>
      </c>
      <c r="BB63" t="s">
        <v>762</v>
      </c>
      <c r="BC63">
        <f>IFERROR(INDEX('List of Leagues'!$E:$E, MATCH(BB63, 'List of Leagues'!$F:$F, 0)), 0)</f>
        <v>0</v>
      </c>
      <c r="BD63">
        <f t="shared" si="12"/>
        <v>11.549999999999999</v>
      </c>
    </row>
    <row r="64" spans="1:56" x14ac:dyDescent="0.35">
      <c r="A64" t="s">
        <v>67</v>
      </c>
      <c r="B64">
        <v>0</v>
      </c>
      <c r="C64">
        <v>1</v>
      </c>
      <c r="D64">
        <v>2017</v>
      </c>
      <c r="E64" t="s">
        <v>74</v>
      </c>
      <c r="F64" t="s">
        <v>799</v>
      </c>
      <c r="G64" t="s">
        <v>10</v>
      </c>
      <c r="H64" t="s">
        <v>10</v>
      </c>
      <c r="I64">
        <v>0</v>
      </c>
      <c r="J64">
        <f>SUMIF(A$2:A64,A64, O$2:O64)</f>
        <v>275</v>
      </c>
      <c r="K64">
        <f>SUMIF(A$2:A64, A64, P$2:P64)</f>
        <v>98</v>
      </c>
      <c r="L64">
        <f>SUMIF(A$2:A64, A64, Q$2:Q64)</f>
        <v>67</v>
      </c>
      <c r="M64">
        <f>SUMIF(A$2:A64, A64, R$2:R64)</f>
        <v>110</v>
      </c>
      <c r="N64">
        <f t="shared" si="5"/>
        <v>361</v>
      </c>
      <c r="O64">
        <f t="shared" ref="O64" si="19">P64+Q64+R64</f>
        <v>225</v>
      </c>
      <c r="P64">
        <f>10+11+15+9+13+14+10</f>
        <v>82</v>
      </c>
      <c r="Q64">
        <f>6+3+8+7+10+6+11</f>
        <v>51</v>
      </c>
      <c r="R64">
        <f>13+14+11+5+11+20+18</f>
        <v>92</v>
      </c>
      <c r="S64">
        <f t="shared" ref="S64" si="20">P64*3 + Q64</f>
        <v>297</v>
      </c>
      <c r="T64">
        <v>7</v>
      </c>
      <c r="U64">
        <f t="shared" ref="U64:U65" si="21">X64+T64</f>
        <v>18</v>
      </c>
      <c r="V64">
        <f t="shared" ref="V64:V65" si="22">IF(F64="-", U64)</f>
        <v>18</v>
      </c>
      <c r="W64">
        <f t="shared" si="18"/>
        <v>4</v>
      </c>
      <c r="X64">
        <v>11</v>
      </c>
      <c r="Y64">
        <v>4</v>
      </c>
      <c r="Z64" t="b">
        <v>1</v>
      </c>
      <c r="AA64" t="s">
        <v>185</v>
      </c>
      <c r="AB64">
        <f>IFERROR(INDEX('List of Leagues'!E:E, MATCH(AA64, 'List of Leagues'!F:F, 0)), 0)</f>
        <v>75.400000000000006</v>
      </c>
      <c r="AC64" t="s">
        <v>538</v>
      </c>
      <c r="AD64">
        <f>IFERROR(INDEX('List of Leagues'!E:E, MATCH(AC64, 'List of Leagues'!F:F, 0)), 0)</f>
        <v>77.3</v>
      </c>
      <c r="AE64" t="s">
        <v>670</v>
      </c>
      <c r="AF64">
        <f>IFERROR(INDEX('List of Leagues'!E:E, MATCH(AE64, 'List of Leagues'!F:F, 0)), 0)</f>
        <v>62.4</v>
      </c>
      <c r="AG64" t="s">
        <v>762</v>
      </c>
      <c r="AH64">
        <f>IFERROR(INDEX('List of Leagues'!E:E, MATCH(AG64, 'List of Leagues'!F:F, 0)), 0)</f>
        <v>0</v>
      </c>
      <c r="AI64" t="s">
        <v>762</v>
      </c>
      <c r="AJ64">
        <f>IFERROR(INDEX('List of Leagues'!E:E, MATCH(AI64, 'List of Leagues'!F:F, 0)), 0)</f>
        <v>0</v>
      </c>
      <c r="AK64" t="s">
        <v>762</v>
      </c>
      <c r="AL64">
        <f>IFERROR(INDEX('List of Leagues'!E:E, MATCH(AK64, 'List of Leagues'!F:F, 0)), 0)</f>
        <v>0</v>
      </c>
      <c r="AM64" t="s">
        <v>762</v>
      </c>
      <c r="AN64">
        <f>IFERROR(INDEX('List of Leagues'!E:E, MATCH(AM64, 'List of Leagues'!F:F, 0)), 0)</f>
        <v>0</v>
      </c>
      <c r="AO64" t="s">
        <v>762</v>
      </c>
      <c r="AP64">
        <f>IFERROR(INDEX('List of Leagues'!E:E, MATCH(AO64, 'List of Leagues'!F:F, 0)), 0)</f>
        <v>0</v>
      </c>
      <c r="AQ64">
        <f t="shared" ref="AQ64" si="23">AVERAGE(AB64, AD64, AF64, AH64, AJ64, AL64, AN64, AP64)</f>
        <v>26.887499999999999</v>
      </c>
      <c r="AR64" t="s">
        <v>177</v>
      </c>
      <c r="AS64">
        <f>IFERROR(INDEX('List of Leagues'!$E:$E, MATCH(AR64, 'List of Leagues'!$F:$F, 0)), 0)</f>
        <v>0</v>
      </c>
      <c r="AT64" t="s">
        <v>762</v>
      </c>
      <c r="AU64">
        <f>IFERROR(INDEX('List of Leagues'!$E:$E, MATCH(AT64, 'List of Leagues'!$F:$F, 0)), 0)</f>
        <v>0</v>
      </c>
      <c r="AV64" t="s">
        <v>762</v>
      </c>
      <c r="AW64">
        <f>IFERROR(INDEX('List of Leagues'!$E:$E, MATCH(AV64, 'List of Leagues'!$F:$F, 0)), 0)</f>
        <v>0</v>
      </c>
      <c r="AX64" t="s">
        <v>762</v>
      </c>
      <c r="AY64">
        <f>IFERROR(INDEX('List of Leagues'!$E:$E, MATCH(AX64, 'List of Leagues'!$F:$F, 0)), 0)</f>
        <v>0</v>
      </c>
      <c r="AZ64" t="s">
        <v>762</v>
      </c>
      <c r="BA64">
        <f>IFERROR(INDEX('List of Leagues'!$E:$E, MATCH(AZ64, 'List of Leagues'!$F:$F, 0)), 0)</f>
        <v>0</v>
      </c>
      <c r="BB64" t="s">
        <v>762</v>
      </c>
      <c r="BC64">
        <f>IFERROR(INDEX('List of Leagues'!$E:$E, MATCH(BB64, 'List of Leagues'!$F:$F, 0)), 0)</f>
        <v>0</v>
      </c>
      <c r="BD64">
        <f t="shared" ref="BD64" si="24">AVERAGE(AS64, AU64, AW64, AY64, BA64, BC64)</f>
        <v>0</v>
      </c>
    </row>
    <row r="65" spans="1:56" x14ac:dyDescent="0.35">
      <c r="A65" t="s">
        <v>30</v>
      </c>
      <c r="B65">
        <v>0</v>
      </c>
      <c r="C65">
        <f>IF(COUNTIF($A$11:A65, A65) &gt; 1, 1, 0)</f>
        <v>1</v>
      </c>
      <c r="D65">
        <v>2017</v>
      </c>
      <c r="E65" t="s">
        <v>14</v>
      </c>
      <c r="F65" t="str">
        <f>IF(B65=0, "-", "")</f>
        <v>-</v>
      </c>
      <c r="G65" t="s">
        <v>10</v>
      </c>
      <c r="H65" t="s">
        <v>10</v>
      </c>
      <c r="I65">
        <f t="shared" ref="I65:I83" si="25">IF(H65="B", 1, 0)</f>
        <v>0</v>
      </c>
      <c r="J65">
        <f>SUMIF(A$2:A65,A65, O$2:O65)</f>
        <v>128</v>
      </c>
      <c r="K65">
        <f>SUMIF(A$2:A65, A65, P$2:P65)</f>
        <v>36</v>
      </c>
      <c r="L65">
        <f>SUMIF(A$2:A65, A65, Q$2:Q65)</f>
        <v>38</v>
      </c>
      <c r="M65">
        <f>SUMIF(A$2:A65, A65, R$2:R65)</f>
        <v>42</v>
      </c>
      <c r="N65">
        <f t="shared" si="5"/>
        <v>146</v>
      </c>
      <c r="O65">
        <f t="shared" ref="O65:O83" si="26">P65+Q65+R65</f>
        <v>20</v>
      </c>
      <c r="P65">
        <v>6</v>
      </c>
      <c r="Q65">
        <v>4</v>
      </c>
      <c r="R65">
        <v>10</v>
      </c>
      <c r="S65">
        <f t="shared" ref="S65:S83" si="27">P65*3 + Q65</f>
        <v>22</v>
      </c>
      <c r="T65">
        <v>1</v>
      </c>
      <c r="U65">
        <f t="shared" si="21"/>
        <v>8</v>
      </c>
      <c r="V65">
        <f t="shared" si="22"/>
        <v>8</v>
      </c>
      <c r="W65">
        <f t="shared" si="18"/>
        <v>14</v>
      </c>
      <c r="X65">
        <v>7</v>
      </c>
      <c r="Y65">
        <v>14</v>
      </c>
      <c r="Z65" t="b">
        <v>1</v>
      </c>
      <c r="AA65" t="s">
        <v>212</v>
      </c>
      <c r="AB65">
        <f>IFERROR(INDEX('List of Leagues'!E:E, MATCH(AA65, 'List of Leagues'!F:F, 0)), 0)</f>
        <v>0</v>
      </c>
      <c r="AC65" t="s">
        <v>763</v>
      </c>
      <c r="AD65">
        <f>IFERROR(INDEX('List of Leagues'!E:E, MATCH(AC65, 'List of Leagues'!F:F, 0)), 0)</f>
        <v>0</v>
      </c>
      <c r="AE65" t="s">
        <v>774</v>
      </c>
      <c r="AF65">
        <f>IFERROR(INDEX('List of Leagues'!E:E, MATCH(AE65, 'List of Leagues'!F:F, 0)), 0)</f>
        <v>0</v>
      </c>
      <c r="AG65" t="s">
        <v>656</v>
      </c>
      <c r="AH65">
        <f>IFERROR(INDEX('List of Leagues'!E:E, MATCH(AG65, 'List of Leagues'!F:F, 0)), 0)</f>
        <v>72.2</v>
      </c>
      <c r="AI65" t="s">
        <v>187</v>
      </c>
      <c r="AJ65">
        <f>IFERROR(INDEX('List of Leagues'!E:E, MATCH(AI65, 'List of Leagues'!F:F, 0)), 0)</f>
        <v>58.4</v>
      </c>
      <c r="AK65" t="s">
        <v>756</v>
      </c>
      <c r="AL65">
        <f>IFERROR(INDEX('List of Leagues'!E:E, MATCH(AK65, 'List of Leagues'!F:F, 0)), 0)</f>
        <v>76.8</v>
      </c>
      <c r="AM65" t="s">
        <v>762</v>
      </c>
      <c r="AN65">
        <f>IFERROR(INDEX('List of Leagues'!E:E, MATCH(AM65, 'List of Leagues'!F:F, 0)), 0)</f>
        <v>0</v>
      </c>
      <c r="AO65" t="s">
        <v>762</v>
      </c>
      <c r="AP65">
        <f>IFERROR(INDEX('List of Leagues'!E:E, MATCH(AO65, 'List of Leagues'!F:F, 0)), 0)</f>
        <v>0</v>
      </c>
      <c r="AQ65">
        <f t="shared" ref="AQ65:AQ83" si="28">AVERAGE(AB65, AD65, AF65, AH65, AJ65, AL65, AN65, AP65)</f>
        <v>25.924999999999997</v>
      </c>
      <c r="AR65" t="s">
        <v>177</v>
      </c>
      <c r="AS65">
        <f>IFERROR(INDEX('List of Leagues'!$E:$E, MATCH(AR65, 'List of Leagues'!$F:$F, 0)), 0)</f>
        <v>0</v>
      </c>
      <c r="AT65" t="s">
        <v>762</v>
      </c>
      <c r="AU65">
        <f>IFERROR(INDEX('List of Leagues'!$E:$E, MATCH(AT65, 'List of Leagues'!$F:$F, 0)), 0)</f>
        <v>0</v>
      </c>
      <c r="AV65" t="s">
        <v>762</v>
      </c>
      <c r="AW65">
        <f>IFERROR(INDEX('List of Leagues'!$E:$E, MATCH(AV65, 'List of Leagues'!$F:$F, 0)), 0)</f>
        <v>0</v>
      </c>
      <c r="AX65" t="s">
        <v>762</v>
      </c>
      <c r="AY65">
        <f>IFERROR(INDEX('List of Leagues'!$E:$E, MATCH(AX65, 'List of Leagues'!$F:$F, 0)), 0)</f>
        <v>0</v>
      </c>
      <c r="AZ65" t="s">
        <v>762</v>
      </c>
      <c r="BA65">
        <f>IFERROR(INDEX('List of Leagues'!$E:$E, MATCH(AZ65, 'List of Leagues'!$F:$F, 0)), 0)</f>
        <v>0</v>
      </c>
      <c r="BB65" t="s">
        <v>762</v>
      </c>
      <c r="BC65">
        <f>IFERROR(INDEX('List of Leagues'!$E:$E, MATCH(BB65, 'List of Leagues'!$F:$F, 0)), 0)</f>
        <v>0</v>
      </c>
      <c r="BD65">
        <f t="shared" ref="BD65:BD83" si="29">AVERAGE(AS65, AU65, AW65, AY65, BA65, BC65)</f>
        <v>0</v>
      </c>
    </row>
    <row r="66" spans="1:56" x14ac:dyDescent="0.35">
      <c r="A66" t="s">
        <v>71</v>
      </c>
      <c r="B66">
        <v>1</v>
      </c>
      <c r="C66">
        <f>IF(COUNTIF($A$11:A66, A66) &gt; 1, 1, 0)</f>
        <v>0</v>
      </c>
      <c r="D66">
        <v>2017</v>
      </c>
      <c r="E66" t="s">
        <v>72</v>
      </c>
      <c r="F66" t="s">
        <v>94</v>
      </c>
      <c r="G66" t="s">
        <v>10</v>
      </c>
      <c r="H66" t="s">
        <v>10</v>
      </c>
      <c r="I66">
        <f t="shared" si="25"/>
        <v>0</v>
      </c>
      <c r="J66">
        <f>SUMIF(A$2:A66,A66, O$2:O66)</f>
        <v>68</v>
      </c>
      <c r="K66">
        <f>SUMIF(A$2:A66, A66, P$2:P66)</f>
        <v>36</v>
      </c>
      <c r="L66">
        <f>SUMIF(A$2:A66, A66, Q$2:Q66)</f>
        <v>16</v>
      </c>
      <c r="M66">
        <f>SUMIF(A$2:A66, A66, R$2:R66)</f>
        <v>16</v>
      </c>
      <c r="N66">
        <f t="shared" si="5"/>
        <v>124</v>
      </c>
      <c r="O66">
        <f t="shared" si="26"/>
        <v>68</v>
      </c>
      <c r="P66">
        <f>15+21</f>
        <v>36</v>
      </c>
      <c r="Q66">
        <v>16</v>
      </c>
      <c r="R66">
        <f>9+7</f>
        <v>16</v>
      </c>
      <c r="S66">
        <f t="shared" si="27"/>
        <v>124</v>
      </c>
      <c r="T66">
        <v>3</v>
      </c>
      <c r="U66">
        <f t="shared" ref="U66:U83" si="30">X66+T66</f>
        <v>20</v>
      </c>
      <c r="V66">
        <v>23</v>
      </c>
      <c r="W66">
        <v>0</v>
      </c>
      <c r="X66">
        <v>17</v>
      </c>
      <c r="Y66">
        <v>0</v>
      </c>
      <c r="Z66" t="b">
        <v>1</v>
      </c>
      <c r="AA66" t="s">
        <v>532</v>
      </c>
      <c r="AB66">
        <f>IFERROR(INDEX('List of Leagues'!E:E, MATCH(AA66, 'List of Leagues'!F:F, 0)), 0)</f>
        <v>80.8</v>
      </c>
      <c r="AC66" t="s">
        <v>538</v>
      </c>
      <c r="AD66">
        <f>IFERROR(INDEX('List of Leagues'!E:E, MATCH(AC66, 'List of Leagues'!F:F, 0)), 0)</f>
        <v>77.3</v>
      </c>
      <c r="AE66" t="s">
        <v>545</v>
      </c>
      <c r="AF66">
        <f>IFERROR(INDEX('List of Leagues'!E:E, MATCH(AE66, 'List of Leagues'!F:F, 0)), 0)</f>
        <v>76.599999999999994</v>
      </c>
      <c r="AG66" t="s">
        <v>555</v>
      </c>
      <c r="AH66">
        <f>IFERROR(INDEX('List of Leagues'!E:E, MATCH(AG66, 'List of Leagues'!F:F, 0)), 0)</f>
        <v>71.400000000000006</v>
      </c>
      <c r="AI66" t="s">
        <v>762</v>
      </c>
      <c r="AJ66">
        <f>IFERROR(INDEX('List of Leagues'!E:E, MATCH(AI66, 'List of Leagues'!F:F, 0)), 0)</f>
        <v>0</v>
      </c>
      <c r="AK66" t="s">
        <v>762</v>
      </c>
      <c r="AL66">
        <f>IFERROR(INDEX('List of Leagues'!E:E, MATCH(AK66, 'List of Leagues'!F:F, 0)), 0)</f>
        <v>0</v>
      </c>
      <c r="AM66" t="s">
        <v>762</v>
      </c>
      <c r="AN66">
        <f>IFERROR(INDEX('List of Leagues'!E:E, MATCH(AM66, 'List of Leagues'!F:F, 0)), 0)</f>
        <v>0</v>
      </c>
      <c r="AO66" t="s">
        <v>762</v>
      </c>
      <c r="AP66">
        <f>IFERROR(INDEX('List of Leagues'!E:E, MATCH(AO66, 'List of Leagues'!F:F, 0)), 0)</f>
        <v>0</v>
      </c>
      <c r="AQ66">
        <f t="shared" si="28"/>
        <v>38.262500000000003</v>
      </c>
      <c r="AR66" t="s">
        <v>184</v>
      </c>
      <c r="AS66">
        <f>IFERROR(INDEX('List of Leagues'!$E:$E, MATCH(AR66, 'List of Leagues'!$F:$F, 0)), 0)</f>
        <v>93.8</v>
      </c>
      <c r="AT66" t="s">
        <v>762</v>
      </c>
      <c r="AU66">
        <f>IFERROR(INDEX('List of Leagues'!$E:$E, MATCH(AT66, 'List of Leagues'!$F:$F, 0)), 0)</f>
        <v>0</v>
      </c>
      <c r="AV66" t="s">
        <v>762</v>
      </c>
      <c r="AW66">
        <f>IFERROR(INDEX('List of Leagues'!$E:$E, MATCH(AV66, 'List of Leagues'!$F:$F, 0)), 0)</f>
        <v>0</v>
      </c>
      <c r="AX66" t="s">
        <v>762</v>
      </c>
      <c r="AY66">
        <f>IFERROR(INDEX('List of Leagues'!$E:$E, MATCH(AX66, 'List of Leagues'!$F:$F, 0)), 0)</f>
        <v>0</v>
      </c>
      <c r="AZ66" t="s">
        <v>762</v>
      </c>
      <c r="BA66">
        <f>IFERROR(INDEX('List of Leagues'!$E:$E, MATCH(AZ66, 'List of Leagues'!$F:$F, 0)), 0)</f>
        <v>0</v>
      </c>
      <c r="BB66" t="s">
        <v>762</v>
      </c>
      <c r="BC66">
        <f>IFERROR(INDEX('List of Leagues'!$E:$E, MATCH(BB66, 'List of Leagues'!$F:$F, 0)), 0)</f>
        <v>0</v>
      </c>
      <c r="BD66">
        <f t="shared" si="29"/>
        <v>15.633333333333333</v>
      </c>
    </row>
    <row r="67" spans="1:56" x14ac:dyDescent="0.35">
      <c r="A67" t="s">
        <v>77</v>
      </c>
      <c r="B67">
        <v>0</v>
      </c>
      <c r="C67">
        <f>IF(COUNTIF($A$11:A67, A67) &gt; 1, 1, 0)</f>
        <v>0</v>
      </c>
      <c r="D67">
        <v>2017</v>
      </c>
      <c r="E67" t="s">
        <v>19</v>
      </c>
      <c r="F67" t="str">
        <f>IF(B67=0, "-", "")</f>
        <v>-</v>
      </c>
      <c r="G67" t="s">
        <v>10</v>
      </c>
      <c r="H67" t="s">
        <v>10</v>
      </c>
      <c r="I67">
        <f t="shared" si="25"/>
        <v>0</v>
      </c>
      <c r="J67">
        <f>SUMIF(A$2:A67,A67, O$2:O67)</f>
        <v>28</v>
      </c>
      <c r="K67">
        <f>SUMIF(A$2:A67, A67, P$2:P67)</f>
        <v>4</v>
      </c>
      <c r="L67">
        <f>SUMIF(A$2:A67, A67, Q$2:Q67)</f>
        <v>8</v>
      </c>
      <c r="M67">
        <f>SUMIF(A$2:A67, A67, R$2:R67)</f>
        <v>16</v>
      </c>
      <c r="N67">
        <f t="shared" ref="N67:N105" si="31">K67*3+L67</f>
        <v>20</v>
      </c>
      <c r="O67">
        <f t="shared" si="26"/>
        <v>28</v>
      </c>
      <c r="P67">
        <v>4</v>
      </c>
      <c r="Q67">
        <v>8</v>
      </c>
      <c r="R67">
        <v>16</v>
      </c>
      <c r="S67">
        <f t="shared" si="27"/>
        <v>20</v>
      </c>
      <c r="T67">
        <v>1</v>
      </c>
      <c r="U67">
        <f t="shared" si="30"/>
        <v>11</v>
      </c>
      <c r="V67">
        <f>IF(F67="-", U67)</f>
        <v>11</v>
      </c>
      <c r="W67">
        <f>IF(F67="-", Y67)</f>
        <v>2</v>
      </c>
      <c r="X67">
        <v>10</v>
      </c>
      <c r="Y67">
        <v>2</v>
      </c>
      <c r="Z67" t="b">
        <v>0</v>
      </c>
      <c r="AA67" t="s">
        <v>179</v>
      </c>
      <c r="AB67">
        <f>IFERROR(INDEX('List of Leagues'!E:E, MATCH(AA67, 'List of Leagues'!F:F, 0)), 0)</f>
        <v>0</v>
      </c>
      <c r="AC67" t="s">
        <v>762</v>
      </c>
      <c r="AD67">
        <f>IFERROR(INDEX('List of Leagues'!E:E, MATCH(AC67, 'List of Leagues'!F:F, 0)), 0)</f>
        <v>0</v>
      </c>
      <c r="AE67" t="s">
        <v>762</v>
      </c>
      <c r="AF67">
        <f>IFERROR(INDEX('List of Leagues'!E:E, MATCH(AE67, 'List of Leagues'!F:F, 0)), 0)</f>
        <v>0</v>
      </c>
      <c r="AG67" t="s">
        <v>762</v>
      </c>
      <c r="AH67">
        <f>IFERROR(INDEX('List of Leagues'!E:E, MATCH(AG67, 'List of Leagues'!F:F, 0)), 0)</f>
        <v>0</v>
      </c>
      <c r="AI67" t="s">
        <v>762</v>
      </c>
      <c r="AJ67">
        <f>IFERROR(INDEX('List of Leagues'!E:E, MATCH(AI67, 'List of Leagues'!F:F, 0)), 0)</f>
        <v>0</v>
      </c>
      <c r="AK67" t="s">
        <v>762</v>
      </c>
      <c r="AL67">
        <f>IFERROR(INDEX('List of Leagues'!E:E, MATCH(AK67, 'List of Leagues'!F:F, 0)), 0)</f>
        <v>0</v>
      </c>
      <c r="AM67" t="s">
        <v>762</v>
      </c>
      <c r="AN67">
        <f>IFERROR(INDEX('List of Leagues'!E:E, MATCH(AM67, 'List of Leagues'!F:F, 0)), 0)</f>
        <v>0</v>
      </c>
      <c r="AO67" t="s">
        <v>762</v>
      </c>
      <c r="AP67">
        <f>IFERROR(INDEX('List of Leagues'!E:E, MATCH(AO67, 'List of Leagues'!F:F, 0)), 0)</f>
        <v>0</v>
      </c>
      <c r="AQ67">
        <f t="shared" si="28"/>
        <v>0</v>
      </c>
      <c r="AR67" t="s">
        <v>171</v>
      </c>
      <c r="AS67">
        <f>IFERROR(INDEX('List of Leagues'!$E:$E, MATCH(AR67, 'List of Leagues'!$F:$F, 0)), 0)</f>
        <v>0</v>
      </c>
      <c r="AT67" t="s">
        <v>772</v>
      </c>
      <c r="AU67">
        <f>IFERROR(INDEX('List of Leagues'!$E:$E, MATCH(AT67, 'List of Leagues'!$F:$F, 0)), 0)</f>
        <v>43.8</v>
      </c>
      <c r="AV67" t="s">
        <v>762</v>
      </c>
      <c r="AW67">
        <f>IFERROR(INDEX('List of Leagues'!$E:$E, MATCH(AV67, 'List of Leagues'!$F:$F, 0)), 0)</f>
        <v>0</v>
      </c>
      <c r="AX67" t="s">
        <v>762</v>
      </c>
      <c r="AY67">
        <f>IFERROR(INDEX('List of Leagues'!$E:$E, MATCH(AX67, 'List of Leagues'!$F:$F, 0)), 0)</f>
        <v>0</v>
      </c>
      <c r="AZ67" t="s">
        <v>762</v>
      </c>
      <c r="BA67">
        <f>IFERROR(INDEX('List of Leagues'!$E:$E, MATCH(AZ67, 'List of Leagues'!$F:$F, 0)), 0)</f>
        <v>0</v>
      </c>
      <c r="BB67" t="s">
        <v>762</v>
      </c>
      <c r="BC67">
        <f>IFERROR(INDEX('List of Leagues'!$E:$E, MATCH(BB67, 'List of Leagues'!$F:$F, 0)), 0)</f>
        <v>0</v>
      </c>
      <c r="BD67">
        <f t="shared" si="29"/>
        <v>7.3</v>
      </c>
    </row>
    <row r="68" spans="1:56" x14ac:dyDescent="0.35">
      <c r="A68" t="s">
        <v>52</v>
      </c>
      <c r="B68">
        <v>0</v>
      </c>
      <c r="C68">
        <f>IF(COUNTIF($A$11:A68, A68) &gt; 1, 1, 0)</f>
        <v>1</v>
      </c>
      <c r="D68">
        <v>2017</v>
      </c>
      <c r="E68" t="s">
        <v>60</v>
      </c>
      <c r="F68" t="str">
        <f>IF(B68=0, "-", "")</f>
        <v>-</v>
      </c>
      <c r="G68" t="s">
        <v>10</v>
      </c>
      <c r="H68" t="s">
        <v>10</v>
      </c>
      <c r="I68">
        <f t="shared" si="25"/>
        <v>0</v>
      </c>
      <c r="J68">
        <f>SUMIF(A$2:A68,A68, O$2:O68)</f>
        <v>153</v>
      </c>
      <c r="K68">
        <f>SUMIF(A$2:A68, A68, P$2:P68)</f>
        <v>66</v>
      </c>
      <c r="L68">
        <f>SUMIF(A$2:A68, A68, Q$2:Q68)</f>
        <v>33</v>
      </c>
      <c r="M68">
        <f>SUMIF(A$2:A68, A68, R$2:R68)</f>
        <v>54</v>
      </c>
      <c r="N68">
        <f t="shared" si="31"/>
        <v>231</v>
      </c>
      <c r="O68">
        <f t="shared" si="26"/>
        <v>85</v>
      </c>
      <c r="P68">
        <f>14+13+9</f>
        <v>36</v>
      </c>
      <c r="Q68">
        <f>7+7</f>
        <v>14</v>
      </c>
      <c r="R68">
        <f>13+13+9</f>
        <v>35</v>
      </c>
      <c r="S68">
        <f t="shared" si="27"/>
        <v>122</v>
      </c>
      <c r="T68">
        <v>3</v>
      </c>
      <c r="U68">
        <f t="shared" si="30"/>
        <v>5</v>
      </c>
      <c r="V68">
        <f>IF(F68="-", U68)</f>
        <v>5</v>
      </c>
      <c r="W68">
        <f>IF(F68="-", Y68)</f>
        <v>2</v>
      </c>
      <c r="X68">
        <v>2</v>
      </c>
      <c r="Y68">
        <v>2</v>
      </c>
      <c r="Z68" t="b">
        <v>1</v>
      </c>
      <c r="AA68" t="s">
        <v>178</v>
      </c>
      <c r="AB68">
        <f>IFERROR(INDEX('List of Leagues'!E:E, MATCH(AA68, 'List of Leagues'!F:F, 0)), 0)</f>
        <v>69.3</v>
      </c>
      <c r="AC68" t="s">
        <v>756</v>
      </c>
      <c r="AD68">
        <f>IFERROR(INDEX('List of Leagues'!E:E, MATCH(AC68, 'List of Leagues'!F:F, 0)), 0)</f>
        <v>76.8</v>
      </c>
      <c r="AE68" t="s">
        <v>762</v>
      </c>
      <c r="AF68">
        <f>IFERROR(INDEX('List of Leagues'!E:E, MATCH(AE68, 'List of Leagues'!F:F, 0)), 0)</f>
        <v>0</v>
      </c>
      <c r="AG68" t="s">
        <v>762</v>
      </c>
      <c r="AH68">
        <f>IFERROR(INDEX('List of Leagues'!E:E, MATCH(AG68, 'List of Leagues'!F:F, 0)), 0)</f>
        <v>0</v>
      </c>
      <c r="AI68" t="s">
        <v>762</v>
      </c>
      <c r="AJ68">
        <f>IFERROR(INDEX('List of Leagues'!E:E, MATCH(AI68, 'List of Leagues'!F:F, 0)), 0)</f>
        <v>0</v>
      </c>
      <c r="AK68" t="s">
        <v>762</v>
      </c>
      <c r="AL68">
        <f>IFERROR(INDEX('List of Leagues'!E:E, MATCH(AK68, 'List of Leagues'!F:F, 0)), 0)</f>
        <v>0</v>
      </c>
      <c r="AM68" t="s">
        <v>762</v>
      </c>
      <c r="AN68">
        <f>IFERROR(INDEX('List of Leagues'!E:E, MATCH(AM68, 'List of Leagues'!F:F, 0)), 0)</f>
        <v>0</v>
      </c>
      <c r="AO68" t="s">
        <v>762</v>
      </c>
      <c r="AP68">
        <f>IFERROR(INDEX('List of Leagues'!E:E, MATCH(AO68, 'List of Leagues'!F:F, 0)), 0)</f>
        <v>0</v>
      </c>
      <c r="AQ68">
        <f t="shared" si="28"/>
        <v>18.262499999999999</v>
      </c>
      <c r="AR68" t="s">
        <v>213</v>
      </c>
      <c r="AS68">
        <f>IFERROR(INDEX('List of Leagues'!$E:$E, MATCH(AR68, 'List of Leagues'!$F:$F, 0)), 0)</f>
        <v>0</v>
      </c>
      <c r="AT68" t="s">
        <v>762</v>
      </c>
      <c r="AU68">
        <f>IFERROR(INDEX('List of Leagues'!$E:$E, MATCH(AT68, 'List of Leagues'!$F:$F, 0)), 0)</f>
        <v>0</v>
      </c>
      <c r="AV68" t="s">
        <v>762</v>
      </c>
      <c r="AW68">
        <f>IFERROR(INDEX('List of Leagues'!$E:$E, MATCH(AV68, 'List of Leagues'!$F:$F, 0)), 0)</f>
        <v>0</v>
      </c>
      <c r="AX68" t="s">
        <v>762</v>
      </c>
      <c r="AY68">
        <f>IFERROR(INDEX('List of Leagues'!$E:$E, MATCH(AX68, 'List of Leagues'!$F:$F, 0)), 0)</f>
        <v>0</v>
      </c>
      <c r="AZ68" t="s">
        <v>762</v>
      </c>
      <c r="BA68">
        <f>IFERROR(INDEX('List of Leagues'!$E:$E, MATCH(AZ68, 'List of Leagues'!$F:$F, 0)), 0)</f>
        <v>0</v>
      </c>
      <c r="BB68" t="s">
        <v>762</v>
      </c>
      <c r="BC68">
        <f>IFERROR(INDEX('List of Leagues'!$E:$E, MATCH(BB68, 'List of Leagues'!$F:$F, 0)), 0)</f>
        <v>0</v>
      </c>
      <c r="BD68">
        <f t="shared" si="29"/>
        <v>0</v>
      </c>
    </row>
    <row r="69" spans="1:56" x14ac:dyDescent="0.35">
      <c r="A69" t="s">
        <v>25</v>
      </c>
      <c r="B69">
        <v>0</v>
      </c>
      <c r="C69">
        <f>IF(COUNTIF($A$11:A69, A69) &gt; 1, 1, 0)</f>
        <v>1</v>
      </c>
      <c r="D69">
        <v>2017</v>
      </c>
      <c r="E69" t="s">
        <v>14</v>
      </c>
      <c r="F69" t="str">
        <f>IF(B69=0, "-", "")</f>
        <v>-</v>
      </c>
      <c r="G69" t="s">
        <v>10</v>
      </c>
      <c r="H69" t="s">
        <v>10</v>
      </c>
      <c r="I69">
        <f t="shared" si="25"/>
        <v>0</v>
      </c>
      <c r="J69">
        <f>SUMIF(A$2:A69,A69, O$2:O69)</f>
        <v>561</v>
      </c>
      <c r="K69">
        <f>SUMIF(A$2:A69, A69, P$2:P69)</f>
        <v>242</v>
      </c>
      <c r="L69">
        <f>SUMIF(A$2:A69, A69, Q$2:Q69)</f>
        <v>134</v>
      </c>
      <c r="M69">
        <f>SUMIF(A$2:A69, A69, R$2:R69)</f>
        <v>185</v>
      </c>
      <c r="N69">
        <f t="shared" si="31"/>
        <v>860</v>
      </c>
      <c r="O69">
        <f t="shared" si="26"/>
        <v>48</v>
      </c>
      <c r="P69">
        <v>15</v>
      </c>
      <c r="Q69">
        <v>13</v>
      </c>
      <c r="R69">
        <v>20</v>
      </c>
      <c r="S69">
        <f t="shared" si="27"/>
        <v>58</v>
      </c>
      <c r="T69">
        <v>1</v>
      </c>
      <c r="U69">
        <f t="shared" si="30"/>
        <v>42</v>
      </c>
      <c r="V69">
        <f>IF(F69="-", U69)</f>
        <v>42</v>
      </c>
      <c r="W69">
        <f>IF(F69="-", Y69)</f>
        <v>11</v>
      </c>
      <c r="X69">
        <v>41</v>
      </c>
      <c r="Y69">
        <v>11</v>
      </c>
      <c r="Z69" t="b">
        <v>0</v>
      </c>
      <c r="AA69" t="s">
        <v>179</v>
      </c>
      <c r="AB69">
        <f>IFERROR(INDEX('List of Leagues'!E:E, MATCH(AA69, 'List of Leagues'!F:F, 0)), 0)</f>
        <v>0</v>
      </c>
      <c r="AC69" t="s">
        <v>762</v>
      </c>
      <c r="AD69">
        <f>IFERROR(INDEX('List of Leagues'!E:E, MATCH(AC69, 'List of Leagues'!F:F, 0)), 0)</f>
        <v>0</v>
      </c>
      <c r="AE69" t="s">
        <v>762</v>
      </c>
      <c r="AF69">
        <f>IFERROR(INDEX('List of Leagues'!E:E, MATCH(AE69, 'List of Leagues'!F:F, 0)), 0)</f>
        <v>0</v>
      </c>
      <c r="AG69" t="s">
        <v>762</v>
      </c>
      <c r="AH69">
        <f>IFERROR(INDEX('List of Leagues'!E:E, MATCH(AG69, 'List of Leagues'!F:F, 0)), 0)</f>
        <v>0</v>
      </c>
      <c r="AI69" t="s">
        <v>762</v>
      </c>
      <c r="AJ69">
        <f>IFERROR(INDEX('List of Leagues'!E:E, MATCH(AI69, 'List of Leagues'!F:F, 0)), 0)</f>
        <v>0</v>
      </c>
      <c r="AK69" t="s">
        <v>762</v>
      </c>
      <c r="AL69">
        <f>IFERROR(INDEX('List of Leagues'!E:E, MATCH(AK69, 'List of Leagues'!F:F, 0)), 0)</f>
        <v>0</v>
      </c>
      <c r="AM69" t="s">
        <v>762</v>
      </c>
      <c r="AN69">
        <f>IFERROR(INDEX('List of Leagues'!E:E, MATCH(AM69, 'List of Leagues'!F:F, 0)), 0)</f>
        <v>0</v>
      </c>
      <c r="AO69" t="s">
        <v>762</v>
      </c>
      <c r="AP69">
        <f>IFERROR(INDEX('List of Leagues'!E:E, MATCH(AO69, 'List of Leagues'!F:F, 0)), 0)</f>
        <v>0</v>
      </c>
      <c r="AQ69">
        <f t="shared" si="28"/>
        <v>0</v>
      </c>
      <c r="AR69" t="s">
        <v>201</v>
      </c>
      <c r="AS69">
        <f>IFERROR(INDEX('List of Leagues'!$E:$E, MATCH(AR69, 'List of Leagues'!$F:$F, 0)), 0)</f>
        <v>80</v>
      </c>
      <c r="AT69" t="s">
        <v>762</v>
      </c>
      <c r="AU69">
        <f>IFERROR(INDEX('List of Leagues'!$E:$E, MATCH(AT69, 'List of Leagues'!$F:$F, 0)), 0)</f>
        <v>0</v>
      </c>
      <c r="AV69" t="s">
        <v>762</v>
      </c>
      <c r="AW69">
        <f>IFERROR(INDEX('List of Leagues'!$E:$E, MATCH(AV69, 'List of Leagues'!$F:$F, 0)), 0)</f>
        <v>0</v>
      </c>
      <c r="AX69" t="s">
        <v>762</v>
      </c>
      <c r="AY69">
        <f>IFERROR(INDEX('List of Leagues'!$E:$E, MATCH(AX69, 'List of Leagues'!$F:$F, 0)), 0)</f>
        <v>0</v>
      </c>
      <c r="AZ69" t="s">
        <v>762</v>
      </c>
      <c r="BA69">
        <f>IFERROR(INDEX('List of Leagues'!$E:$E, MATCH(AZ69, 'List of Leagues'!$F:$F, 0)), 0)</f>
        <v>0</v>
      </c>
      <c r="BB69" t="s">
        <v>762</v>
      </c>
      <c r="BC69">
        <f>IFERROR(INDEX('List of Leagues'!$E:$E, MATCH(BB69, 'List of Leagues'!$F:$F, 0)), 0)</f>
        <v>0</v>
      </c>
      <c r="BD69">
        <f t="shared" si="29"/>
        <v>13.333333333333334</v>
      </c>
    </row>
    <row r="70" spans="1:56" x14ac:dyDescent="0.35">
      <c r="A70" t="s">
        <v>56</v>
      </c>
      <c r="B70">
        <v>0</v>
      </c>
      <c r="C70">
        <f>IF(COUNTIF($A$11:A70, A70) &gt; 1, 1, 0)</f>
        <v>1</v>
      </c>
      <c r="D70">
        <v>2017</v>
      </c>
      <c r="E70" t="s">
        <v>64</v>
      </c>
      <c r="F70" t="str">
        <f>IF(B70=0, "-", "")</f>
        <v>-</v>
      </c>
      <c r="G70" t="s">
        <v>6</v>
      </c>
      <c r="H70" t="s">
        <v>132</v>
      </c>
      <c r="I70">
        <f t="shared" si="25"/>
        <v>0</v>
      </c>
      <c r="J70">
        <f>SUMIF(A$2:A70,A70, O$2:O70)</f>
        <v>136</v>
      </c>
      <c r="K70">
        <f>SUMIF(A$2:A70, A70, P$2:P70)</f>
        <v>44</v>
      </c>
      <c r="L70">
        <f>SUMIF(A$2:A70, A70, Q$2:Q70)</f>
        <v>30</v>
      </c>
      <c r="M70">
        <f>SUMIF(A$2:A70, A70, R$2:R70)</f>
        <v>62</v>
      </c>
      <c r="N70">
        <f t="shared" si="31"/>
        <v>162</v>
      </c>
      <c r="O70">
        <f t="shared" si="26"/>
        <v>102</v>
      </c>
      <c r="P70">
        <v>35</v>
      </c>
      <c r="Q70">
        <v>23</v>
      </c>
      <c r="R70">
        <f>18+26</f>
        <v>44</v>
      </c>
      <c r="S70">
        <f t="shared" si="27"/>
        <v>128</v>
      </c>
      <c r="T70">
        <v>3</v>
      </c>
      <c r="U70">
        <f t="shared" si="30"/>
        <v>10</v>
      </c>
      <c r="V70">
        <f>IF(F70="-", U70)</f>
        <v>10</v>
      </c>
      <c r="W70">
        <f>IF(F70="-", Y70)</f>
        <v>4</v>
      </c>
      <c r="X70">
        <v>7</v>
      </c>
      <c r="Y70">
        <v>4</v>
      </c>
      <c r="Z70" t="b">
        <v>1</v>
      </c>
      <c r="AA70" t="s">
        <v>185</v>
      </c>
      <c r="AB70">
        <f>IFERROR(INDEX('List of Leagues'!E:E, MATCH(AA70, 'List of Leagues'!F:F, 0)), 0)</f>
        <v>75.400000000000006</v>
      </c>
      <c r="AC70" t="s">
        <v>184</v>
      </c>
      <c r="AD70">
        <f>IFERROR(INDEX('List of Leagues'!E:E, MATCH(AC70, 'List of Leagues'!F:F, 0)), 0)</f>
        <v>93.8</v>
      </c>
      <c r="AE70" t="s">
        <v>762</v>
      </c>
      <c r="AF70">
        <f>IFERROR(INDEX('List of Leagues'!E:E, MATCH(AE70, 'List of Leagues'!F:F, 0)), 0)</f>
        <v>0</v>
      </c>
      <c r="AG70" t="s">
        <v>756</v>
      </c>
      <c r="AH70">
        <f>IFERROR(INDEX('List of Leagues'!E:E, MATCH(AG70, 'List of Leagues'!F:F, 0)), 0)</f>
        <v>76.8</v>
      </c>
      <c r="AI70" t="s">
        <v>762</v>
      </c>
      <c r="AJ70">
        <f>IFERROR(INDEX('List of Leagues'!E:E, MATCH(AI70, 'List of Leagues'!F:F, 0)), 0)</f>
        <v>0</v>
      </c>
      <c r="AK70" t="s">
        <v>762</v>
      </c>
      <c r="AL70">
        <f>IFERROR(INDEX('List of Leagues'!E:E, MATCH(AK70, 'List of Leagues'!F:F, 0)), 0)</f>
        <v>0</v>
      </c>
      <c r="AM70" t="s">
        <v>762</v>
      </c>
      <c r="AN70">
        <f>IFERROR(INDEX('List of Leagues'!E:E, MATCH(AM70, 'List of Leagues'!F:F, 0)), 0)</f>
        <v>0</v>
      </c>
      <c r="AO70" t="s">
        <v>762</v>
      </c>
      <c r="AP70">
        <f>IFERROR(INDEX('List of Leagues'!E:E, MATCH(AO70, 'List of Leagues'!F:F, 0)), 0)</f>
        <v>0</v>
      </c>
      <c r="AQ70">
        <f t="shared" si="28"/>
        <v>30.75</v>
      </c>
      <c r="AR70" t="s">
        <v>177</v>
      </c>
      <c r="AS70">
        <f>IFERROR(INDEX('List of Leagues'!$E:$E, MATCH(AR70, 'List of Leagues'!$F:$F, 0)), 0)</f>
        <v>0</v>
      </c>
      <c r="AT70" t="s">
        <v>762</v>
      </c>
      <c r="AU70">
        <f>IFERROR(INDEX('List of Leagues'!$E:$E, MATCH(AT70, 'List of Leagues'!$F:$F, 0)), 0)</f>
        <v>0</v>
      </c>
      <c r="AV70" t="s">
        <v>762</v>
      </c>
      <c r="AW70">
        <f>IFERROR(INDEX('List of Leagues'!$E:$E, MATCH(AV70, 'List of Leagues'!$F:$F, 0)), 0)</f>
        <v>0</v>
      </c>
      <c r="AX70" t="s">
        <v>762</v>
      </c>
      <c r="AY70">
        <f>IFERROR(INDEX('List of Leagues'!$E:$E, MATCH(AX70, 'List of Leagues'!$F:$F, 0)), 0)</f>
        <v>0</v>
      </c>
      <c r="AZ70" t="s">
        <v>762</v>
      </c>
      <c r="BA70">
        <f>IFERROR(INDEX('List of Leagues'!$E:$E, MATCH(AZ70, 'List of Leagues'!$F:$F, 0)), 0)</f>
        <v>0</v>
      </c>
      <c r="BB70" t="s">
        <v>762</v>
      </c>
      <c r="BC70">
        <f>IFERROR(INDEX('List of Leagues'!$E:$E, MATCH(BB70, 'List of Leagues'!$F:$F, 0)), 0)</f>
        <v>0</v>
      </c>
      <c r="BD70">
        <f t="shared" si="29"/>
        <v>0</v>
      </c>
    </row>
    <row r="71" spans="1:56" x14ac:dyDescent="0.35">
      <c r="A71" t="s">
        <v>73</v>
      </c>
      <c r="B71">
        <v>0</v>
      </c>
      <c r="C71">
        <f>IF(COUNTIF($A$11:A71, A71) &gt; 1, 1, 0)</f>
        <v>0</v>
      </c>
      <c r="D71">
        <v>2018</v>
      </c>
      <c r="E71" t="s">
        <v>9</v>
      </c>
      <c r="F71" t="str">
        <f>IF(B71=0, "-", "")</f>
        <v>-</v>
      </c>
      <c r="G71" t="s">
        <v>10</v>
      </c>
      <c r="H71" t="s">
        <v>10</v>
      </c>
      <c r="I71">
        <f t="shared" si="25"/>
        <v>0</v>
      </c>
      <c r="J71">
        <f>SUMIF(A$2:A71,A71, O$2:O71)</f>
        <v>43</v>
      </c>
      <c r="K71">
        <f>SUMIF(A$2:A71, A71, P$2:P71)</f>
        <v>8</v>
      </c>
      <c r="L71">
        <f>SUMIF(A$2:A71, A71, Q$2:Q71)</f>
        <v>9</v>
      </c>
      <c r="M71">
        <f>SUMIF(A$2:A71, A71, R$2:R71)</f>
        <v>26</v>
      </c>
      <c r="N71">
        <f t="shared" si="31"/>
        <v>33</v>
      </c>
      <c r="O71">
        <f t="shared" si="26"/>
        <v>43</v>
      </c>
      <c r="P71">
        <v>8</v>
      </c>
      <c r="Q71">
        <v>9</v>
      </c>
      <c r="R71">
        <v>26</v>
      </c>
      <c r="S71">
        <f t="shared" si="27"/>
        <v>33</v>
      </c>
      <c r="T71">
        <v>2</v>
      </c>
      <c r="U71">
        <f t="shared" si="30"/>
        <v>11</v>
      </c>
      <c r="V71">
        <f>IF(F71="-", U71)</f>
        <v>11</v>
      </c>
      <c r="W71">
        <f>IF(F71="-", Y71)</f>
        <v>3</v>
      </c>
      <c r="X71">
        <v>9</v>
      </c>
      <c r="Y71">
        <v>3</v>
      </c>
      <c r="Z71" t="b">
        <v>1</v>
      </c>
      <c r="AA71" t="s">
        <v>552</v>
      </c>
      <c r="AB71">
        <f>IFERROR(INDEX('List of Leagues'!E:E, MATCH(AA71, 'List of Leagues'!F:F, 0)), 0)</f>
        <v>58.4</v>
      </c>
      <c r="AC71" t="s">
        <v>197</v>
      </c>
      <c r="AD71">
        <f>IFERROR(INDEX('List of Leagues'!E:E, MATCH(AC71, 'List of Leagues'!F:F, 0)), 0)</f>
        <v>78.400000000000006</v>
      </c>
      <c r="AE71" t="s">
        <v>756</v>
      </c>
      <c r="AF71">
        <f>IFERROR(INDEX('List of Leagues'!E:E, MATCH(AE71, 'List of Leagues'!F:F, 0)), 0)</f>
        <v>76.8</v>
      </c>
      <c r="AG71" t="s">
        <v>762</v>
      </c>
      <c r="AH71">
        <f>IFERROR(INDEX('List of Leagues'!E:E, MATCH(AG71, 'List of Leagues'!F:F, 0)), 0)</f>
        <v>0</v>
      </c>
      <c r="AI71" t="s">
        <v>762</v>
      </c>
      <c r="AJ71">
        <f>IFERROR(INDEX('List of Leagues'!E:E, MATCH(AI71, 'List of Leagues'!F:F, 0)), 0)</f>
        <v>0</v>
      </c>
      <c r="AK71" t="s">
        <v>762</v>
      </c>
      <c r="AL71">
        <f>IFERROR(INDEX('List of Leagues'!E:E, MATCH(AK71, 'List of Leagues'!F:F, 0)), 0)</f>
        <v>0</v>
      </c>
      <c r="AM71" t="s">
        <v>762</v>
      </c>
      <c r="AN71">
        <f>IFERROR(INDEX('List of Leagues'!E:E, MATCH(AM71, 'List of Leagues'!F:F, 0)), 0)</f>
        <v>0</v>
      </c>
      <c r="AO71" t="s">
        <v>762</v>
      </c>
      <c r="AP71">
        <f>IFERROR(INDEX('List of Leagues'!E:E, MATCH(AO71, 'List of Leagues'!F:F, 0)), 0)</f>
        <v>0</v>
      </c>
      <c r="AQ71">
        <f t="shared" si="28"/>
        <v>26.700000000000003</v>
      </c>
      <c r="AR71" t="s">
        <v>536</v>
      </c>
      <c r="AS71">
        <f>IFERROR(INDEX('List of Leagues'!$E:$E, MATCH(AR71, 'List of Leagues'!$F:$F, 0)), 0)</f>
        <v>78.099999999999994</v>
      </c>
      <c r="AT71" t="s">
        <v>178</v>
      </c>
      <c r="AU71">
        <f>IFERROR(INDEX('List of Leagues'!$E:$E, MATCH(AT71, 'List of Leagues'!$F:$F, 0)), 0)</f>
        <v>69.3</v>
      </c>
      <c r="AV71" t="s">
        <v>762</v>
      </c>
      <c r="AW71">
        <f>IFERROR(INDEX('List of Leagues'!$E:$E, MATCH(AV71, 'List of Leagues'!$F:$F, 0)), 0)</f>
        <v>0</v>
      </c>
      <c r="AX71" t="s">
        <v>762</v>
      </c>
      <c r="AY71">
        <f>IFERROR(INDEX('List of Leagues'!$E:$E, MATCH(AX71, 'List of Leagues'!$F:$F, 0)), 0)</f>
        <v>0</v>
      </c>
      <c r="AZ71" t="s">
        <v>762</v>
      </c>
      <c r="BA71">
        <f>IFERROR(INDEX('List of Leagues'!$E:$E, MATCH(AZ71, 'List of Leagues'!$F:$F, 0)), 0)</f>
        <v>0</v>
      </c>
      <c r="BB71" t="s">
        <v>762</v>
      </c>
      <c r="BC71">
        <f>IFERROR(INDEX('List of Leagues'!$E:$E, MATCH(BB71, 'List of Leagues'!$F:$F, 0)), 0)</f>
        <v>0</v>
      </c>
      <c r="BD71">
        <f t="shared" si="29"/>
        <v>24.566666666666663</v>
      </c>
    </row>
    <row r="72" spans="1:56" x14ac:dyDescent="0.35">
      <c r="A72" t="s">
        <v>78</v>
      </c>
      <c r="B72">
        <v>1</v>
      </c>
      <c r="C72">
        <v>1</v>
      </c>
      <c r="D72">
        <v>2018</v>
      </c>
      <c r="E72" t="s">
        <v>79</v>
      </c>
      <c r="F72" t="s">
        <v>21</v>
      </c>
      <c r="G72" t="s">
        <v>10</v>
      </c>
      <c r="H72" t="s">
        <v>10</v>
      </c>
      <c r="I72">
        <f t="shared" si="25"/>
        <v>0</v>
      </c>
      <c r="J72">
        <f>SUMIF(A$2:A72,A72, O$2:O72)</f>
        <v>421</v>
      </c>
      <c r="K72">
        <f>SUMIF(A$2:A72, A72, P$2:P72)</f>
        <v>183</v>
      </c>
      <c r="L72">
        <f>SUMIF(A$2:A72, A72, Q$2:Q72)</f>
        <v>106</v>
      </c>
      <c r="M72">
        <f>SUMIF(A$2:A72, A72, R$2:R72)</f>
        <v>132</v>
      </c>
      <c r="N72">
        <f t="shared" si="31"/>
        <v>655</v>
      </c>
      <c r="O72">
        <f t="shared" si="26"/>
        <v>124</v>
      </c>
      <c r="P72">
        <f>16+21+9+12</f>
        <v>58</v>
      </c>
      <c r="Q72">
        <f>9+9+5+9</f>
        <v>32</v>
      </c>
      <c r="R72">
        <f>13+8+4+9</f>
        <v>34</v>
      </c>
      <c r="S72">
        <f t="shared" si="27"/>
        <v>206</v>
      </c>
      <c r="T72">
        <v>4</v>
      </c>
      <c r="U72">
        <f t="shared" si="30"/>
        <v>21</v>
      </c>
      <c r="V72">
        <v>16</v>
      </c>
      <c r="W72">
        <v>4</v>
      </c>
      <c r="X72">
        <v>17</v>
      </c>
      <c r="Y72">
        <v>4</v>
      </c>
      <c r="Z72" t="b">
        <v>0</v>
      </c>
      <c r="AA72" t="s">
        <v>179</v>
      </c>
      <c r="AB72">
        <f>IFERROR(INDEX('List of Leagues'!E:E, MATCH(AA72, 'List of Leagues'!F:F, 0)), 0)</f>
        <v>0</v>
      </c>
      <c r="AC72" t="s">
        <v>762</v>
      </c>
      <c r="AD72">
        <f>IFERROR(INDEX('List of Leagues'!E:E, MATCH(AC72, 'List of Leagues'!F:F, 0)), 0)</f>
        <v>0</v>
      </c>
      <c r="AE72" t="s">
        <v>762</v>
      </c>
      <c r="AF72">
        <f>IFERROR(INDEX('List of Leagues'!E:E, MATCH(AE72, 'List of Leagues'!F:F, 0)), 0)</f>
        <v>0</v>
      </c>
      <c r="AG72" t="s">
        <v>762</v>
      </c>
      <c r="AH72">
        <f>IFERROR(INDEX('List of Leagues'!E:E, MATCH(AG72, 'List of Leagues'!F:F, 0)), 0)</f>
        <v>0</v>
      </c>
      <c r="AI72" t="s">
        <v>762</v>
      </c>
      <c r="AJ72">
        <f>IFERROR(INDEX('List of Leagues'!E:E, MATCH(AI72, 'List of Leagues'!F:F, 0)), 0)</f>
        <v>0</v>
      </c>
      <c r="AK72" t="s">
        <v>762</v>
      </c>
      <c r="AL72">
        <f>IFERROR(INDEX('List of Leagues'!E:E, MATCH(AK72, 'List of Leagues'!F:F, 0)), 0)</f>
        <v>0</v>
      </c>
      <c r="AM72" t="s">
        <v>762</v>
      </c>
      <c r="AN72">
        <f>IFERROR(INDEX('List of Leagues'!E:E, MATCH(AM72, 'List of Leagues'!F:F, 0)), 0)</f>
        <v>0</v>
      </c>
      <c r="AO72" t="s">
        <v>762</v>
      </c>
      <c r="AP72">
        <f>IFERROR(INDEX('List of Leagues'!E:E, MATCH(AO72, 'List of Leagues'!F:F, 0)), 0)</f>
        <v>0</v>
      </c>
      <c r="AQ72">
        <f t="shared" si="28"/>
        <v>0</v>
      </c>
      <c r="AR72" t="s">
        <v>177</v>
      </c>
      <c r="AS72">
        <f>IFERROR(INDEX('List of Leagues'!$E:$E, MATCH(AR72, 'List of Leagues'!$F:$F, 0)), 0)</f>
        <v>0</v>
      </c>
      <c r="AT72" t="s">
        <v>762</v>
      </c>
      <c r="AU72">
        <f>IFERROR(INDEX('List of Leagues'!$E:$E, MATCH(AT72, 'List of Leagues'!$F:$F, 0)), 0)</f>
        <v>0</v>
      </c>
      <c r="AV72" t="s">
        <v>762</v>
      </c>
      <c r="AW72">
        <f>IFERROR(INDEX('List of Leagues'!$E:$E, MATCH(AV72, 'List of Leagues'!$F:$F, 0)), 0)</f>
        <v>0</v>
      </c>
      <c r="AX72" t="s">
        <v>762</v>
      </c>
      <c r="AY72">
        <f>IFERROR(INDEX('List of Leagues'!$E:$E, MATCH(AX72, 'List of Leagues'!$F:$F, 0)), 0)</f>
        <v>0</v>
      </c>
      <c r="AZ72" t="s">
        <v>762</v>
      </c>
      <c r="BA72">
        <f>IFERROR(INDEX('List of Leagues'!$E:$E, MATCH(AZ72, 'List of Leagues'!$F:$F, 0)), 0)</f>
        <v>0</v>
      </c>
      <c r="BB72" t="s">
        <v>762</v>
      </c>
      <c r="BC72">
        <f>IFERROR(INDEX('List of Leagues'!$E:$E, MATCH(BB72, 'List of Leagues'!$F:$F, 0)), 0)</f>
        <v>0</v>
      </c>
      <c r="BD72">
        <f t="shared" si="29"/>
        <v>0</v>
      </c>
    </row>
    <row r="73" spans="1:56" x14ac:dyDescent="0.35">
      <c r="A73" t="s">
        <v>81</v>
      </c>
      <c r="B73">
        <v>1</v>
      </c>
      <c r="C73">
        <f>IF(COUNTIF($A$11:A73, A73) &gt; 1, 1, 0)</f>
        <v>0</v>
      </c>
      <c r="D73">
        <v>2018</v>
      </c>
      <c r="E73" t="s">
        <v>17</v>
      </c>
      <c r="F73" t="s">
        <v>21</v>
      </c>
      <c r="G73" t="s">
        <v>6</v>
      </c>
      <c r="H73" t="s">
        <v>132</v>
      </c>
      <c r="I73">
        <f t="shared" si="25"/>
        <v>0</v>
      </c>
      <c r="J73">
        <f>SUMIF(A$2:A73,A73, O$2:O73)</f>
        <v>71</v>
      </c>
      <c r="K73">
        <f>SUMIF(A$2:A73, A73, P$2:P73)</f>
        <v>33</v>
      </c>
      <c r="L73">
        <f>SUMIF(A$2:A73, A73, Q$2:Q73)</f>
        <v>11</v>
      </c>
      <c r="M73">
        <f>SUMIF(A$2:A73, A73, R$2:R73)</f>
        <v>27</v>
      </c>
      <c r="N73">
        <f t="shared" si="31"/>
        <v>110</v>
      </c>
      <c r="O73">
        <f t="shared" si="26"/>
        <v>71</v>
      </c>
      <c r="P73">
        <v>33</v>
      </c>
      <c r="Q73">
        <v>11</v>
      </c>
      <c r="R73">
        <v>27</v>
      </c>
      <c r="S73">
        <f t="shared" si="27"/>
        <v>110</v>
      </c>
      <c r="T73">
        <v>3</v>
      </c>
      <c r="U73">
        <f t="shared" si="30"/>
        <v>7</v>
      </c>
      <c r="V73">
        <v>7</v>
      </c>
      <c r="W73">
        <v>4</v>
      </c>
      <c r="X73">
        <v>4</v>
      </c>
      <c r="Y73">
        <v>4</v>
      </c>
      <c r="Z73" t="b">
        <v>1</v>
      </c>
      <c r="AA73" t="s">
        <v>187</v>
      </c>
      <c r="AB73">
        <f>IFERROR(INDEX('List of Leagues'!E:E, MATCH(AA73, 'List of Leagues'!F:F, 0)), 0)</f>
        <v>58.4</v>
      </c>
      <c r="AC73" t="s">
        <v>178</v>
      </c>
      <c r="AD73">
        <f>IFERROR(INDEX('List of Leagues'!E:E, MATCH(AC73, 'List of Leagues'!F:F, 0)), 0)</f>
        <v>69.3</v>
      </c>
      <c r="AE73" t="s">
        <v>756</v>
      </c>
      <c r="AF73">
        <f>IFERROR(INDEX('List of Leagues'!E:E, MATCH(AE73, 'List of Leagues'!F:F, 0)), 0)</f>
        <v>76.8</v>
      </c>
      <c r="AG73" t="s">
        <v>762</v>
      </c>
      <c r="AH73">
        <f>IFERROR(INDEX('List of Leagues'!E:E, MATCH(AG73, 'List of Leagues'!F:F, 0)), 0)</f>
        <v>0</v>
      </c>
      <c r="AI73" t="s">
        <v>762</v>
      </c>
      <c r="AJ73">
        <f>IFERROR(INDEX('List of Leagues'!E:E, MATCH(AI73, 'List of Leagues'!F:F, 0)), 0)</f>
        <v>0</v>
      </c>
      <c r="AK73" t="s">
        <v>762</v>
      </c>
      <c r="AL73">
        <f>IFERROR(INDEX('List of Leagues'!E:E, MATCH(AK73, 'List of Leagues'!F:F, 0)), 0)</f>
        <v>0</v>
      </c>
      <c r="AM73" t="s">
        <v>762</v>
      </c>
      <c r="AN73">
        <f>IFERROR(INDEX('List of Leagues'!E:E, MATCH(AM73, 'List of Leagues'!F:F, 0)), 0)</f>
        <v>0</v>
      </c>
      <c r="AO73" t="s">
        <v>762</v>
      </c>
      <c r="AP73">
        <f>IFERROR(INDEX('List of Leagues'!E:E, MATCH(AO73, 'List of Leagues'!F:F, 0)), 0)</f>
        <v>0</v>
      </c>
      <c r="AQ73">
        <f t="shared" si="28"/>
        <v>25.5625</v>
      </c>
      <c r="AR73" t="s">
        <v>178</v>
      </c>
      <c r="AS73">
        <f>IFERROR(INDEX('List of Leagues'!$E:$E, MATCH(AR73, 'List of Leagues'!$F:$F, 0)), 0)</f>
        <v>69.3</v>
      </c>
      <c r="AT73" t="s">
        <v>762</v>
      </c>
      <c r="AU73">
        <f>IFERROR(INDEX('List of Leagues'!$E:$E, MATCH(AT73, 'List of Leagues'!$F:$F, 0)), 0)</f>
        <v>0</v>
      </c>
      <c r="AV73" t="s">
        <v>762</v>
      </c>
      <c r="AW73">
        <f>IFERROR(INDEX('List of Leagues'!$E:$E, MATCH(AV73, 'List of Leagues'!$F:$F, 0)), 0)</f>
        <v>0</v>
      </c>
      <c r="AX73" t="s">
        <v>762</v>
      </c>
      <c r="AY73">
        <f>IFERROR(INDEX('List of Leagues'!$E:$E, MATCH(AX73, 'List of Leagues'!$F:$F, 0)), 0)</f>
        <v>0</v>
      </c>
      <c r="AZ73" t="s">
        <v>762</v>
      </c>
      <c r="BA73">
        <f>IFERROR(INDEX('List of Leagues'!$E:$E, MATCH(AZ73, 'List of Leagues'!$F:$F, 0)), 0)</f>
        <v>0</v>
      </c>
      <c r="BB73" t="s">
        <v>762</v>
      </c>
      <c r="BC73">
        <f>IFERROR(INDEX('List of Leagues'!$E:$E, MATCH(BB73, 'List of Leagues'!$F:$F, 0)), 0)</f>
        <v>0</v>
      </c>
      <c r="BD73">
        <f t="shared" si="29"/>
        <v>11.549999999999999</v>
      </c>
    </row>
    <row r="74" spans="1:56" x14ac:dyDescent="0.35">
      <c r="A74" t="s">
        <v>80</v>
      </c>
      <c r="B74">
        <v>0</v>
      </c>
      <c r="C74">
        <f>IF(COUNTIF($A$11:A74, A74) &gt; 1, 1, 0)</f>
        <v>0</v>
      </c>
      <c r="D74">
        <v>2018</v>
      </c>
      <c r="E74" t="s">
        <v>195</v>
      </c>
      <c r="F74" t="str">
        <f t="shared" ref="F74:F82" si="32">IF(B74=0, "-", "")</f>
        <v>-</v>
      </c>
      <c r="G74" t="s">
        <v>10</v>
      </c>
      <c r="H74" t="s">
        <v>10</v>
      </c>
      <c r="I74">
        <f t="shared" si="25"/>
        <v>0</v>
      </c>
      <c r="J74">
        <f>SUMIF(A$2:A74,A74, O$2:O74)</f>
        <v>53</v>
      </c>
      <c r="K74">
        <f>SUMIF(A$2:A74, A74, P$2:P74)</f>
        <v>26</v>
      </c>
      <c r="L74">
        <f>SUMIF(A$2:A74, A74, Q$2:Q74)</f>
        <v>14</v>
      </c>
      <c r="M74">
        <f>SUMIF(A$2:A74, A74, R$2:R74)</f>
        <v>13</v>
      </c>
      <c r="N74">
        <f t="shared" si="31"/>
        <v>92</v>
      </c>
      <c r="O74">
        <f t="shared" si="26"/>
        <v>53</v>
      </c>
      <c r="P74">
        <v>26</v>
      </c>
      <c r="Q74">
        <v>14</v>
      </c>
      <c r="R74">
        <v>13</v>
      </c>
      <c r="S74">
        <f t="shared" si="27"/>
        <v>92</v>
      </c>
      <c r="T74">
        <v>1</v>
      </c>
      <c r="U74">
        <f t="shared" si="30"/>
        <v>16</v>
      </c>
      <c r="V74">
        <f t="shared" ref="V74:V82" si="33">IF(F74="-", U74)</f>
        <v>16</v>
      </c>
      <c r="W74">
        <f t="shared" ref="W74:W82" si="34">IF(F74="-", Y74)</f>
        <v>11</v>
      </c>
      <c r="X74">
        <v>15</v>
      </c>
      <c r="Y74">
        <v>11</v>
      </c>
      <c r="Z74" t="b">
        <v>1</v>
      </c>
      <c r="AA74" t="s">
        <v>217</v>
      </c>
      <c r="AB74">
        <f>IFERROR(INDEX('List of Leagues'!E:E, MATCH(AA74, 'List of Leagues'!F:F, 0)), 0)</f>
        <v>0</v>
      </c>
      <c r="AC74" t="s">
        <v>762</v>
      </c>
      <c r="AD74">
        <f>IFERROR(INDEX('List of Leagues'!E:E, MATCH(AC74, 'List of Leagues'!F:F, 0)), 0)</f>
        <v>0</v>
      </c>
      <c r="AE74" t="s">
        <v>750</v>
      </c>
      <c r="AF74">
        <f>IFERROR(INDEX('List of Leagues'!E:E, MATCH(AE74, 'List of Leagues'!F:F, 0)), 0)</f>
        <v>0</v>
      </c>
      <c r="AG74" t="s">
        <v>762</v>
      </c>
      <c r="AH74">
        <f>IFERROR(INDEX('List of Leagues'!E:E, MATCH(AG74, 'List of Leagues'!F:F, 0)), 0)</f>
        <v>0</v>
      </c>
      <c r="AI74" t="s">
        <v>762</v>
      </c>
      <c r="AJ74">
        <f>IFERROR(INDEX('List of Leagues'!E:E, MATCH(AI74, 'List of Leagues'!F:F, 0)), 0)</f>
        <v>0</v>
      </c>
      <c r="AK74" t="s">
        <v>762</v>
      </c>
      <c r="AL74">
        <f>IFERROR(INDEX('List of Leagues'!E:E, MATCH(AK74, 'List of Leagues'!F:F, 0)), 0)</f>
        <v>0</v>
      </c>
      <c r="AM74" t="s">
        <v>762</v>
      </c>
      <c r="AN74">
        <f>IFERROR(INDEX('List of Leagues'!E:E, MATCH(AM74, 'List of Leagues'!F:F, 0)), 0)</f>
        <v>0</v>
      </c>
      <c r="AO74" t="s">
        <v>762</v>
      </c>
      <c r="AP74">
        <f>IFERROR(INDEX('List of Leagues'!E:E, MATCH(AO74, 'List of Leagues'!F:F, 0)), 0)</f>
        <v>0</v>
      </c>
      <c r="AQ74">
        <f t="shared" si="28"/>
        <v>0</v>
      </c>
      <c r="AR74" t="s">
        <v>757</v>
      </c>
      <c r="AS74">
        <f>IFERROR(INDEX('List of Leagues'!$E:$E, MATCH(AR74, 'List of Leagues'!$F:$F, 0)), 0)</f>
        <v>0</v>
      </c>
      <c r="AT74" t="s">
        <v>187</v>
      </c>
      <c r="AU74">
        <f>IFERROR(INDEX('List of Leagues'!$E:$E, MATCH(AT74, 'List of Leagues'!$F:$F, 0)), 0)</f>
        <v>58.4</v>
      </c>
      <c r="AV74" t="s">
        <v>777</v>
      </c>
      <c r="AW74">
        <f>IFERROR(INDEX('List of Leagues'!$E:$E, MATCH(AV74, 'List of Leagues'!$F:$F, 0)), 0)</f>
        <v>0</v>
      </c>
      <c r="AX74" t="s">
        <v>762</v>
      </c>
      <c r="AY74">
        <f>IFERROR(INDEX('List of Leagues'!$E:$E, MATCH(AX74, 'List of Leagues'!$F:$F, 0)), 0)</f>
        <v>0</v>
      </c>
      <c r="AZ74" t="s">
        <v>762</v>
      </c>
      <c r="BA74">
        <f>IFERROR(INDEX('List of Leagues'!$E:$E, MATCH(AZ74, 'List of Leagues'!$F:$F, 0)), 0)</f>
        <v>0</v>
      </c>
      <c r="BB74" t="s">
        <v>762</v>
      </c>
      <c r="BC74">
        <f>IFERROR(INDEX('List of Leagues'!$E:$E, MATCH(BB74, 'List of Leagues'!$F:$F, 0)), 0)</f>
        <v>0</v>
      </c>
      <c r="BD74">
        <f t="shared" si="29"/>
        <v>9.7333333333333325</v>
      </c>
    </row>
    <row r="75" spans="1:56" x14ac:dyDescent="0.35">
      <c r="A75" t="s">
        <v>83</v>
      </c>
      <c r="B75">
        <v>0</v>
      </c>
      <c r="C75">
        <f>IF(COUNTIF($A$11:A75, A75) &gt; 1, 1, 0)</f>
        <v>0</v>
      </c>
      <c r="D75">
        <v>2018</v>
      </c>
      <c r="E75" t="s">
        <v>39</v>
      </c>
      <c r="F75" t="str">
        <f t="shared" si="32"/>
        <v>-</v>
      </c>
      <c r="G75" t="s">
        <v>10</v>
      </c>
      <c r="H75" t="s">
        <v>10</v>
      </c>
      <c r="I75">
        <f t="shared" si="25"/>
        <v>0</v>
      </c>
      <c r="J75">
        <f>SUMIF(A$2:A75,A75, O$2:O75)</f>
        <v>183</v>
      </c>
      <c r="K75">
        <f>SUMIF(A$2:A75, A75, P$2:P75)</f>
        <v>74</v>
      </c>
      <c r="L75">
        <f>SUMIF(A$2:A75, A75, Q$2:Q75)</f>
        <v>47</v>
      </c>
      <c r="M75">
        <f>SUMIF(A$2:A75, A75, R$2:R75)</f>
        <v>62</v>
      </c>
      <c r="N75">
        <f t="shared" si="31"/>
        <v>269</v>
      </c>
      <c r="O75">
        <f t="shared" si="26"/>
        <v>183</v>
      </c>
      <c r="P75">
        <f>15+14+11+17+11+6</f>
        <v>74</v>
      </c>
      <c r="Q75">
        <f>9+7+6+4+13+8</f>
        <v>47</v>
      </c>
      <c r="R75">
        <f>10+13+6+13+10+10</f>
        <v>62</v>
      </c>
      <c r="S75">
        <f t="shared" si="27"/>
        <v>269</v>
      </c>
      <c r="T75">
        <v>5</v>
      </c>
      <c r="U75">
        <f t="shared" si="30"/>
        <v>10</v>
      </c>
      <c r="V75">
        <f t="shared" si="33"/>
        <v>10</v>
      </c>
      <c r="W75">
        <f t="shared" si="34"/>
        <v>0</v>
      </c>
      <c r="X75">
        <v>5</v>
      </c>
      <c r="Y75">
        <v>0</v>
      </c>
      <c r="Z75" t="b">
        <v>1</v>
      </c>
      <c r="AA75" t="s">
        <v>569</v>
      </c>
      <c r="AB75">
        <f>IFERROR(INDEX('List of Leagues'!E:E, MATCH(AA75, 'List of Leagues'!F:F, 0)), 0)</f>
        <v>66.599999999999994</v>
      </c>
      <c r="AC75" t="s">
        <v>185</v>
      </c>
      <c r="AD75">
        <f>IFERROR(INDEX('List of Leagues'!E:E, MATCH(AC75, 'List of Leagues'!F:F, 0)), 0)</f>
        <v>75.400000000000006</v>
      </c>
      <c r="AE75" t="s">
        <v>762</v>
      </c>
      <c r="AF75">
        <f>IFERROR(INDEX('List of Leagues'!E:E, MATCH(AE75, 'List of Leagues'!F:F, 0)), 0)</f>
        <v>0</v>
      </c>
      <c r="AG75" t="s">
        <v>187</v>
      </c>
      <c r="AH75">
        <f>IFERROR(INDEX('List of Leagues'!E:E, MATCH(AG75, 'List of Leagues'!F:F, 0)), 0)</f>
        <v>58.4</v>
      </c>
      <c r="AI75" t="s">
        <v>571</v>
      </c>
      <c r="AJ75">
        <f>IFERROR(INDEX('List of Leagues'!E:E, MATCH(AI75, 'List of Leagues'!F:F, 0)), 0)</f>
        <v>66.3</v>
      </c>
      <c r="AK75" t="s">
        <v>756</v>
      </c>
      <c r="AL75">
        <f>IFERROR(INDEX('List of Leagues'!E:E, MATCH(AK75, 'List of Leagues'!F:F, 0)), 0)</f>
        <v>76.8</v>
      </c>
      <c r="AM75" t="s">
        <v>762</v>
      </c>
      <c r="AN75">
        <f>IFERROR(INDEX('List of Leagues'!E:E, MATCH(AM75, 'List of Leagues'!F:F, 0)), 0)</f>
        <v>0</v>
      </c>
      <c r="AO75" t="s">
        <v>762</v>
      </c>
      <c r="AP75">
        <f>IFERROR(INDEX('List of Leagues'!E:E, MATCH(AO75, 'List of Leagues'!F:F, 0)), 0)</f>
        <v>0</v>
      </c>
      <c r="AQ75">
        <f t="shared" si="28"/>
        <v>42.9375</v>
      </c>
      <c r="AR75" t="s">
        <v>539</v>
      </c>
      <c r="AS75">
        <f>IFERROR(INDEX('List of Leagues'!$E:$E, MATCH(AR75, 'List of Leagues'!$F:$F, 0)), 0)</f>
        <v>77.400000000000006</v>
      </c>
      <c r="AT75" t="s">
        <v>574</v>
      </c>
      <c r="AU75">
        <f>IFERROR(INDEX('List of Leagues'!$E:$E, MATCH(AT75, 'List of Leagues'!$F:$F, 0)), 0)</f>
        <v>66</v>
      </c>
      <c r="AV75" t="s">
        <v>762</v>
      </c>
      <c r="AW75">
        <f>IFERROR(INDEX('List of Leagues'!$E:$E, MATCH(AV75, 'List of Leagues'!$F:$F, 0)), 0)</f>
        <v>0</v>
      </c>
      <c r="AX75" t="s">
        <v>762</v>
      </c>
      <c r="AY75">
        <f>IFERROR(INDEX('List of Leagues'!$E:$E, MATCH(AX75, 'List of Leagues'!$F:$F, 0)), 0)</f>
        <v>0</v>
      </c>
      <c r="AZ75" t="s">
        <v>762</v>
      </c>
      <c r="BA75">
        <f>IFERROR(INDEX('List of Leagues'!$E:$E, MATCH(AZ75, 'List of Leagues'!$F:$F, 0)), 0)</f>
        <v>0</v>
      </c>
      <c r="BB75" t="s">
        <v>762</v>
      </c>
      <c r="BC75">
        <f>IFERROR(INDEX('List of Leagues'!$E:$E, MATCH(BB75, 'List of Leagues'!$F:$F, 0)), 0)</f>
        <v>0</v>
      </c>
      <c r="BD75">
        <f t="shared" si="29"/>
        <v>23.900000000000002</v>
      </c>
    </row>
    <row r="76" spans="1:56" x14ac:dyDescent="0.35">
      <c r="A76" t="s">
        <v>82</v>
      </c>
      <c r="B76">
        <v>0</v>
      </c>
      <c r="C76">
        <f>IF(COUNTIF($A$11:A76, A76) &gt; 1, 1, 0)</f>
        <v>0</v>
      </c>
      <c r="D76">
        <v>2018</v>
      </c>
      <c r="E76" t="s">
        <v>68</v>
      </c>
      <c r="F76" t="str">
        <f t="shared" si="32"/>
        <v>-</v>
      </c>
      <c r="G76" t="s">
        <v>10</v>
      </c>
      <c r="H76" t="s">
        <v>10</v>
      </c>
      <c r="I76">
        <f t="shared" si="25"/>
        <v>0</v>
      </c>
      <c r="J76">
        <f>SUMIF(A$2:A76,A76, O$2:O76)</f>
        <v>56</v>
      </c>
      <c r="K76">
        <f>SUMIF(A$2:A76, A76, P$2:P76)</f>
        <v>13</v>
      </c>
      <c r="L76">
        <f>SUMIF(A$2:A76, A76, Q$2:Q76)</f>
        <v>14</v>
      </c>
      <c r="M76">
        <f>SUMIF(A$2:A76, A76, R$2:R76)</f>
        <v>29</v>
      </c>
      <c r="N76">
        <f t="shared" si="31"/>
        <v>53</v>
      </c>
      <c r="O76">
        <f t="shared" si="26"/>
        <v>56</v>
      </c>
      <c r="P76">
        <v>13</v>
      </c>
      <c r="Q76">
        <v>14</v>
      </c>
      <c r="R76">
        <v>29</v>
      </c>
      <c r="S76">
        <f t="shared" si="27"/>
        <v>53</v>
      </c>
      <c r="T76">
        <v>2</v>
      </c>
      <c r="U76">
        <f t="shared" si="30"/>
        <v>6</v>
      </c>
      <c r="V76">
        <f t="shared" si="33"/>
        <v>6</v>
      </c>
      <c r="W76">
        <f t="shared" si="34"/>
        <v>1</v>
      </c>
      <c r="X76">
        <v>4</v>
      </c>
      <c r="Y76">
        <v>1</v>
      </c>
      <c r="Z76" t="b">
        <v>1</v>
      </c>
      <c r="AA76" t="s">
        <v>187</v>
      </c>
      <c r="AB76">
        <f>IFERROR(INDEX('List of Leagues'!E:E, MATCH(AA76, 'List of Leagues'!F:F, 0)), 0)</f>
        <v>58.4</v>
      </c>
      <c r="AC76" t="s">
        <v>185</v>
      </c>
      <c r="AD76">
        <f>IFERROR(INDEX('List of Leagues'!E:E, MATCH(AC76, 'List of Leagues'!F:F, 0)), 0)</f>
        <v>75.400000000000006</v>
      </c>
      <c r="AE76" t="s">
        <v>756</v>
      </c>
      <c r="AF76">
        <f>IFERROR(INDEX('List of Leagues'!E:E, MATCH(AE76, 'List of Leagues'!F:F, 0)), 0)</f>
        <v>76.8</v>
      </c>
      <c r="AG76" t="s">
        <v>762</v>
      </c>
      <c r="AH76">
        <f>IFERROR(INDEX('List of Leagues'!E:E, MATCH(AG76, 'List of Leagues'!F:F, 0)), 0)</f>
        <v>0</v>
      </c>
      <c r="AI76" t="s">
        <v>762</v>
      </c>
      <c r="AJ76">
        <f>IFERROR(INDEX('List of Leagues'!E:E, MATCH(AI76, 'List of Leagues'!F:F, 0)), 0)</f>
        <v>0</v>
      </c>
      <c r="AK76" t="s">
        <v>762</v>
      </c>
      <c r="AL76">
        <f>IFERROR(INDEX('List of Leagues'!E:E, MATCH(AK76, 'List of Leagues'!F:F, 0)), 0)</f>
        <v>0</v>
      </c>
      <c r="AM76" t="s">
        <v>762</v>
      </c>
      <c r="AN76">
        <f>IFERROR(INDEX('List of Leagues'!E:E, MATCH(AM76, 'List of Leagues'!F:F, 0)), 0)</f>
        <v>0</v>
      </c>
      <c r="AO76" t="s">
        <v>762</v>
      </c>
      <c r="AP76">
        <f>IFERROR(INDEX('List of Leagues'!E:E, MATCH(AO76, 'List of Leagues'!F:F, 0)), 0)</f>
        <v>0</v>
      </c>
      <c r="AQ76">
        <f t="shared" si="28"/>
        <v>26.325000000000003</v>
      </c>
      <c r="AR76" t="s">
        <v>177</v>
      </c>
      <c r="AS76">
        <f>IFERROR(INDEX('List of Leagues'!$E:$E, MATCH(AR76, 'List of Leagues'!$F:$F, 0)), 0)</f>
        <v>0</v>
      </c>
      <c r="AT76" t="s">
        <v>762</v>
      </c>
      <c r="AU76">
        <f>IFERROR(INDEX('List of Leagues'!$E:$E, MATCH(AT76, 'List of Leagues'!$F:$F, 0)), 0)</f>
        <v>0</v>
      </c>
      <c r="AV76" t="s">
        <v>762</v>
      </c>
      <c r="AW76">
        <f>IFERROR(INDEX('List of Leagues'!$E:$E, MATCH(AV76, 'List of Leagues'!$F:$F, 0)), 0)</f>
        <v>0</v>
      </c>
      <c r="AX76" t="s">
        <v>762</v>
      </c>
      <c r="AY76">
        <f>IFERROR(INDEX('List of Leagues'!$E:$E, MATCH(AX76, 'List of Leagues'!$F:$F, 0)), 0)</f>
        <v>0</v>
      </c>
      <c r="AZ76" t="s">
        <v>762</v>
      </c>
      <c r="BA76">
        <f>IFERROR(INDEX('List of Leagues'!$E:$E, MATCH(AZ76, 'List of Leagues'!$F:$F, 0)), 0)</f>
        <v>0</v>
      </c>
      <c r="BB76" t="s">
        <v>762</v>
      </c>
      <c r="BC76">
        <f>IFERROR(INDEX('List of Leagues'!$E:$E, MATCH(BB76, 'List of Leagues'!$F:$F, 0)), 0)</f>
        <v>0</v>
      </c>
      <c r="BD76">
        <f t="shared" si="29"/>
        <v>0</v>
      </c>
    </row>
    <row r="77" spans="1:56" x14ac:dyDescent="0.35">
      <c r="A77" t="s">
        <v>75</v>
      </c>
      <c r="B77">
        <v>0</v>
      </c>
      <c r="C77">
        <f>IF(COUNTIF($A$11:A77, A77) &gt; 1, 1, 0)</f>
        <v>0</v>
      </c>
      <c r="D77">
        <v>2018</v>
      </c>
      <c r="E77" t="s">
        <v>45</v>
      </c>
      <c r="F77" t="str">
        <f t="shared" si="32"/>
        <v>-</v>
      </c>
      <c r="G77" t="s">
        <v>10</v>
      </c>
      <c r="H77" t="s">
        <v>10</v>
      </c>
      <c r="I77">
        <f t="shared" si="25"/>
        <v>0</v>
      </c>
      <c r="J77">
        <f>SUMIF(A$2:A77,A77, O$2:O77)</f>
        <v>61</v>
      </c>
      <c r="K77">
        <f>SUMIF(A$2:A77, A77, P$2:P77)</f>
        <v>24</v>
      </c>
      <c r="L77">
        <f>SUMIF(A$2:A77, A77, Q$2:Q77)</f>
        <v>8</v>
      </c>
      <c r="M77">
        <f>SUMIF(A$2:A77, A77, R$2:R77)</f>
        <v>29</v>
      </c>
      <c r="N77">
        <f t="shared" si="31"/>
        <v>80</v>
      </c>
      <c r="O77">
        <f t="shared" si="26"/>
        <v>61</v>
      </c>
      <c r="P77">
        <v>24</v>
      </c>
      <c r="Q77">
        <v>8</v>
      </c>
      <c r="R77">
        <f>16+13</f>
        <v>29</v>
      </c>
      <c r="S77">
        <f t="shared" si="27"/>
        <v>80</v>
      </c>
      <c r="T77">
        <v>2</v>
      </c>
      <c r="U77">
        <f t="shared" si="30"/>
        <v>6</v>
      </c>
      <c r="V77">
        <f t="shared" si="33"/>
        <v>6</v>
      </c>
      <c r="W77">
        <f t="shared" si="34"/>
        <v>2</v>
      </c>
      <c r="X77">
        <v>4</v>
      </c>
      <c r="Y77">
        <v>2</v>
      </c>
      <c r="Z77" t="b">
        <v>1</v>
      </c>
      <c r="AA77" t="s">
        <v>208</v>
      </c>
      <c r="AB77">
        <f>IFERROR(INDEX('List of Leagues'!E:E, MATCH(AA77, 'List of Leagues'!F:F, 0)), 0)</f>
        <v>85.1</v>
      </c>
      <c r="AC77" t="s">
        <v>184</v>
      </c>
      <c r="AD77">
        <f>IFERROR(INDEX('List of Leagues'!E:E, MATCH(AC77, 'List of Leagues'!F:F, 0)), 0)</f>
        <v>93.8</v>
      </c>
      <c r="AE77" t="s">
        <v>178</v>
      </c>
      <c r="AF77">
        <f>IFERROR(INDEX('List of Leagues'!E:E, MATCH(AE77, 'List of Leagues'!F:F, 0)), 0)</f>
        <v>69.3</v>
      </c>
      <c r="AG77" t="s">
        <v>762</v>
      </c>
      <c r="AH77">
        <f>IFERROR(INDEX('List of Leagues'!E:E, MATCH(AG77, 'List of Leagues'!F:F, 0)), 0)</f>
        <v>0</v>
      </c>
      <c r="AI77" t="s">
        <v>762</v>
      </c>
      <c r="AJ77">
        <f>IFERROR(INDEX('List of Leagues'!E:E, MATCH(AI77, 'List of Leagues'!F:F, 0)), 0)</f>
        <v>0</v>
      </c>
      <c r="AK77" t="s">
        <v>762</v>
      </c>
      <c r="AL77">
        <f>IFERROR(INDEX('List of Leagues'!E:E, MATCH(AK77, 'List of Leagues'!F:F, 0)), 0)</f>
        <v>0</v>
      </c>
      <c r="AM77" t="s">
        <v>762</v>
      </c>
      <c r="AN77">
        <f>IFERROR(INDEX('List of Leagues'!E:E, MATCH(AM77, 'List of Leagues'!F:F, 0)), 0)</f>
        <v>0</v>
      </c>
      <c r="AO77" t="s">
        <v>762</v>
      </c>
      <c r="AP77">
        <f>IFERROR(INDEX('List of Leagues'!E:E, MATCH(AO77, 'List of Leagues'!F:F, 0)), 0)</f>
        <v>0</v>
      </c>
      <c r="AQ77">
        <f t="shared" si="28"/>
        <v>31.024999999999999</v>
      </c>
      <c r="AR77" t="s">
        <v>758</v>
      </c>
      <c r="AS77">
        <f>IFERROR(INDEX('List of Leagues'!$E:$E, MATCH(AR77, 'List of Leagues'!$F:$F, 0)), 0)</f>
        <v>0</v>
      </c>
      <c r="AT77" t="s">
        <v>704</v>
      </c>
      <c r="AU77">
        <f>IFERROR(INDEX('List of Leagues'!$E:$E, MATCH(AT77, 'List of Leagues'!$F:$F, 0)), 0)</f>
        <v>45.9</v>
      </c>
      <c r="AV77" t="s">
        <v>187</v>
      </c>
      <c r="AW77">
        <f>IFERROR(INDEX('List of Leagues'!$E:$E, MATCH(AV77, 'List of Leagues'!$F:$F, 0)), 0)</f>
        <v>58.4</v>
      </c>
      <c r="AX77" t="s">
        <v>762</v>
      </c>
      <c r="AY77">
        <f>IFERROR(INDEX('List of Leagues'!$E:$E, MATCH(AX77, 'List of Leagues'!$F:$F, 0)), 0)</f>
        <v>0</v>
      </c>
      <c r="AZ77" t="s">
        <v>762</v>
      </c>
      <c r="BA77">
        <f>IFERROR(INDEX('List of Leagues'!$E:$E, MATCH(AZ77, 'List of Leagues'!$F:$F, 0)), 0)</f>
        <v>0</v>
      </c>
      <c r="BB77" t="s">
        <v>762</v>
      </c>
      <c r="BC77">
        <f>IFERROR(INDEX('List of Leagues'!$E:$E, MATCH(BB77, 'List of Leagues'!$F:$F, 0)), 0)</f>
        <v>0</v>
      </c>
      <c r="BD77">
        <f t="shared" si="29"/>
        <v>17.383333333333333</v>
      </c>
    </row>
    <row r="78" spans="1:56" x14ac:dyDescent="0.35">
      <c r="A78" t="s">
        <v>85</v>
      </c>
      <c r="B78">
        <v>0</v>
      </c>
      <c r="C78">
        <f>IF(COUNTIF($A$11:A78, A78) &gt; 1, 1, 0)</f>
        <v>0</v>
      </c>
      <c r="D78">
        <v>2019</v>
      </c>
      <c r="E78" t="s">
        <v>196</v>
      </c>
      <c r="F78" t="str">
        <f t="shared" si="32"/>
        <v>-</v>
      </c>
      <c r="G78" t="s">
        <v>10</v>
      </c>
      <c r="H78" t="s">
        <v>10</v>
      </c>
      <c r="I78">
        <f t="shared" si="25"/>
        <v>0</v>
      </c>
      <c r="J78">
        <f>SUMIF(A$2:A78,A78, O$2:O78)</f>
        <v>11</v>
      </c>
      <c r="K78">
        <f>SUMIF(A$2:A78, A78, P$2:P78)</f>
        <v>2</v>
      </c>
      <c r="L78">
        <f>SUMIF(A$2:A78, A78, Q$2:Q78)</f>
        <v>2</v>
      </c>
      <c r="M78">
        <f>SUMIF(A$2:A78, A78, R$2:R78)</f>
        <v>7</v>
      </c>
      <c r="N78">
        <f t="shared" si="31"/>
        <v>8</v>
      </c>
      <c r="O78">
        <f t="shared" si="26"/>
        <v>11</v>
      </c>
      <c r="P78">
        <v>2</v>
      </c>
      <c r="Q78">
        <v>2</v>
      </c>
      <c r="R78">
        <v>7</v>
      </c>
      <c r="S78">
        <f t="shared" si="27"/>
        <v>8</v>
      </c>
      <c r="T78">
        <v>1</v>
      </c>
      <c r="U78">
        <f t="shared" si="30"/>
        <v>11</v>
      </c>
      <c r="V78">
        <f t="shared" si="33"/>
        <v>11</v>
      </c>
      <c r="W78">
        <f t="shared" si="34"/>
        <v>3</v>
      </c>
      <c r="X78">
        <v>10</v>
      </c>
      <c r="Y78">
        <v>3</v>
      </c>
      <c r="Z78" t="b">
        <v>1</v>
      </c>
      <c r="AA78" t="s">
        <v>749</v>
      </c>
      <c r="AB78">
        <f>IFERROR(INDEX('List of Leagues'!E:E, MATCH(AA78, 'List of Leagues'!F:F, 0)), 0)</f>
        <v>0</v>
      </c>
      <c r="AC78" t="s">
        <v>761</v>
      </c>
      <c r="AD78">
        <f>IFERROR(INDEX('List of Leagues'!E:E, MATCH(AC78, 'List of Leagues'!F:F, 0)), 0)</f>
        <v>66.3</v>
      </c>
      <c r="AE78" t="s">
        <v>762</v>
      </c>
      <c r="AF78">
        <f>IFERROR(INDEX('List of Leagues'!E:E, MATCH(AE78, 'List of Leagues'!F:F, 0)), 0)</f>
        <v>0</v>
      </c>
      <c r="AG78" t="s">
        <v>762</v>
      </c>
      <c r="AH78">
        <f>IFERROR(INDEX('List of Leagues'!E:E, MATCH(AG78, 'List of Leagues'!F:F, 0)), 0)</f>
        <v>0</v>
      </c>
      <c r="AI78" t="s">
        <v>762</v>
      </c>
      <c r="AJ78">
        <f>IFERROR(INDEX('List of Leagues'!E:E, MATCH(AI78, 'List of Leagues'!F:F, 0)), 0)</f>
        <v>0</v>
      </c>
      <c r="AK78" t="s">
        <v>762</v>
      </c>
      <c r="AL78">
        <f>IFERROR(INDEX('List of Leagues'!E:E, MATCH(AK78, 'List of Leagues'!F:F, 0)), 0)</f>
        <v>0</v>
      </c>
      <c r="AM78" t="s">
        <v>762</v>
      </c>
      <c r="AN78">
        <f>IFERROR(INDEX('List of Leagues'!E:E, MATCH(AM78, 'List of Leagues'!F:F, 0)), 0)</f>
        <v>0</v>
      </c>
      <c r="AO78" t="s">
        <v>762</v>
      </c>
      <c r="AP78">
        <f>IFERROR(INDEX('List of Leagues'!E:E, MATCH(AO78, 'List of Leagues'!F:F, 0)), 0)</f>
        <v>0</v>
      </c>
      <c r="AQ78">
        <f t="shared" si="28"/>
        <v>8.2874999999999996</v>
      </c>
      <c r="AR78" t="s">
        <v>177</v>
      </c>
      <c r="AS78">
        <f>IFERROR(INDEX('List of Leagues'!$E:$E, MATCH(AR78, 'List of Leagues'!$F:$F, 0)), 0)</f>
        <v>0</v>
      </c>
      <c r="AT78" t="s">
        <v>762</v>
      </c>
      <c r="AU78">
        <f>IFERROR(INDEX('List of Leagues'!$E:$E, MATCH(AT78, 'List of Leagues'!$F:$F, 0)), 0)</f>
        <v>0</v>
      </c>
      <c r="AV78" t="s">
        <v>762</v>
      </c>
      <c r="AW78">
        <f>IFERROR(INDEX('List of Leagues'!$E:$E, MATCH(AV78, 'List of Leagues'!$F:$F, 0)), 0)</f>
        <v>0</v>
      </c>
      <c r="AX78" t="s">
        <v>762</v>
      </c>
      <c r="AY78">
        <f>IFERROR(INDEX('List of Leagues'!$E:$E, MATCH(AX78, 'List of Leagues'!$F:$F, 0)), 0)</f>
        <v>0</v>
      </c>
      <c r="AZ78" t="s">
        <v>762</v>
      </c>
      <c r="BA78">
        <f>IFERROR(INDEX('List of Leagues'!$E:$E, MATCH(AZ78, 'List of Leagues'!$F:$F, 0)), 0)</f>
        <v>0</v>
      </c>
      <c r="BB78" t="s">
        <v>762</v>
      </c>
      <c r="BC78">
        <f>IFERROR(INDEX('List of Leagues'!$E:$E, MATCH(BB78, 'List of Leagues'!$F:$F, 0)), 0)</f>
        <v>0</v>
      </c>
      <c r="BD78">
        <f t="shared" si="29"/>
        <v>0</v>
      </c>
    </row>
    <row r="79" spans="1:56" x14ac:dyDescent="0.35">
      <c r="A79" t="s">
        <v>53</v>
      </c>
      <c r="B79">
        <v>0</v>
      </c>
      <c r="C79">
        <f>IF(COUNTIF($A$11:A79, A79) &gt; 1, 1, 0)</f>
        <v>1</v>
      </c>
      <c r="D79">
        <v>2019</v>
      </c>
      <c r="E79" t="s">
        <v>23</v>
      </c>
      <c r="F79" t="str">
        <f t="shared" si="32"/>
        <v>-</v>
      </c>
      <c r="G79" t="s">
        <v>10</v>
      </c>
      <c r="H79" t="s">
        <v>10</v>
      </c>
      <c r="I79">
        <f t="shared" si="25"/>
        <v>0</v>
      </c>
      <c r="J79">
        <f>SUMIF(A$2:A79,A79, O$2:O79)</f>
        <v>294</v>
      </c>
      <c r="K79">
        <f>SUMIF(A$2:A79, A79, P$2:P79)</f>
        <v>113</v>
      </c>
      <c r="L79">
        <f>SUMIF(A$2:A79, A79, Q$2:Q79)</f>
        <v>89</v>
      </c>
      <c r="M79">
        <f>SUMIF(A$2:A79, A79, R$2:R79)</f>
        <v>92</v>
      </c>
      <c r="N79">
        <f t="shared" si="31"/>
        <v>428</v>
      </c>
      <c r="O79">
        <f t="shared" si="26"/>
        <v>124</v>
      </c>
      <c r="P79">
        <f>10+12+13+10</f>
        <v>45</v>
      </c>
      <c r="Q79">
        <f>16+8+5+8</f>
        <v>37</v>
      </c>
      <c r="R79">
        <f>15+6+13+8</f>
        <v>42</v>
      </c>
      <c r="S79">
        <f t="shared" si="27"/>
        <v>172</v>
      </c>
      <c r="T79">
        <v>2</v>
      </c>
      <c r="U79">
        <f t="shared" si="30"/>
        <v>12</v>
      </c>
      <c r="V79">
        <f t="shared" si="33"/>
        <v>12</v>
      </c>
      <c r="W79">
        <f t="shared" si="34"/>
        <v>5</v>
      </c>
      <c r="X79">
        <v>10</v>
      </c>
      <c r="Y79">
        <v>5</v>
      </c>
      <c r="Z79" t="b">
        <v>1</v>
      </c>
      <c r="AA79" t="s">
        <v>178</v>
      </c>
      <c r="AB79">
        <f>IFERROR(INDEX('List of Leagues'!E:E, MATCH(AA79, 'List of Leagues'!F:F, 0)), 0)</f>
        <v>69.3</v>
      </c>
      <c r="AC79" t="s">
        <v>187</v>
      </c>
      <c r="AD79">
        <f>IFERROR(INDEX('List of Leagues'!E:E, MATCH(AC79, 'List of Leagues'!F:F, 0)), 0)</f>
        <v>58.4</v>
      </c>
      <c r="AE79" t="s">
        <v>178</v>
      </c>
      <c r="AF79">
        <f>IFERROR(INDEX('List of Leagues'!E:E, MATCH(AE79, 'List of Leagues'!F:F, 0)), 0)</f>
        <v>69.3</v>
      </c>
      <c r="AG79" t="s">
        <v>762</v>
      </c>
      <c r="AH79">
        <f>IFERROR(INDEX('List of Leagues'!E:E, MATCH(AG79, 'List of Leagues'!F:F, 0)), 0)</f>
        <v>0</v>
      </c>
      <c r="AI79" t="s">
        <v>762</v>
      </c>
      <c r="AJ79">
        <f>IFERROR(INDEX('List of Leagues'!E:E, MATCH(AI79, 'List of Leagues'!F:F, 0)), 0)</f>
        <v>0</v>
      </c>
      <c r="AK79" t="s">
        <v>762</v>
      </c>
      <c r="AL79">
        <f>IFERROR(INDEX('List of Leagues'!E:E, MATCH(AK79, 'List of Leagues'!F:F, 0)), 0)</f>
        <v>0</v>
      </c>
      <c r="AM79" t="s">
        <v>762</v>
      </c>
      <c r="AN79">
        <f>IFERROR(INDEX('List of Leagues'!E:E, MATCH(AM79, 'List of Leagues'!F:F, 0)), 0)</f>
        <v>0</v>
      </c>
      <c r="AO79" t="s">
        <v>762</v>
      </c>
      <c r="AP79">
        <f>IFERROR(INDEX('List of Leagues'!E:E, MATCH(AO79, 'List of Leagues'!F:F, 0)), 0)</f>
        <v>0</v>
      </c>
      <c r="AQ79">
        <f t="shared" si="28"/>
        <v>24.625</v>
      </c>
      <c r="AR79" t="s">
        <v>177</v>
      </c>
      <c r="AS79">
        <f>IFERROR(INDEX('List of Leagues'!$E:$E, MATCH(AR79, 'List of Leagues'!$F:$F, 0)), 0)</f>
        <v>0</v>
      </c>
      <c r="AT79" t="s">
        <v>762</v>
      </c>
      <c r="AU79">
        <f>IFERROR(INDEX('List of Leagues'!$E:$E, MATCH(AT79, 'List of Leagues'!$F:$F, 0)), 0)</f>
        <v>0</v>
      </c>
      <c r="AV79" t="s">
        <v>762</v>
      </c>
      <c r="AW79">
        <f>IFERROR(INDEX('List of Leagues'!$E:$E, MATCH(AV79, 'List of Leagues'!$F:$F, 0)), 0)</f>
        <v>0</v>
      </c>
      <c r="AX79" t="s">
        <v>762</v>
      </c>
      <c r="AY79">
        <f>IFERROR(INDEX('List of Leagues'!$E:$E, MATCH(AX79, 'List of Leagues'!$F:$F, 0)), 0)</f>
        <v>0</v>
      </c>
      <c r="AZ79" t="s">
        <v>762</v>
      </c>
      <c r="BA79">
        <f>IFERROR(INDEX('List of Leagues'!$E:$E, MATCH(AZ79, 'List of Leagues'!$F:$F, 0)), 0)</f>
        <v>0</v>
      </c>
      <c r="BB79" t="s">
        <v>762</v>
      </c>
      <c r="BC79">
        <f>IFERROR(INDEX('List of Leagues'!$E:$E, MATCH(BB79, 'List of Leagues'!$F:$F, 0)), 0)</f>
        <v>0</v>
      </c>
      <c r="BD79">
        <f t="shared" si="29"/>
        <v>0</v>
      </c>
    </row>
    <row r="80" spans="1:56" x14ac:dyDescent="0.35">
      <c r="A80" t="s">
        <v>84</v>
      </c>
      <c r="B80">
        <v>0</v>
      </c>
      <c r="C80">
        <f>IF(COUNTIF($A$11:A80, A80) &gt; 1, 1, 0)</f>
        <v>0</v>
      </c>
      <c r="D80">
        <v>2019</v>
      </c>
      <c r="E80" t="s">
        <v>72</v>
      </c>
      <c r="F80" t="str">
        <f t="shared" si="32"/>
        <v>-</v>
      </c>
      <c r="G80" t="s">
        <v>10</v>
      </c>
      <c r="H80" t="s">
        <v>10</v>
      </c>
      <c r="I80">
        <f t="shared" si="25"/>
        <v>0</v>
      </c>
      <c r="J80">
        <f>SUMIF(A$2:A80,A80, O$2:O80)</f>
        <v>55</v>
      </c>
      <c r="K80">
        <f>SUMIF(A$2:A80, A80, P$2:P80)</f>
        <v>31</v>
      </c>
      <c r="L80">
        <f>SUMIF(A$2:A80, A80, Q$2:Q80)</f>
        <v>5</v>
      </c>
      <c r="M80">
        <f>SUMIF(A$2:A80, A80, R$2:R80)</f>
        <v>19</v>
      </c>
      <c r="N80">
        <f t="shared" si="31"/>
        <v>98</v>
      </c>
      <c r="O80">
        <f t="shared" si="26"/>
        <v>55</v>
      </c>
      <c r="P80">
        <v>31</v>
      </c>
      <c r="Q80">
        <v>5</v>
      </c>
      <c r="R80">
        <v>19</v>
      </c>
      <c r="S80">
        <f t="shared" si="27"/>
        <v>98</v>
      </c>
      <c r="T80">
        <v>2</v>
      </c>
      <c r="U80">
        <f t="shared" si="30"/>
        <v>14</v>
      </c>
      <c r="V80">
        <f t="shared" si="33"/>
        <v>14</v>
      </c>
      <c r="W80">
        <f t="shared" si="34"/>
        <v>3</v>
      </c>
      <c r="X80">
        <v>12</v>
      </c>
      <c r="Y80">
        <v>3</v>
      </c>
      <c r="Z80" t="b">
        <v>1</v>
      </c>
      <c r="AA80" t="s">
        <v>197</v>
      </c>
      <c r="AB80">
        <f>IFERROR(INDEX('List of Leagues'!E:E, MATCH(AA80, 'List of Leagues'!F:F, 0)), 0)</f>
        <v>78.400000000000006</v>
      </c>
      <c r="AC80" t="s">
        <v>537</v>
      </c>
      <c r="AD80">
        <f>IFERROR(INDEX('List of Leagues'!E:E, MATCH(AC80, 'List of Leagues'!F:F, 0)), 0)</f>
        <v>71</v>
      </c>
      <c r="AE80" t="s">
        <v>178</v>
      </c>
      <c r="AF80">
        <f>IFERROR(INDEX('List of Leagues'!E:E, MATCH(AE80, 'List of Leagues'!F:F, 0)), 0)</f>
        <v>69.3</v>
      </c>
      <c r="AG80" t="s">
        <v>751</v>
      </c>
      <c r="AH80">
        <f>IFERROR(INDEX('List of Leagues'!E:E, MATCH(AG80, 'List of Leagues'!F:F, 0)), 0)</f>
        <v>68.400000000000006</v>
      </c>
      <c r="AI80" t="s">
        <v>586</v>
      </c>
      <c r="AJ80">
        <f>IFERROR(INDEX('List of Leagues'!E:E, MATCH(AI80, 'List of Leagues'!F:F, 0)), 0)</f>
        <v>62.6</v>
      </c>
      <c r="AK80" t="s">
        <v>756</v>
      </c>
      <c r="AL80">
        <f>IFERROR(INDEX('List of Leagues'!E:E, MATCH(AK80, 'List of Leagues'!F:F, 0)), 0)</f>
        <v>76.8</v>
      </c>
      <c r="AM80" t="s">
        <v>762</v>
      </c>
      <c r="AN80">
        <f>IFERROR(INDEX('List of Leagues'!E:E, MATCH(AM80, 'List of Leagues'!F:F, 0)), 0)</f>
        <v>0</v>
      </c>
      <c r="AO80" t="s">
        <v>762</v>
      </c>
      <c r="AP80">
        <f>IFERROR(INDEX('List of Leagues'!E:E, MATCH(AO80, 'List of Leagues'!F:F, 0)), 0)</f>
        <v>0</v>
      </c>
      <c r="AQ80">
        <f t="shared" si="28"/>
        <v>53.312500000000007</v>
      </c>
      <c r="AR80" t="s">
        <v>216</v>
      </c>
      <c r="AS80">
        <f>IFERROR(INDEX('List of Leagues'!$E:$E, MATCH(AR80, 'List of Leagues'!$F:$F, 0)), 0)</f>
        <v>0</v>
      </c>
      <c r="AT80" t="s">
        <v>545</v>
      </c>
      <c r="AU80">
        <f>IFERROR(INDEX('List of Leagues'!$E:$E, MATCH(AT80, 'List of Leagues'!$F:$F, 0)), 0)</f>
        <v>76.599999999999994</v>
      </c>
      <c r="AV80" t="s">
        <v>762</v>
      </c>
      <c r="AW80">
        <f>IFERROR(INDEX('List of Leagues'!$E:$E, MATCH(AV80, 'List of Leagues'!$F:$F, 0)), 0)</f>
        <v>0</v>
      </c>
      <c r="AX80" t="s">
        <v>762</v>
      </c>
      <c r="AY80">
        <f>IFERROR(INDEX('List of Leagues'!$E:$E, MATCH(AX80, 'List of Leagues'!$F:$F, 0)), 0)</f>
        <v>0</v>
      </c>
      <c r="AZ80" t="s">
        <v>762</v>
      </c>
      <c r="BA80">
        <f>IFERROR(INDEX('List of Leagues'!$E:$E, MATCH(AZ80, 'List of Leagues'!$F:$F, 0)), 0)</f>
        <v>0</v>
      </c>
      <c r="BB80" t="s">
        <v>762</v>
      </c>
      <c r="BC80">
        <f>IFERROR(INDEX('List of Leagues'!$E:$E, MATCH(BB80, 'List of Leagues'!$F:$F, 0)), 0)</f>
        <v>0</v>
      </c>
      <c r="BD80">
        <f t="shared" si="29"/>
        <v>12.766666666666666</v>
      </c>
    </row>
    <row r="81" spans="1:56" x14ac:dyDescent="0.35">
      <c r="A81" t="s">
        <v>87</v>
      </c>
      <c r="B81">
        <v>0</v>
      </c>
      <c r="C81">
        <f>IF(COUNTIF($A$11:A81, A81) &gt; 1, 1, 0)</f>
        <v>0</v>
      </c>
      <c r="D81">
        <v>2019</v>
      </c>
      <c r="E81" t="s">
        <v>60</v>
      </c>
      <c r="F81" t="str">
        <f t="shared" si="32"/>
        <v>-</v>
      </c>
      <c r="G81" t="s">
        <v>6</v>
      </c>
      <c r="H81" t="s">
        <v>132</v>
      </c>
      <c r="I81">
        <f t="shared" si="25"/>
        <v>0</v>
      </c>
      <c r="J81">
        <f>SUMIF(A$2:A81,A81, O$2:O81)</f>
        <v>57</v>
      </c>
      <c r="K81">
        <f>SUMIF(A$2:A81, A81, P$2:P81)</f>
        <v>20</v>
      </c>
      <c r="L81">
        <f>SUMIF(A$2:A81, A81, Q$2:Q81)</f>
        <v>15</v>
      </c>
      <c r="M81">
        <f>SUMIF(A$2:A81, A81, R$2:R81)</f>
        <v>22</v>
      </c>
      <c r="N81">
        <f t="shared" si="31"/>
        <v>75</v>
      </c>
      <c r="O81">
        <f t="shared" si="26"/>
        <v>57</v>
      </c>
      <c r="P81">
        <f>7+8+5</f>
        <v>20</v>
      </c>
      <c r="Q81">
        <f>6+2+7</f>
        <v>15</v>
      </c>
      <c r="R81">
        <f>7+5+10</f>
        <v>22</v>
      </c>
      <c r="S81">
        <f t="shared" si="27"/>
        <v>75</v>
      </c>
      <c r="T81">
        <v>2</v>
      </c>
      <c r="U81">
        <f t="shared" si="30"/>
        <v>4</v>
      </c>
      <c r="V81">
        <f t="shared" si="33"/>
        <v>4</v>
      </c>
      <c r="W81">
        <f t="shared" si="34"/>
        <v>3</v>
      </c>
      <c r="X81">
        <v>2</v>
      </c>
      <c r="Y81">
        <v>3</v>
      </c>
      <c r="Z81" t="b">
        <v>1</v>
      </c>
      <c r="AA81" t="s">
        <v>187</v>
      </c>
      <c r="AB81">
        <f>IFERROR(INDEX('List of Leagues'!E:E, MATCH(AA81, 'List of Leagues'!F:F, 0)), 0)</f>
        <v>58.4</v>
      </c>
      <c r="AC81" t="s">
        <v>182</v>
      </c>
      <c r="AD81">
        <f>IFERROR(INDEX('List of Leagues'!E:E, MATCH(AC81, 'List of Leagues'!F:F, 0)), 0)</f>
        <v>0</v>
      </c>
      <c r="AE81" t="s">
        <v>547</v>
      </c>
      <c r="AF81">
        <f>IFERROR(INDEX('List of Leagues'!E:E, MATCH(AE81, 'List of Leagues'!F:F, 0)), 0)</f>
        <v>74.8</v>
      </c>
      <c r="AG81" t="s">
        <v>762</v>
      </c>
      <c r="AH81">
        <f>IFERROR(INDEX('List of Leagues'!E:E, MATCH(AG81, 'List of Leagues'!F:F, 0)), 0)</f>
        <v>0</v>
      </c>
      <c r="AI81" t="s">
        <v>762</v>
      </c>
      <c r="AJ81">
        <f>IFERROR(INDEX('List of Leagues'!E:E, MATCH(AI81, 'List of Leagues'!F:F, 0)), 0)</f>
        <v>0</v>
      </c>
      <c r="AK81" t="s">
        <v>762</v>
      </c>
      <c r="AL81">
        <f>IFERROR(INDEX('List of Leagues'!E:E, MATCH(AK81, 'List of Leagues'!F:F, 0)), 0)</f>
        <v>0</v>
      </c>
      <c r="AM81" t="s">
        <v>762</v>
      </c>
      <c r="AN81">
        <f>IFERROR(INDEX('List of Leagues'!E:E, MATCH(AM81, 'List of Leagues'!F:F, 0)), 0)</f>
        <v>0</v>
      </c>
      <c r="AO81" t="s">
        <v>762</v>
      </c>
      <c r="AP81">
        <f>IFERROR(INDEX('List of Leagues'!E:E, MATCH(AO81, 'List of Leagues'!F:F, 0)), 0)</f>
        <v>0</v>
      </c>
      <c r="AQ81">
        <f t="shared" si="28"/>
        <v>16.649999999999999</v>
      </c>
      <c r="AR81" t="s">
        <v>202</v>
      </c>
      <c r="AS81">
        <f>IFERROR(INDEX('List of Leagues'!$E:$E, MATCH(AR81, 'List of Leagues'!$F:$F, 0)), 0)</f>
        <v>51</v>
      </c>
      <c r="AT81" t="s">
        <v>769</v>
      </c>
      <c r="AU81">
        <f>IFERROR(INDEX('List of Leagues'!$E:$E, MATCH(AT81, 'List of Leagues'!$F:$F, 0)), 0)</f>
        <v>74.2</v>
      </c>
      <c r="AV81" t="s">
        <v>778</v>
      </c>
      <c r="AW81">
        <f>IFERROR(INDEX('List of Leagues'!$E:$E, MATCH(AV81, 'List of Leagues'!$F:$F, 0)), 0)</f>
        <v>52.4</v>
      </c>
      <c r="AX81" t="s">
        <v>534</v>
      </c>
      <c r="AY81">
        <f>IFERROR(INDEX('List of Leagues'!$E:$E, MATCH(AX81, 'List of Leagues'!$F:$F, 0)), 0)</f>
        <v>80.7</v>
      </c>
      <c r="AZ81" t="s">
        <v>762</v>
      </c>
      <c r="BA81">
        <f>IFERROR(INDEX('List of Leagues'!$E:$E, MATCH(AZ81, 'List of Leagues'!$F:$F, 0)), 0)</f>
        <v>0</v>
      </c>
      <c r="BB81" t="s">
        <v>762</v>
      </c>
      <c r="BC81">
        <f>IFERROR(INDEX('List of Leagues'!$E:$E, MATCH(BB81, 'List of Leagues'!$F:$F, 0)), 0)</f>
        <v>0</v>
      </c>
      <c r="BD81">
        <f t="shared" si="29"/>
        <v>43.050000000000004</v>
      </c>
    </row>
    <row r="82" spans="1:56" x14ac:dyDescent="0.35">
      <c r="A82" t="s">
        <v>229</v>
      </c>
      <c r="B82">
        <v>0</v>
      </c>
      <c r="C82">
        <f>IF(COUNTIF($A$11:A82, A82) &gt; 1, 1, 0)</f>
        <v>0</v>
      </c>
      <c r="D82">
        <v>2019</v>
      </c>
      <c r="E82" t="s">
        <v>14</v>
      </c>
      <c r="F82" t="str">
        <f t="shared" si="32"/>
        <v>-</v>
      </c>
      <c r="G82" t="s">
        <v>10</v>
      </c>
      <c r="H82" t="s">
        <v>10</v>
      </c>
      <c r="I82">
        <f t="shared" si="25"/>
        <v>0</v>
      </c>
      <c r="J82">
        <f>SUMIF(A$2:A82,A82, O$2:O82)</f>
        <v>53</v>
      </c>
      <c r="K82">
        <f>SUMIF(A$2:A82, A82, P$2:P82)</f>
        <v>21</v>
      </c>
      <c r="L82">
        <f>SUMIF(A$2:A82, A82, Q$2:Q82)</f>
        <v>6</v>
      </c>
      <c r="M82">
        <f>SUMIF(A$2:A82, A82, R$2:R82)</f>
        <v>26</v>
      </c>
      <c r="N82">
        <f t="shared" si="31"/>
        <v>69</v>
      </c>
      <c r="O82">
        <f t="shared" si="26"/>
        <v>53</v>
      </c>
      <c r="P82">
        <f>16+5</f>
        <v>21</v>
      </c>
      <c r="Q82">
        <f>3+3</f>
        <v>6</v>
      </c>
      <c r="R82">
        <f>12+14</f>
        <v>26</v>
      </c>
      <c r="S82">
        <f t="shared" si="27"/>
        <v>69</v>
      </c>
      <c r="T82">
        <v>2</v>
      </c>
      <c r="U82">
        <f t="shared" si="30"/>
        <v>8</v>
      </c>
      <c r="V82">
        <f t="shared" si="33"/>
        <v>8</v>
      </c>
      <c r="W82">
        <f t="shared" si="34"/>
        <v>0</v>
      </c>
      <c r="X82">
        <v>6</v>
      </c>
      <c r="Y82">
        <v>0</v>
      </c>
      <c r="Z82" t="b">
        <v>1</v>
      </c>
      <c r="AA82" t="s">
        <v>532</v>
      </c>
      <c r="AB82">
        <f>IFERROR(INDEX('List of Leagues'!E:E, MATCH(AA82, 'List of Leagues'!F:F, 0)), 0)</f>
        <v>80.8</v>
      </c>
      <c r="AC82" t="s">
        <v>178</v>
      </c>
      <c r="AD82">
        <f>IFERROR(INDEX('List of Leagues'!E:E, MATCH(AC82, 'List of Leagues'!F:F, 0)), 0)</f>
        <v>69.3</v>
      </c>
      <c r="AE82" t="s">
        <v>762</v>
      </c>
      <c r="AF82">
        <f>IFERROR(INDEX('List of Leagues'!E:E, MATCH(AE82, 'List of Leagues'!F:F, 0)), 0)</f>
        <v>0</v>
      </c>
      <c r="AG82" t="s">
        <v>762</v>
      </c>
      <c r="AH82">
        <f>IFERROR(INDEX('List of Leagues'!E:E, MATCH(AG82, 'List of Leagues'!F:F, 0)), 0)</f>
        <v>0</v>
      </c>
      <c r="AI82" t="s">
        <v>762</v>
      </c>
      <c r="AJ82">
        <f>IFERROR(INDEX('List of Leagues'!E:E, MATCH(AI82, 'List of Leagues'!F:F, 0)), 0)</f>
        <v>0</v>
      </c>
      <c r="AK82" t="s">
        <v>762</v>
      </c>
      <c r="AL82">
        <f>IFERROR(INDEX('List of Leagues'!E:E, MATCH(AK82, 'List of Leagues'!F:F, 0)), 0)</f>
        <v>0</v>
      </c>
      <c r="AM82" t="s">
        <v>762</v>
      </c>
      <c r="AN82">
        <f>IFERROR(INDEX('List of Leagues'!E:E, MATCH(AM82, 'List of Leagues'!F:F, 0)), 0)</f>
        <v>0</v>
      </c>
      <c r="AO82" t="s">
        <v>762</v>
      </c>
      <c r="AP82">
        <f>IFERROR(INDEX('List of Leagues'!E:E, MATCH(AO82, 'List of Leagues'!F:F, 0)), 0)</f>
        <v>0</v>
      </c>
      <c r="AQ82">
        <f t="shared" si="28"/>
        <v>18.762499999999999</v>
      </c>
      <c r="AR82" t="s">
        <v>177</v>
      </c>
      <c r="AS82">
        <f>IFERROR(INDEX('List of Leagues'!$E:$E, MATCH(AR82, 'List of Leagues'!$F:$F, 0)), 0)</f>
        <v>0</v>
      </c>
      <c r="AT82" t="s">
        <v>762</v>
      </c>
      <c r="AU82">
        <f>IFERROR(INDEX('List of Leagues'!$E:$E, MATCH(AT82, 'List of Leagues'!$F:$F, 0)), 0)</f>
        <v>0</v>
      </c>
      <c r="AV82" t="s">
        <v>762</v>
      </c>
      <c r="AW82">
        <f>IFERROR(INDEX('List of Leagues'!$E:$E, MATCH(AV82, 'List of Leagues'!$F:$F, 0)), 0)</f>
        <v>0</v>
      </c>
      <c r="AX82" t="s">
        <v>762</v>
      </c>
      <c r="AY82">
        <f>IFERROR(INDEX('List of Leagues'!$E:$E, MATCH(AX82, 'List of Leagues'!$F:$F, 0)), 0)</f>
        <v>0</v>
      </c>
      <c r="AZ82" t="s">
        <v>762</v>
      </c>
      <c r="BA82">
        <f>IFERROR(INDEX('List of Leagues'!$E:$E, MATCH(AZ82, 'List of Leagues'!$F:$F, 0)), 0)</f>
        <v>0</v>
      </c>
      <c r="BB82" t="s">
        <v>762</v>
      </c>
      <c r="BC82">
        <f>IFERROR(INDEX('List of Leagues'!$E:$E, MATCH(BB82, 'List of Leagues'!$F:$F, 0)), 0)</f>
        <v>0</v>
      </c>
      <c r="BD82">
        <f t="shared" si="29"/>
        <v>0</v>
      </c>
    </row>
    <row r="83" spans="1:56" x14ac:dyDescent="0.35">
      <c r="A83" t="s">
        <v>86</v>
      </c>
      <c r="B83">
        <v>1</v>
      </c>
      <c r="C83">
        <f>IF(COUNTIF($A$11:A83, A83) &gt; 1, 1, 0)</f>
        <v>0</v>
      </c>
      <c r="D83">
        <v>2019</v>
      </c>
      <c r="E83" t="s">
        <v>11</v>
      </c>
      <c r="F83" t="s">
        <v>19</v>
      </c>
      <c r="G83" t="s">
        <v>10</v>
      </c>
      <c r="H83" t="s">
        <v>10</v>
      </c>
      <c r="I83">
        <f t="shared" si="25"/>
        <v>0</v>
      </c>
      <c r="J83">
        <f>SUMIF(A$2:A83,A83, O$2:O83)</f>
        <v>82</v>
      </c>
      <c r="K83">
        <f>SUMIF(A$2:A83, A83, P$2:P83)</f>
        <v>28</v>
      </c>
      <c r="L83">
        <f>SUMIF(A$2:A83, A83, Q$2:Q83)</f>
        <v>25</v>
      </c>
      <c r="M83">
        <f>SUMIF(A$2:A83, A83, R$2:R83)</f>
        <v>29</v>
      </c>
      <c r="N83">
        <f t="shared" si="31"/>
        <v>109</v>
      </c>
      <c r="O83">
        <f t="shared" si="26"/>
        <v>82</v>
      </c>
      <c r="P83">
        <f>13+9+6</f>
        <v>28</v>
      </c>
      <c r="Q83">
        <f>9+7+9</f>
        <v>25</v>
      </c>
      <c r="R83">
        <f>12+15+2</f>
        <v>29</v>
      </c>
      <c r="S83">
        <f t="shared" si="27"/>
        <v>109</v>
      </c>
      <c r="T83">
        <v>3</v>
      </c>
      <c r="U83">
        <f t="shared" si="30"/>
        <v>3</v>
      </c>
      <c r="V83">
        <v>3</v>
      </c>
      <c r="W83">
        <v>0</v>
      </c>
      <c r="X83">
        <v>0</v>
      </c>
      <c r="Y83">
        <v>0</v>
      </c>
      <c r="Z83" t="b">
        <v>1</v>
      </c>
      <c r="AA83" t="s">
        <v>178</v>
      </c>
      <c r="AB83">
        <f>IFERROR(INDEX('List of Leagues'!E:E, MATCH(AA83, 'List of Leagues'!F:F, 0)), 0)</f>
        <v>69.3</v>
      </c>
      <c r="AC83" t="s">
        <v>187</v>
      </c>
      <c r="AD83">
        <f>IFERROR(INDEX('List of Leagues'!E:E, MATCH(AC83, 'List of Leagues'!F:F, 0)), 0)</f>
        <v>58.4</v>
      </c>
      <c r="AE83" t="s">
        <v>202</v>
      </c>
      <c r="AF83">
        <f>IFERROR(INDEX('List of Leagues'!E:E, MATCH(AE83, 'List of Leagues'!F:F, 0)), 0)</f>
        <v>51</v>
      </c>
      <c r="AG83" t="s">
        <v>553</v>
      </c>
      <c r="AH83">
        <f>IFERROR(INDEX('List of Leagues'!E:E, MATCH(AG83, 'List of Leagues'!F:F, 0)), 0)</f>
        <v>69.400000000000006</v>
      </c>
      <c r="AI83" t="s">
        <v>772</v>
      </c>
      <c r="AJ83">
        <f>IFERROR(INDEX('List of Leagues'!E:E, MATCH(AI83, 'List of Leagues'!F:F, 0)), 0)</f>
        <v>43.8</v>
      </c>
      <c r="AK83" t="s">
        <v>762</v>
      </c>
      <c r="AL83">
        <f>IFERROR(INDEX('List of Leagues'!E:E, MATCH(AK83, 'List of Leagues'!F:F, 0)), 0)</f>
        <v>0</v>
      </c>
      <c r="AM83" t="s">
        <v>762</v>
      </c>
      <c r="AN83">
        <f>IFERROR(INDEX('List of Leagues'!E:E, MATCH(AM83, 'List of Leagues'!F:F, 0)), 0)</f>
        <v>0</v>
      </c>
      <c r="AO83" t="s">
        <v>762</v>
      </c>
      <c r="AP83">
        <f>IFERROR(INDEX('List of Leagues'!E:E, MATCH(AO83, 'List of Leagues'!F:F, 0)), 0)</f>
        <v>0</v>
      </c>
      <c r="AQ83">
        <f t="shared" si="28"/>
        <v>36.487499999999997</v>
      </c>
      <c r="AR83" t="s">
        <v>178</v>
      </c>
      <c r="AS83">
        <f>IFERROR(INDEX('List of Leagues'!$E:$E, MATCH(AR83, 'List of Leagues'!$F:$F, 0)), 0)</f>
        <v>69.3</v>
      </c>
      <c r="AT83" t="s">
        <v>762</v>
      </c>
      <c r="AU83">
        <f>IFERROR(INDEX('List of Leagues'!$E:$E, MATCH(AT83, 'List of Leagues'!$F:$F, 0)), 0)</f>
        <v>0</v>
      </c>
      <c r="AV83" t="s">
        <v>762</v>
      </c>
      <c r="AW83">
        <f>IFERROR(INDEX('List of Leagues'!$E:$E, MATCH(AV83, 'List of Leagues'!$F:$F, 0)), 0)</f>
        <v>0</v>
      </c>
      <c r="AX83" t="s">
        <v>762</v>
      </c>
      <c r="AY83">
        <f>IFERROR(INDEX('List of Leagues'!$E:$E, MATCH(AX83, 'List of Leagues'!$F:$F, 0)), 0)</f>
        <v>0</v>
      </c>
      <c r="AZ83" t="s">
        <v>762</v>
      </c>
      <c r="BA83">
        <f>IFERROR(INDEX('List of Leagues'!$E:$E, MATCH(AZ83, 'List of Leagues'!$F:$F, 0)), 0)</f>
        <v>0</v>
      </c>
      <c r="BB83" t="s">
        <v>762</v>
      </c>
      <c r="BC83">
        <f>IFERROR(INDEX('List of Leagues'!$E:$E, MATCH(BB83, 'List of Leagues'!$F:$F, 0)), 0)</f>
        <v>0</v>
      </c>
      <c r="BD83">
        <f t="shared" si="29"/>
        <v>11.549999999999999</v>
      </c>
    </row>
    <row r="84" spans="1:56" x14ac:dyDescent="0.35">
      <c r="A84" t="s">
        <v>15</v>
      </c>
      <c r="B84">
        <v>0</v>
      </c>
      <c r="C84">
        <f>IF(COUNTIF($A$11:A84, A84) &gt; 1, 1, 0)</f>
        <v>1</v>
      </c>
      <c r="D84">
        <v>2019</v>
      </c>
      <c r="E84" t="s">
        <v>197</v>
      </c>
      <c r="F84" t="str">
        <f t="shared" ref="F84:F95" si="35">IF(B84=0, "-", "")</f>
        <v>-</v>
      </c>
      <c r="G84" t="s">
        <v>10</v>
      </c>
      <c r="H84" t="s">
        <v>10</v>
      </c>
      <c r="I84">
        <v>0</v>
      </c>
      <c r="J84">
        <f>SUMIF(A$2:A84,A84, O$2:O84)</f>
        <v>555</v>
      </c>
      <c r="K84">
        <f>SUMIF(A$2:A84, A84, P$2:P84)</f>
        <v>262</v>
      </c>
      <c r="L84">
        <f>SUMIF(A$2:A84, A84, Q$2:Q84)</f>
        <v>149</v>
      </c>
      <c r="M84">
        <f>SUMIF(A$2:A84, A84, R$2:R84)</f>
        <v>144</v>
      </c>
      <c r="N84">
        <f t="shared" si="31"/>
        <v>935</v>
      </c>
      <c r="O84">
        <f t="shared" ref="O84" si="36">P84+Q84+R84</f>
        <v>147</v>
      </c>
      <c r="P84">
        <f>8+22+19+13+8</f>
        <v>70</v>
      </c>
      <c r="Q84">
        <f>8+7+12+9+10</f>
        <v>46</v>
      </c>
      <c r="R84">
        <f>9+12+5+5</f>
        <v>31</v>
      </c>
      <c r="S84">
        <f t="shared" ref="S84" si="37">P84*3 + Q84</f>
        <v>256</v>
      </c>
      <c r="T84">
        <v>3</v>
      </c>
      <c r="U84">
        <f t="shared" ref="U84:U85" si="38">X84+T84</f>
        <v>48</v>
      </c>
      <c r="V84">
        <f t="shared" ref="V84:V95" si="39">IF(F84="-", U84)</f>
        <v>48</v>
      </c>
      <c r="W84">
        <f t="shared" ref="W84:W95" si="40">IF(F84="-", Y84)</f>
        <v>8</v>
      </c>
      <c r="X84">
        <v>45</v>
      </c>
      <c r="Y84">
        <v>8</v>
      </c>
      <c r="Z84" t="b">
        <v>1</v>
      </c>
      <c r="AA84" t="s">
        <v>176</v>
      </c>
      <c r="AB84">
        <f>IFERROR(INDEX('List of Leagues'!E:E, MATCH(AA84, 'List of Leagues'!F:F, 0)), 0)</f>
        <v>0</v>
      </c>
      <c r="AC84" t="s">
        <v>762</v>
      </c>
      <c r="AD84">
        <f>IFERROR(INDEX('List of Leagues'!E:E, MATCH(AC84, 'List of Leagues'!F:F, 0)), 0)</f>
        <v>0</v>
      </c>
      <c r="AE84" t="s">
        <v>762</v>
      </c>
      <c r="AF84">
        <f>IFERROR(INDEX('List of Leagues'!E:E, MATCH(AE84, 'List of Leagues'!F:F, 0)), 0)</f>
        <v>0</v>
      </c>
      <c r="AG84" t="s">
        <v>762</v>
      </c>
      <c r="AH84">
        <f>IFERROR(INDEX('List of Leagues'!E:E, MATCH(AG84, 'List of Leagues'!F:F, 0)), 0)</f>
        <v>0</v>
      </c>
      <c r="AI84" t="s">
        <v>762</v>
      </c>
      <c r="AJ84">
        <f>IFERROR(INDEX('List of Leagues'!E:E, MATCH(AI84, 'List of Leagues'!F:F, 0)), 0)</f>
        <v>0</v>
      </c>
      <c r="AK84" t="s">
        <v>762</v>
      </c>
      <c r="AL84">
        <f>IFERROR(INDEX('List of Leagues'!E:E, MATCH(AK84, 'List of Leagues'!F:F, 0)), 0)</f>
        <v>0</v>
      </c>
      <c r="AM84" t="s">
        <v>762</v>
      </c>
      <c r="AN84">
        <f>IFERROR(INDEX('List of Leagues'!E:E, MATCH(AM84, 'List of Leagues'!F:F, 0)), 0)</f>
        <v>0</v>
      </c>
      <c r="AO84" t="s">
        <v>762</v>
      </c>
      <c r="AP84">
        <f>IFERROR(INDEX('List of Leagues'!E:E, MATCH(AO84, 'List of Leagues'!F:F, 0)), 0)</f>
        <v>0</v>
      </c>
      <c r="AQ84">
        <f t="shared" ref="AQ84" si="41">AVERAGE(AB84, AD84, AF84, AH84, AJ84, AL84, AN84, AP84)</f>
        <v>0</v>
      </c>
      <c r="AR84" t="s">
        <v>201</v>
      </c>
      <c r="AS84">
        <f>IFERROR(INDEX('List of Leagues'!$E:$E, MATCH(AR84, 'List of Leagues'!$F:$F, 0)), 0)</f>
        <v>80</v>
      </c>
      <c r="AT84" t="s">
        <v>532</v>
      </c>
      <c r="AU84">
        <f>IFERROR(INDEX('List of Leagues'!$E:$E, MATCH(AT84, 'List of Leagues'!$F:$F, 0)), 0)</f>
        <v>80.8</v>
      </c>
      <c r="AV84" t="s">
        <v>762</v>
      </c>
      <c r="AW84">
        <f>IFERROR(INDEX('List of Leagues'!$E:$E, MATCH(AV84, 'List of Leagues'!$F:$F, 0)), 0)</f>
        <v>0</v>
      </c>
      <c r="AX84" t="s">
        <v>762</v>
      </c>
      <c r="AY84">
        <f>IFERROR(INDEX('List of Leagues'!$E:$E, MATCH(AX84, 'List of Leagues'!$F:$F, 0)), 0)</f>
        <v>0</v>
      </c>
      <c r="AZ84" t="s">
        <v>762</v>
      </c>
      <c r="BA84">
        <f>IFERROR(INDEX('List of Leagues'!$E:$E, MATCH(AZ84, 'List of Leagues'!$F:$F, 0)), 0)</f>
        <v>0</v>
      </c>
      <c r="BB84" t="s">
        <v>762</v>
      </c>
      <c r="BC84">
        <f>IFERROR(INDEX('List of Leagues'!$E:$E, MATCH(BB84, 'List of Leagues'!$F:$F, 0)), 0)</f>
        <v>0</v>
      </c>
      <c r="BD84">
        <f t="shared" ref="BD84" si="42">AVERAGE(AS84, AU84, AW84, AY84, BA84, BC84)</f>
        <v>26.8</v>
      </c>
    </row>
    <row r="85" spans="1:56" x14ac:dyDescent="0.35">
      <c r="A85" t="s">
        <v>89</v>
      </c>
      <c r="B85">
        <v>0</v>
      </c>
      <c r="C85">
        <f>IF(COUNTIF($A$11:A85, A85) &gt; 1, 1, 0)</f>
        <v>0</v>
      </c>
      <c r="D85">
        <v>2019</v>
      </c>
      <c r="E85" t="s">
        <v>42</v>
      </c>
      <c r="F85" t="str">
        <f t="shared" si="35"/>
        <v>-</v>
      </c>
      <c r="G85" t="s">
        <v>10</v>
      </c>
      <c r="H85" t="s">
        <v>10</v>
      </c>
      <c r="I85">
        <f t="shared" ref="I85:I104" si="43">IF(H85="B", 1, 0)</f>
        <v>0</v>
      </c>
      <c r="J85">
        <f>SUMIF(A$2:A85,A85, O$2:O85)</f>
        <v>76</v>
      </c>
      <c r="K85">
        <f>SUMIF(A$2:A85, A85, P$2:P85)</f>
        <v>22</v>
      </c>
      <c r="L85">
        <f>SUMIF(A$2:A85, A85, Q$2:Q85)</f>
        <v>18</v>
      </c>
      <c r="M85">
        <f>SUMIF(A$2:A85, A85, R$2:R85)</f>
        <v>36</v>
      </c>
      <c r="N85">
        <f t="shared" si="31"/>
        <v>84</v>
      </c>
      <c r="O85">
        <f t="shared" ref="O85:O104" si="44">P85+Q85+R85</f>
        <v>76</v>
      </c>
      <c r="P85">
        <f>8+9+5</f>
        <v>22</v>
      </c>
      <c r="Q85">
        <f>10+8</f>
        <v>18</v>
      </c>
      <c r="R85">
        <f>16+14+6</f>
        <v>36</v>
      </c>
      <c r="S85">
        <f t="shared" ref="S85:S104" si="45">P85*3 + Q85</f>
        <v>84</v>
      </c>
      <c r="T85">
        <v>2</v>
      </c>
      <c r="U85">
        <f t="shared" si="38"/>
        <v>12</v>
      </c>
      <c r="V85">
        <f t="shared" si="39"/>
        <v>12</v>
      </c>
      <c r="W85">
        <f t="shared" si="40"/>
        <v>2</v>
      </c>
      <c r="X85">
        <v>10</v>
      </c>
      <c r="Y85">
        <v>2</v>
      </c>
      <c r="Z85" t="b">
        <v>0</v>
      </c>
      <c r="AA85" t="s">
        <v>179</v>
      </c>
      <c r="AB85">
        <f>IFERROR(INDEX('List of Leagues'!E:E, MATCH(AA85, 'List of Leagues'!F:F, 0)), 0)</f>
        <v>0</v>
      </c>
      <c r="AC85" t="s">
        <v>762</v>
      </c>
      <c r="AD85">
        <f>IFERROR(INDEX('List of Leagues'!E:E, MATCH(AC85, 'List of Leagues'!F:F, 0)), 0)</f>
        <v>0</v>
      </c>
      <c r="AE85" t="s">
        <v>762</v>
      </c>
      <c r="AF85">
        <f>IFERROR(INDEX('List of Leagues'!E:E, MATCH(AE85, 'List of Leagues'!F:F, 0)), 0)</f>
        <v>0</v>
      </c>
      <c r="AG85" t="s">
        <v>762</v>
      </c>
      <c r="AH85">
        <f>IFERROR(INDEX('List of Leagues'!E:E, MATCH(AG85, 'List of Leagues'!F:F, 0)), 0)</f>
        <v>0</v>
      </c>
      <c r="AI85" t="s">
        <v>762</v>
      </c>
      <c r="AJ85">
        <f>IFERROR(INDEX('List of Leagues'!E:E, MATCH(AI85, 'List of Leagues'!F:F, 0)), 0)</f>
        <v>0</v>
      </c>
      <c r="AK85" t="s">
        <v>762</v>
      </c>
      <c r="AL85">
        <f>IFERROR(INDEX('List of Leagues'!E:E, MATCH(AK85, 'List of Leagues'!F:F, 0)), 0)</f>
        <v>0</v>
      </c>
      <c r="AM85" t="s">
        <v>762</v>
      </c>
      <c r="AN85">
        <f>IFERROR(INDEX('List of Leagues'!E:E, MATCH(AM85, 'List of Leagues'!F:F, 0)), 0)</f>
        <v>0</v>
      </c>
      <c r="AO85" t="s">
        <v>762</v>
      </c>
      <c r="AP85">
        <f>IFERROR(INDEX('List of Leagues'!E:E, MATCH(AO85, 'List of Leagues'!F:F, 0)), 0)</f>
        <v>0</v>
      </c>
      <c r="AQ85">
        <f t="shared" ref="AQ85:AQ104" si="46">AVERAGE(AB85, AD85, AF85, AH85, AJ85, AL85, AN85, AP85)</f>
        <v>0</v>
      </c>
      <c r="AR85" t="s">
        <v>192</v>
      </c>
      <c r="AS85">
        <f>IFERROR(INDEX('List of Leagues'!$E:$E, MATCH(AR85, 'List of Leagues'!$F:$F, 0)), 0)</f>
        <v>0</v>
      </c>
      <c r="AT85" t="s">
        <v>762</v>
      </c>
      <c r="AU85">
        <f>IFERROR(INDEX('List of Leagues'!$E:$E, MATCH(AT85, 'List of Leagues'!$F:$F, 0)), 0)</f>
        <v>0</v>
      </c>
      <c r="AV85" t="s">
        <v>762</v>
      </c>
      <c r="AW85">
        <f>IFERROR(INDEX('List of Leagues'!$E:$E, MATCH(AV85, 'List of Leagues'!$F:$F, 0)), 0)</f>
        <v>0</v>
      </c>
      <c r="AX85" t="s">
        <v>762</v>
      </c>
      <c r="AY85">
        <f>IFERROR(INDEX('List of Leagues'!$E:$E, MATCH(AX85, 'List of Leagues'!$F:$F, 0)), 0)</f>
        <v>0</v>
      </c>
      <c r="AZ85" t="s">
        <v>762</v>
      </c>
      <c r="BA85">
        <f>IFERROR(INDEX('List of Leagues'!$E:$E, MATCH(AZ85, 'List of Leagues'!$F:$F, 0)), 0)</f>
        <v>0</v>
      </c>
      <c r="BB85" t="s">
        <v>762</v>
      </c>
      <c r="BC85">
        <f>IFERROR(INDEX('List of Leagues'!$E:$E, MATCH(BB85, 'List of Leagues'!$F:$F, 0)), 0)</f>
        <v>0</v>
      </c>
      <c r="BD85">
        <f t="shared" ref="BD85:BD104" si="47">AVERAGE(AS85, AU85, AW85, AY85, BA85, BC85)</f>
        <v>0</v>
      </c>
    </row>
    <row r="86" spans="1:56" x14ac:dyDescent="0.35">
      <c r="A86" t="s">
        <v>88</v>
      </c>
      <c r="B86">
        <v>0</v>
      </c>
      <c r="C86">
        <f>IF(COUNTIF($A$11:A86, A86) &gt; 1, 1, 0)</f>
        <v>0</v>
      </c>
      <c r="D86">
        <v>2019</v>
      </c>
      <c r="E86" t="s">
        <v>19</v>
      </c>
      <c r="F86" t="str">
        <f t="shared" si="35"/>
        <v>-</v>
      </c>
      <c r="G86" t="s">
        <v>10</v>
      </c>
      <c r="H86" t="s">
        <v>10</v>
      </c>
      <c r="I86">
        <f t="shared" si="43"/>
        <v>0</v>
      </c>
      <c r="J86">
        <f>SUMIF(A$2:A86,A86, O$2:O86)</f>
        <v>98</v>
      </c>
      <c r="K86">
        <f>SUMIF(A$2:A86, A86, P$2:P86)</f>
        <v>31</v>
      </c>
      <c r="L86">
        <f>SUMIF(A$2:A86, A86, Q$2:Q86)</f>
        <v>25</v>
      </c>
      <c r="M86">
        <f>SUMIF(A$2:A86, A86, R$2:R86)</f>
        <v>42</v>
      </c>
      <c r="N86">
        <f t="shared" si="31"/>
        <v>118</v>
      </c>
      <c r="O86">
        <f t="shared" si="44"/>
        <v>98</v>
      </c>
      <c r="P86">
        <f>13+8+10</f>
        <v>31</v>
      </c>
      <c r="Q86">
        <f>3+11+6+5</f>
        <v>25</v>
      </c>
      <c r="R86">
        <f>4+13+9+16</f>
        <v>42</v>
      </c>
      <c r="S86">
        <f t="shared" si="45"/>
        <v>118</v>
      </c>
      <c r="T86">
        <v>3</v>
      </c>
      <c r="U86">
        <f t="shared" ref="U86:U104" si="48">X86+T86</f>
        <v>10</v>
      </c>
      <c r="V86">
        <f t="shared" si="39"/>
        <v>10</v>
      </c>
      <c r="W86">
        <f t="shared" si="40"/>
        <v>0</v>
      </c>
      <c r="X86">
        <f>2+2+3</f>
        <v>7</v>
      </c>
      <c r="Y86">
        <v>0</v>
      </c>
      <c r="Z86" t="b">
        <v>1</v>
      </c>
      <c r="AA86" t="s">
        <v>532</v>
      </c>
      <c r="AB86">
        <f>IFERROR(INDEX('List of Leagues'!E:E, MATCH(AA86, 'List of Leagues'!F:F, 0)), 0)</f>
        <v>80.8</v>
      </c>
      <c r="AC86" t="s">
        <v>529</v>
      </c>
      <c r="AD86">
        <f>IFERROR(INDEX('List of Leagues'!E:E, MATCH(AC86, 'List of Leagues'!F:F, 0)), 0)</f>
        <v>89.5</v>
      </c>
      <c r="AE86" t="s">
        <v>762</v>
      </c>
      <c r="AF86">
        <f>IFERROR(INDEX('List of Leagues'!E:E, MATCH(AE86, 'List of Leagues'!F:F, 0)), 0)</f>
        <v>0</v>
      </c>
      <c r="AG86" t="s">
        <v>762</v>
      </c>
      <c r="AH86">
        <f>IFERROR(INDEX('List of Leagues'!E:E, MATCH(AG86, 'List of Leagues'!F:F, 0)), 0)</f>
        <v>0</v>
      </c>
      <c r="AI86" t="s">
        <v>762</v>
      </c>
      <c r="AJ86">
        <f>IFERROR(INDEX('List of Leagues'!E:E, MATCH(AI86, 'List of Leagues'!F:F, 0)), 0)</f>
        <v>0</v>
      </c>
      <c r="AK86" t="s">
        <v>762</v>
      </c>
      <c r="AL86">
        <f>IFERROR(INDEX('List of Leagues'!E:E, MATCH(AK86, 'List of Leagues'!F:F, 0)), 0)</f>
        <v>0</v>
      </c>
      <c r="AM86" t="s">
        <v>762</v>
      </c>
      <c r="AN86">
        <f>IFERROR(INDEX('List of Leagues'!E:E, MATCH(AM86, 'List of Leagues'!F:F, 0)), 0)</f>
        <v>0</v>
      </c>
      <c r="AO86" t="s">
        <v>762</v>
      </c>
      <c r="AP86">
        <f>IFERROR(INDEX('List of Leagues'!E:E, MATCH(AO86, 'List of Leagues'!F:F, 0)), 0)</f>
        <v>0</v>
      </c>
      <c r="AQ86">
        <f t="shared" si="46"/>
        <v>21.287500000000001</v>
      </c>
      <c r="AR86" t="s">
        <v>214</v>
      </c>
      <c r="AS86">
        <f>IFERROR(INDEX('List of Leagues'!$E:$E, MATCH(AR86, 'List of Leagues'!$F:$F, 0)), 0)</f>
        <v>68.7</v>
      </c>
      <c r="AT86" t="s">
        <v>762</v>
      </c>
      <c r="AU86">
        <f>IFERROR(INDEX('List of Leagues'!$E:$E, MATCH(AT86, 'List of Leagues'!$F:$F, 0)), 0)</f>
        <v>0</v>
      </c>
      <c r="AV86" t="s">
        <v>762</v>
      </c>
      <c r="AW86">
        <f>IFERROR(INDEX('List of Leagues'!$E:$E, MATCH(AV86, 'List of Leagues'!$F:$F, 0)), 0)</f>
        <v>0</v>
      </c>
      <c r="AX86" t="s">
        <v>762</v>
      </c>
      <c r="AY86">
        <f>IFERROR(INDEX('List of Leagues'!$E:$E, MATCH(AX86, 'List of Leagues'!$F:$F, 0)), 0)</f>
        <v>0</v>
      </c>
      <c r="AZ86" t="s">
        <v>762</v>
      </c>
      <c r="BA86">
        <f>IFERROR(INDEX('List of Leagues'!$E:$E, MATCH(AZ86, 'List of Leagues'!$F:$F, 0)), 0)</f>
        <v>0</v>
      </c>
      <c r="BB86" t="s">
        <v>762</v>
      </c>
      <c r="BC86">
        <f>IFERROR(INDEX('List of Leagues'!$E:$E, MATCH(BB86, 'List of Leagues'!$F:$F, 0)), 0)</f>
        <v>0</v>
      </c>
      <c r="BD86">
        <f t="shared" si="47"/>
        <v>11.450000000000001</v>
      </c>
    </row>
    <row r="87" spans="1:56" x14ac:dyDescent="0.35">
      <c r="A87" t="s">
        <v>37</v>
      </c>
      <c r="B87">
        <v>0</v>
      </c>
      <c r="C87">
        <f>IF(COUNTIF($A$11:A87, A87) &gt; 1, 1, 0)</f>
        <v>1</v>
      </c>
      <c r="D87">
        <v>2019</v>
      </c>
      <c r="E87" t="s">
        <v>9</v>
      </c>
      <c r="F87" t="str">
        <f t="shared" si="35"/>
        <v>-</v>
      </c>
      <c r="G87" t="s">
        <v>6</v>
      </c>
      <c r="H87" t="s">
        <v>131</v>
      </c>
      <c r="I87">
        <f t="shared" si="43"/>
        <v>1</v>
      </c>
      <c r="J87">
        <f>SUMIF(A$2:A87,A87, O$2:O87)</f>
        <v>205</v>
      </c>
      <c r="K87">
        <f>SUMIF(A$2:A87, A87, P$2:P87)</f>
        <v>59</v>
      </c>
      <c r="L87">
        <f>SUMIF(A$2:A87, A87, Q$2:Q87)</f>
        <v>73</v>
      </c>
      <c r="M87">
        <f>SUMIF(A$2:A87, A87, R$2:R87)</f>
        <v>73</v>
      </c>
      <c r="N87">
        <f t="shared" si="31"/>
        <v>250</v>
      </c>
      <c r="O87">
        <f t="shared" si="44"/>
        <v>137</v>
      </c>
      <c r="P87">
        <f>8+17+11+5+3</f>
        <v>44</v>
      </c>
      <c r="Q87">
        <f>4+19+19+10</f>
        <v>52</v>
      </c>
      <c r="R87">
        <f>6+7+13+2+13</f>
        <v>41</v>
      </c>
      <c r="S87">
        <f t="shared" si="45"/>
        <v>184</v>
      </c>
      <c r="T87">
        <v>3</v>
      </c>
      <c r="U87">
        <f t="shared" si="48"/>
        <v>5</v>
      </c>
      <c r="V87">
        <f t="shared" si="39"/>
        <v>5</v>
      </c>
      <c r="W87">
        <f t="shared" si="40"/>
        <v>10</v>
      </c>
      <c r="X87">
        <v>2</v>
      </c>
      <c r="Y87">
        <v>10</v>
      </c>
      <c r="Z87" t="b">
        <v>1</v>
      </c>
      <c r="AA87" t="s">
        <v>176</v>
      </c>
      <c r="AB87">
        <f>IFERROR(INDEX('List of Leagues'!E:E, MATCH(AA87, 'List of Leagues'!F:F, 0)), 0)</f>
        <v>0</v>
      </c>
      <c r="AC87" t="s">
        <v>750</v>
      </c>
      <c r="AD87">
        <f>IFERROR(INDEX('List of Leagues'!E:E, MATCH(AC87, 'List of Leagues'!F:F, 0)), 0)</f>
        <v>0</v>
      </c>
      <c r="AE87" t="s">
        <v>762</v>
      </c>
      <c r="AF87">
        <f>IFERROR(INDEX('List of Leagues'!E:E, MATCH(AE87, 'List of Leagues'!F:F, 0)), 0)</f>
        <v>0</v>
      </c>
      <c r="AG87" t="s">
        <v>756</v>
      </c>
      <c r="AH87">
        <f>IFERROR(INDEX('List of Leagues'!E:E, MATCH(AG87, 'List of Leagues'!F:F, 0)), 0)</f>
        <v>76.8</v>
      </c>
      <c r="AI87" t="s">
        <v>762</v>
      </c>
      <c r="AJ87">
        <f>IFERROR(INDEX('List of Leagues'!E:E, MATCH(AI87, 'List of Leagues'!F:F, 0)), 0)</f>
        <v>0</v>
      </c>
      <c r="AK87" t="s">
        <v>762</v>
      </c>
      <c r="AL87">
        <f>IFERROR(INDEX('List of Leagues'!E:E, MATCH(AK87, 'List of Leagues'!F:F, 0)), 0)</f>
        <v>0</v>
      </c>
      <c r="AM87" t="s">
        <v>762</v>
      </c>
      <c r="AN87">
        <f>IFERROR(INDEX('List of Leagues'!E:E, MATCH(AM87, 'List of Leagues'!F:F, 0)), 0)</f>
        <v>0</v>
      </c>
      <c r="AO87" t="s">
        <v>762</v>
      </c>
      <c r="AP87">
        <f>IFERROR(INDEX('List of Leagues'!E:E, MATCH(AO87, 'List of Leagues'!F:F, 0)), 0)</f>
        <v>0</v>
      </c>
      <c r="AQ87">
        <f t="shared" si="46"/>
        <v>9.6</v>
      </c>
      <c r="AR87" t="s">
        <v>177</v>
      </c>
      <c r="AS87">
        <f>IFERROR(INDEX('List of Leagues'!$E:$E, MATCH(AR87, 'List of Leagues'!$F:$F, 0)), 0)</f>
        <v>0</v>
      </c>
      <c r="AT87" t="s">
        <v>762</v>
      </c>
      <c r="AU87">
        <f>IFERROR(INDEX('List of Leagues'!$E:$E, MATCH(AT87, 'List of Leagues'!$F:$F, 0)), 0)</f>
        <v>0</v>
      </c>
      <c r="AV87" t="s">
        <v>762</v>
      </c>
      <c r="AW87">
        <f>IFERROR(INDEX('List of Leagues'!$E:$E, MATCH(AV87, 'List of Leagues'!$F:$F, 0)), 0)</f>
        <v>0</v>
      </c>
      <c r="AX87" t="s">
        <v>762</v>
      </c>
      <c r="AY87">
        <f>IFERROR(INDEX('List of Leagues'!$E:$E, MATCH(AX87, 'List of Leagues'!$F:$F, 0)), 0)</f>
        <v>0</v>
      </c>
      <c r="AZ87" t="s">
        <v>762</v>
      </c>
      <c r="BA87">
        <f>IFERROR(INDEX('List of Leagues'!$E:$E, MATCH(AZ87, 'List of Leagues'!$F:$F, 0)), 0)</f>
        <v>0</v>
      </c>
      <c r="BB87" t="s">
        <v>762</v>
      </c>
      <c r="BC87">
        <f>IFERROR(INDEX('List of Leagues'!$E:$E, MATCH(BB87, 'List of Leagues'!$F:$F, 0)), 0)</f>
        <v>0</v>
      </c>
      <c r="BD87">
        <f t="shared" si="47"/>
        <v>0</v>
      </c>
    </row>
    <row r="88" spans="1:56" x14ac:dyDescent="0.35">
      <c r="A88" t="s">
        <v>162</v>
      </c>
      <c r="B88">
        <v>0</v>
      </c>
      <c r="C88">
        <f>IF(COUNTIF($A$11:A88, A88) &gt; 1, 1, 0)</f>
        <v>0</v>
      </c>
      <c r="D88">
        <v>2019</v>
      </c>
      <c r="E88" t="s">
        <v>196</v>
      </c>
      <c r="F88" t="str">
        <f t="shared" si="35"/>
        <v>-</v>
      </c>
      <c r="G88" t="s">
        <v>10</v>
      </c>
      <c r="H88" t="s">
        <v>10</v>
      </c>
      <c r="I88">
        <f t="shared" si="43"/>
        <v>0</v>
      </c>
      <c r="J88">
        <f>SUMIF(A$2:A88,A88, O$2:O88)</f>
        <v>10</v>
      </c>
      <c r="K88">
        <f>SUMIF(A$2:A88, A88, P$2:P88)</f>
        <v>1</v>
      </c>
      <c r="L88">
        <f>SUMIF(A$2:A88, A88, Q$2:Q88)</f>
        <v>4</v>
      </c>
      <c r="M88">
        <f>SUMIF(A$2:A88, A88, R$2:R88)</f>
        <v>5</v>
      </c>
      <c r="N88">
        <f t="shared" si="31"/>
        <v>7</v>
      </c>
      <c r="O88">
        <f t="shared" si="44"/>
        <v>10</v>
      </c>
      <c r="P88">
        <v>1</v>
      </c>
      <c r="Q88">
        <v>4</v>
      </c>
      <c r="R88">
        <v>5</v>
      </c>
      <c r="S88">
        <f t="shared" si="45"/>
        <v>7</v>
      </c>
      <c r="T88">
        <v>1</v>
      </c>
      <c r="U88">
        <f t="shared" si="48"/>
        <v>27</v>
      </c>
      <c r="V88">
        <f t="shared" si="39"/>
        <v>27</v>
      </c>
      <c r="W88">
        <f t="shared" si="40"/>
        <v>2</v>
      </c>
      <c r="X88">
        <v>26</v>
      </c>
      <c r="Y88">
        <v>2</v>
      </c>
      <c r="Z88" t="b">
        <v>1</v>
      </c>
      <c r="AA88" t="s">
        <v>209</v>
      </c>
      <c r="AB88">
        <f>IFERROR(INDEX('List of Leagues'!E:E, MATCH(AA88, 'List of Leagues'!F:F, 0)), 0)</f>
        <v>60.6</v>
      </c>
      <c r="AC88" t="s">
        <v>565</v>
      </c>
      <c r="AD88">
        <f>IFERROR(INDEX('List of Leagues'!E:E, MATCH(AC88, 'List of Leagues'!F:F, 0)), 0)</f>
        <v>68.5</v>
      </c>
      <c r="AE88" t="s">
        <v>762</v>
      </c>
      <c r="AF88">
        <f>IFERROR(INDEX('List of Leagues'!E:E, MATCH(AE88, 'List of Leagues'!F:F, 0)), 0)</f>
        <v>0</v>
      </c>
      <c r="AG88" t="s">
        <v>762</v>
      </c>
      <c r="AH88">
        <f>IFERROR(INDEX('List of Leagues'!E:E, MATCH(AG88, 'List of Leagues'!F:F, 0)), 0)</f>
        <v>0</v>
      </c>
      <c r="AI88" t="s">
        <v>762</v>
      </c>
      <c r="AJ88">
        <f>IFERROR(INDEX('List of Leagues'!E:E, MATCH(AI88, 'List of Leagues'!F:F, 0)), 0)</f>
        <v>0</v>
      </c>
      <c r="AK88" t="s">
        <v>762</v>
      </c>
      <c r="AL88">
        <f>IFERROR(INDEX('List of Leagues'!E:E, MATCH(AK88, 'List of Leagues'!F:F, 0)), 0)</f>
        <v>0</v>
      </c>
      <c r="AM88" t="s">
        <v>762</v>
      </c>
      <c r="AN88">
        <f>IFERROR(INDEX('List of Leagues'!E:E, MATCH(AM88, 'List of Leagues'!F:F, 0)), 0)</f>
        <v>0</v>
      </c>
      <c r="AO88" t="s">
        <v>762</v>
      </c>
      <c r="AP88">
        <f>IFERROR(INDEX('List of Leagues'!E:E, MATCH(AO88, 'List of Leagues'!F:F, 0)), 0)</f>
        <v>0</v>
      </c>
      <c r="AQ88">
        <f t="shared" si="46"/>
        <v>16.137499999999999</v>
      </c>
      <c r="AR88" t="s">
        <v>178</v>
      </c>
      <c r="AS88">
        <f>IFERROR(INDEX('List of Leagues'!$E:$E, MATCH(AR88, 'List of Leagues'!$F:$F, 0)), 0)</f>
        <v>69.3</v>
      </c>
      <c r="AT88" t="s">
        <v>762</v>
      </c>
      <c r="AU88">
        <f>IFERROR(INDEX('List of Leagues'!$E:$E, MATCH(AT88, 'List of Leagues'!$F:$F, 0)), 0)</f>
        <v>0</v>
      </c>
      <c r="AV88" t="s">
        <v>762</v>
      </c>
      <c r="AW88">
        <f>IFERROR(INDEX('List of Leagues'!$E:$E, MATCH(AV88, 'List of Leagues'!$F:$F, 0)), 0)</f>
        <v>0</v>
      </c>
      <c r="AX88" t="s">
        <v>762</v>
      </c>
      <c r="AY88">
        <f>IFERROR(INDEX('List of Leagues'!$E:$E, MATCH(AX88, 'List of Leagues'!$F:$F, 0)), 0)</f>
        <v>0</v>
      </c>
      <c r="AZ88" t="s">
        <v>762</v>
      </c>
      <c r="BA88">
        <f>IFERROR(INDEX('List of Leagues'!$E:$E, MATCH(AZ88, 'List of Leagues'!$F:$F, 0)), 0)</f>
        <v>0</v>
      </c>
      <c r="BB88" t="s">
        <v>762</v>
      </c>
      <c r="BC88">
        <f>IFERROR(INDEX('List of Leagues'!$E:$E, MATCH(BB88, 'List of Leagues'!$F:$F, 0)), 0)</f>
        <v>0</v>
      </c>
      <c r="BD88">
        <f t="shared" si="47"/>
        <v>11.549999999999999</v>
      </c>
    </row>
    <row r="89" spans="1:56" x14ac:dyDescent="0.35">
      <c r="A89" t="s">
        <v>93</v>
      </c>
      <c r="B89">
        <v>0</v>
      </c>
      <c r="C89">
        <f>IF(COUNTIF($A$11:A89, A89) &gt; 1, 1, 0)</f>
        <v>0</v>
      </c>
      <c r="D89">
        <v>2020</v>
      </c>
      <c r="E89" t="s">
        <v>94</v>
      </c>
      <c r="F89" t="str">
        <f t="shared" si="35"/>
        <v>-</v>
      </c>
      <c r="G89" t="s">
        <v>10</v>
      </c>
      <c r="H89" t="s">
        <v>10</v>
      </c>
      <c r="I89">
        <f t="shared" si="43"/>
        <v>0</v>
      </c>
      <c r="J89">
        <f>SUMIF(A$2:A89,A89, O$2:O89)</f>
        <v>23</v>
      </c>
      <c r="K89">
        <f>SUMIF(A$2:A89, A89, P$2:P89)</f>
        <v>7</v>
      </c>
      <c r="L89">
        <f>SUMIF(A$2:A89, A89, Q$2:Q89)</f>
        <v>3</v>
      </c>
      <c r="M89">
        <f>SUMIF(A$2:A89, A89, R$2:R89)</f>
        <v>13</v>
      </c>
      <c r="N89">
        <f t="shared" si="31"/>
        <v>24</v>
      </c>
      <c r="O89">
        <f t="shared" si="44"/>
        <v>23</v>
      </c>
      <c r="P89">
        <v>7</v>
      </c>
      <c r="Q89">
        <v>3</v>
      </c>
      <c r="R89">
        <v>13</v>
      </c>
      <c r="S89">
        <f t="shared" si="45"/>
        <v>24</v>
      </c>
      <c r="T89">
        <v>1</v>
      </c>
      <c r="U89">
        <f t="shared" si="48"/>
        <v>9</v>
      </c>
      <c r="V89">
        <f t="shared" si="39"/>
        <v>9</v>
      </c>
      <c r="W89">
        <f t="shared" si="40"/>
        <v>0</v>
      </c>
      <c r="X89">
        <v>8</v>
      </c>
      <c r="Y89">
        <v>0</v>
      </c>
      <c r="Z89" t="b">
        <v>1</v>
      </c>
      <c r="AA89" t="s">
        <v>584</v>
      </c>
      <c r="AB89">
        <f>IFERROR(INDEX('List of Leagues'!E:E, MATCH(AA89, 'List of Leagues'!F:F, 0)), 0)</f>
        <v>63.3</v>
      </c>
      <c r="AC89" t="s">
        <v>532</v>
      </c>
      <c r="AD89">
        <f>IFERROR(INDEX('List of Leagues'!E:E, MATCH(AC89, 'List of Leagues'!F:F, 0)), 0)</f>
        <v>80.8</v>
      </c>
      <c r="AE89" t="s">
        <v>762</v>
      </c>
      <c r="AF89">
        <f>IFERROR(INDEX('List of Leagues'!E:E, MATCH(AE89, 'List of Leagues'!F:F, 0)), 0)</f>
        <v>0</v>
      </c>
      <c r="AG89" t="s">
        <v>538</v>
      </c>
      <c r="AH89">
        <f>IFERROR(INDEX('List of Leagues'!E:E, MATCH(AG89, 'List of Leagues'!F:F, 0)), 0)</f>
        <v>77.3</v>
      </c>
      <c r="AI89" t="s">
        <v>273</v>
      </c>
      <c r="AJ89">
        <f>IFERROR(INDEX('List of Leagues'!E:E, MATCH(AI89, 'List of Leagues'!F:F, 0)), 0)</f>
        <v>67.5</v>
      </c>
      <c r="AK89" t="s">
        <v>201</v>
      </c>
      <c r="AL89">
        <f>IFERROR(INDEX('List of Leagues'!E:E, MATCH(AK89, 'List of Leagues'!F:F, 0)), 0)</f>
        <v>80</v>
      </c>
      <c r="AM89" t="s">
        <v>762</v>
      </c>
      <c r="AN89">
        <f>IFERROR(INDEX('List of Leagues'!E:E, MATCH(AM89, 'List of Leagues'!F:F, 0)), 0)</f>
        <v>0</v>
      </c>
      <c r="AO89" t="s">
        <v>762</v>
      </c>
      <c r="AP89">
        <f>IFERROR(INDEX('List of Leagues'!E:E, MATCH(AO89, 'List of Leagues'!F:F, 0)), 0)</f>
        <v>0</v>
      </c>
      <c r="AQ89">
        <f t="shared" si="46"/>
        <v>46.112499999999997</v>
      </c>
      <c r="AR89" t="s">
        <v>178</v>
      </c>
      <c r="AS89">
        <f>IFERROR(INDEX('List of Leagues'!$E:$E, MATCH(AR89, 'List of Leagues'!$F:$F, 0)), 0)</f>
        <v>69.3</v>
      </c>
      <c r="AT89" t="s">
        <v>201</v>
      </c>
      <c r="AU89">
        <f>IFERROR(INDEX('List of Leagues'!$E:$E, MATCH(AT89, 'List of Leagues'!$F:$F, 0)), 0)</f>
        <v>80</v>
      </c>
      <c r="AV89" t="s">
        <v>762</v>
      </c>
      <c r="AW89">
        <f>IFERROR(INDEX('List of Leagues'!$E:$E, MATCH(AV89, 'List of Leagues'!$F:$F, 0)), 0)</f>
        <v>0</v>
      </c>
      <c r="AX89" t="s">
        <v>762</v>
      </c>
      <c r="AY89">
        <f>IFERROR(INDEX('List of Leagues'!$E:$E, MATCH(AX89, 'List of Leagues'!$F:$F, 0)), 0)</f>
        <v>0</v>
      </c>
      <c r="AZ89" t="s">
        <v>762</v>
      </c>
      <c r="BA89">
        <f>IFERROR(INDEX('List of Leagues'!$E:$E, MATCH(AZ89, 'List of Leagues'!$F:$F, 0)), 0)</f>
        <v>0</v>
      </c>
      <c r="BB89" t="s">
        <v>762</v>
      </c>
      <c r="BC89">
        <f>IFERROR(INDEX('List of Leagues'!$E:$E, MATCH(BB89, 'List of Leagues'!$F:$F, 0)), 0)</f>
        <v>0</v>
      </c>
      <c r="BD89">
        <f t="shared" si="47"/>
        <v>24.883333333333336</v>
      </c>
    </row>
    <row r="90" spans="1:56" x14ac:dyDescent="0.35">
      <c r="A90" t="s">
        <v>98</v>
      </c>
      <c r="B90">
        <v>0</v>
      </c>
      <c r="C90">
        <f>IF(COUNTIF($A$11:A90, A90) &gt; 1, 1, 0)</f>
        <v>0</v>
      </c>
      <c r="D90">
        <v>2020</v>
      </c>
      <c r="E90" t="s">
        <v>17</v>
      </c>
      <c r="F90" t="str">
        <f t="shared" si="35"/>
        <v>-</v>
      </c>
      <c r="G90" t="s">
        <v>10</v>
      </c>
      <c r="H90" t="s">
        <v>10</v>
      </c>
      <c r="I90">
        <f t="shared" si="43"/>
        <v>0</v>
      </c>
      <c r="J90">
        <f>SUMIF(A$2:A90,A90, O$2:O90)</f>
        <v>79</v>
      </c>
      <c r="K90">
        <f>SUMIF(A$2:A90, A90, P$2:P90)</f>
        <v>29</v>
      </c>
      <c r="L90">
        <f>SUMIF(A$2:A90, A90, Q$2:Q90)</f>
        <v>23</v>
      </c>
      <c r="M90">
        <f>SUMIF(A$2:A90, A90, R$2:R90)</f>
        <v>27</v>
      </c>
      <c r="N90">
        <f t="shared" si="31"/>
        <v>110</v>
      </c>
      <c r="O90">
        <f t="shared" si="44"/>
        <v>79</v>
      </c>
      <c r="P90">
        <f>13+16</f>
        <v>29</v>
      </c>
      <c r="Q90">
        <f>9+8+6</f>
        <v>23</v>
      </c>
      <c r="R90">
        <f>11+16</f>
        <v>27</v>
      </c>
      <c r="S90">
        <f t="shared" si="45"/>
        <v>110</v>
      </c>
      <c r="T90">
        <v>3</v>
      </c>
      <c r="U90">
        <f t="shared" si="48"/>
        <v>11</v>
      </c>
      <c r="V90">
        <f t="shared" si="39"/>
        <v>11</v>
      </c>
      <c r="W90">
        <f t="shared" si="40"/>
        <v>0</v>
      </c>
      <c r="X90">
        <v>8</v>
      </c>
      <c r="Y90">
        <v>0</v>
      </c>
      <c r="Z90" t="b">
        <v>1</v>
      </c>
      <c r="AA90" t="s">
        <v>206</v>
      </c>
      <c r="AB90">
        <f>IFERROR(INDEX('List of Leagues'!E:E, MATCH(AA90, 'List of Leagues'!F:F, 0)), 0)</f>
        <v>75.3</v>
      </c>
      <c r="AC90" t="s">
        <v>762</v>
      </c>
      <c r="AD90">
        <f>IFERROR(INDEX('List of Leagues'!E:E, MATCH(AC90, 'List of Leagues'!F:F, 0)), 0)</f>
        <v>0</v>
      </c>
      <c r="AE90" t="s">
        <v>178</v>
      </c>
      <c r="AF90">
        <f>IFERROR(INDEX('List of Leagues'!E:E, MATCH(AE90, 'List of Leagues'!F:F, 0)), 0)</f>
        <v>69.3</v>
      </c>
      <c r="AG90" t="s">
        <v>762</v>
      </c>
      <c r="AH90">
        <f>IFERROR(INDEX('List of Leagues'!E:E, MATCH(AG90, 'List of Leagues'!F:F, 0)), 0)</f>
        <v>0</v>
      </c>
      <c r="AI90" t="s">
        <v>762</v>
      </c>
      <c r="AJ90">
        <f>IFERROR(INDEX('List of Leagues'!E:E, MATCH(AI90, 'List of Leagues'!F:F, 0)), 0)</f>
        <v>0</v>
      </c>
      <c r="AK90" t="s">
        <v>762</v>
      </c>
      <c r="AL90">
        <f>IFERROR(INDEX('List of Leagues'!E:E, MATCH(AK90, 'List of Leagues'!F:F, 0)), 0)</f>
        <v>0</v>
      </c>
      <c r="AM90" t="s">
        <v>762</v>
      </c>
      <c r="AN90">
        <f>IFERROR(INDEX('List of Leagues'!E:E, MATCH(AM90, 'List of Leagues'!F:F, 0)), 0)</f>
        <v>0</v>
      </c>
      <c r="AO90" t="s">
        <v>762</v>
      </c>
      <c r="AP90">
        <f>IFERROR(INDEX('List of Leagues'!E:E, MATCH(AO90, 'List of Leagues'!F:F, 0)), 0)</f>
        <v>0</v>
      </c>
      <c r="AQ90">
        <f t="shared" si="46"/>
        <v>18.074999999999999</v>
      </c>
      <c r="AR90" t="s">
        <v>177</v>
      </c>
      <c r="AS90">
        <f>IFERROR(INDEX('List of Leagues'!$E:$E, MATCH(AR90, 'List of Leagues'!$F:$F, 0)), 0)</f>
        <v>0</v>
      </c>
      <c r="AT90" t="s">
        <v>762</v>
      </c>
      <c r="AU90">
        <f>IFERROR(INDEX('List of Leagues'!$E:$E, MATCH(AT90, 'List of Leagues'!$F:$F, 0)), 0)</f>
        <v>0</v>
      </c>
      <c r="AV90" t="s">
        <v>762</v>
      </c>
      <c r="AW90">
        <f>IFERROR(INDEX('List of Leagues'!$E:$E, MATCH(AV90, 'List of Leagues'!$F:$F, 0)), 0)</f>
        <v>0</v>
      </c>
      <c r="AX90" t="s">
        <v>762</v>
      </c>
      <c r="AY90">
        <f>IFERROR(INDEX('List of Leagues'!$E:$E, MATCH(AX90, 'List of Leagues'!$F:$F, 0)), 0)</f>
        <v>0</v>
      </c>
      <c r="AZ90" t="s">
        <v>762</v>
      </c>
      <c r="BA90">
        <f>IFERROR(INDEX('List of Leagues'!$E:$E, MATCH(AZ90, 'List of Leagues'!$F:$F, 0)), 0)</f>
        <v>0</v>
      </c>
      <c r="BB90" t="s">
        <v>762</v>
      </c>
      <c r="BC90">
        <f>IFERROR(INDEX('List of Leagues'!$E:$E, MATCH(BB90, 'List of Leagues'!$F:$F, 0)), 0)</f>
        <v>0</v>
      </c>
      <c r="BD90">
        <f t="shared" si="47"/>
        <v>0</v>
      </c>
    </row>
    <row r="91" spans="1:56" x14ac:dyDescent="0.35">
      <c r="A91" t="s">
        <v>91</v>
      </c>
      <c r="B91">
        <v>0</v>
      </c>
      <c r="C91">
        <f>IF(COUNTIF($A$11:A91, A91) &gt; 1, 1, 0)</f>
        <v>0</v>
      </c>
      <c r="D91">
        <v>2020</v>
      </c>
      <c r="E91" t="s">
        <v>196</v>
      </c>
      <c r="F91" t="str">
        <f t="shared" si="35"/>
        <v>-</v>
      </c>
      <c r="G91" t="s">
        <v>10</v>
      </c>
      <c r="H91" t="s">
        <v>10</v>
      </c>
      <c r="I91">
        <f t="shared" si="43"/>
        <v>0</v>
      </c>
      <c r="J91">
        <f>SUMIF(A$2:A91,A91, O$2:O91)</f>
        <v>48</v>
      </c>
      <c r="K91">
        <f>SUMIF(A$2:A91, A91, P$2:P91)</f>
        <v>8</v>
      </c>
      <c r="L91">
        <f>SUMIF(A$2:A91, A91, Q$2:Q91)</f>
        <v>12</v>
      </c>
      <c r="M91">
        <f>SUMIF(A$2:A91, A91, R$2:R91)</f>
        <v>28</v>
      </c>
      <c r="N91">
        <f t="shared" si="31"/>
        <v>36</v>
      </c>
      <c r="O91">
        <f t="shared" si="44"/>
        <v>48</v>
      </c>
      <c r="P91">
        <v>8</v>
      </c>
      <c r="Q91">
        <v>12</v>
      </c>
      <c r="R91">
        <f>22-9+15</f>
        <v>28</v>
      </c>
      <c r="S91">
        <f t="shared" si="45"/>
        <v>36</v>
      </c>
      <c r="T91">
        <v>2</v>
      </c>
      <c r="U91">
        <f t="shared" si="48"/>
        <v>9</v>
      </c>
      <c r="V91">
        <f t="shared" si="39"/>
        <v>9</v>
      </c>
      <c r="W91">
        <f t="shared" si="40"/>
        <v>5</v>
      </c>
      <c r="X91">
        <v>7</v>
      </c>
      <c r="Y91">
        <v>5</v>
      </c>
      <c r="Z91" t="b">
        <v>1</v>
      </c>
      <c r="AA91" t="s">
        <v>209</v>
      </c>
      <c r="AB91">
        <f>IFERROR(INDEX('List of Leagues'!E:E, MATCH(AA91, 'List of Leagues'!F:F, 0)), 0)</f>
        <v>60.6</v>
      </c>
      <c r="AC91" t="s">
        <v>197</v>
      </c>
      <c r="AD91">
        <f>IFERROR(INDEX('List of Leagues'!E:E, MATCH(AC91, 'List of Leagues'!F:F, 0)), 0)</f>
        <v>78.400000000000006</v>
      </c>
      <c r="AE91" t="s">
        <v>768</v>
      </c>
      <c r="AF91">
        <f>IFERROR(INDEX('List of Leagues'!E:E, MATCH(AE91, 'List of Leagues'!F:F, 0)), 0)</f>
        <v>59.7</v>
      </c>
      <c r="AG91" t="s">
        <v>529</v>
      </c>
      <c r="AH91">
        <f>IFERROR(INDEX('List of Leagues'!E:E, MATCH(AG91, 'List of Leagues'!F:F, 0)), 0)</f>
        <v>89.5</v>
      </c>
      <c r="AI91" t="s">
        <v>756</v>
      </c>
      <c r="AJ91">
        <f>IFERROR(INDEX('List of Leagues'!E:E, MATCH(AI91, 'List of Leagues'!F:F, 0)), 0)</f>
        <v>76.8</v>
      </c>
      <c r="AK91" t="s">
        <v>762</v>
      </c>
      <c r="AL91">
        <f>IFERROR(INDEX('List of Leagues'!E:E, MATCH(AK91, 'List of Leagues'!F:F, 0)), 0)</f>
        <v>0</v>
      </c>
      <c r="AM91" t="s">
        <v>762</v>
      </c>
      <c r="AN91">
        <f>IFERROR(INDEX('List of Leagues'!E:E, MATCH(AM91, 'List of Leagues'!F:F, 0)), 0)</f>
        <v>0</v>
      </c>
      <c r="AO91" t="s">
        <v>762</v>
      </c>
      <c r="AP91">
        <f>IFERROR(INDEX('List of Leagues'!E:E, MATCH(AO91, 'List of Leagues'!F:F, 0)), 0)</f>
        <v>0</v>
      </c>
      <c r="AQ91">
        <f t="shared" si="46"/>
        <v>45.625</v>
      </c>
      <c r="AR91" t="s">
        <v>178</v>
      </c>
      <c r="AS91">
        <f>IFERROR(INDEX('List of Leagues'!$E:$E, MATCH(AR91, 'List of Leagues'!$F:$F, 0)), 0)</f>
        <v>69.3</v>
      </c>
      <c r="AT91" t="s">
        <v>762</v>
      </c>
      <c r="AU91">
        <f>IFERROR(INDEX('List of Leagues'!$E:$E, MATCH(AT91, 'List of Leagues'!$F:$F, 0)), 0)</f>
        <v>0</v>
      </c>
      <c r="AV91" t="s">
        <v>762</v>
      </c>
      <c r="AW91">
        <f>IFERROR(INDEX('List of Leagues'!$E:$E, MATCH(AV91, 'List of Leagues'!$F:$F, 0)), 0)</f>
        <v>0</v>
      </c>
      <c r="AX91" t="s">
        <v>762</v>
      </c>
      <c r="AY91">
        <f>IFERROR(INDEX('List of Leagues'!$E:$E, MATCH(AX91, 'List of Leagues'!$F:$F, 0)), 0)</f>
        <v>0</v>
      </c>
      <c r="AZ91" t="s">
        <v>762</v>
      </c>
      <c r="BA91">
        <f>IFERROR(INDEX('List of Leagues'!$E:$E, MATCH(AZ91, 'List of Leagues'!$F:$F, 0)), 0)</f>
        <v>0</v>
      </c>
      <c r="BB91" t="s">
        <v>762</v>
      </c>
      <c r="BC91">
        <f>IFERROR(INDEX('List of Leagues'!$E:$E, MATCH(BB91, 'List of Leagues'!$F:$F, 0)), 0)</f>
        <v>0</v>
      </c>
      <c r="BD91">
        <f t="shared" si="47"/>
        <v>11.549999999999999</v>
      </c>
    </row>
    <row r="92" spans="1:56" x14ac:dyDescent="0.35">
      <c r="A92" t="s">
        <v>90</v>
      </c>
      <c r="B92">
        <v>0</v>
      </c>
      <c r="C92">
        <f>IF(COUNTIF($A$11:A92, A92) &gt; 1, 1, 0)</f>
        <v>0</v>
      </c>
      <c r="D92">
        <v>2020</v>
      </c>
      <c r="E92" t="s">
        <v>5</v>
      </c>
      <c r="F92" t="str">
        <f t="shared" si="35"/>
        <v>-</v>
      </c>
      <c r="G92" t="s">
        <v>10</v>
      </c>
      <c r="H92" t="s">
        <v>10</v>
      </c>
      <c r="I92">
        <f t="shared" si="43"/>
        <v>0</v>
      </c>
      <c r="J92">
        <f>SUMIF(A$2:A92,A92, O$2:O92)</f>
        <v>51</v>
      </c>
      <c r="K92">
        <f>SUMIF(A$2:A92, A92, P$2:P92)</f>
        <v>12</v>
      </c>
      <c r="L92">
        <f>SUMIF(A$2:A92, A92, Q$2:Q92)</f>
        <v>14</v>
      </c>
      <c r="M92">
        <f>SUMIF(A$2:A92, A92, R$2:R92)</f>
        <v>25</v>
      </c>
      <c r="N92">
        <f t="shared" si="31"/>
        <v>50</v>
      </c>
      <c r="O92">
        <f t="shared" si="44"/>
        <v>51</v>
      </c>
      <c r="P92">
        <v>12</v>
      </c>
      <c r="Q92">
        <v>14</v>
      </c>
      <c r="R92">
        <v>25</v>
      </c>
      <c r="S92">
        <f t="shared" si="45"/>
        <v>50</v>
      </c>
      <c r="T92">
        <v>2</v>
      </c>
      <c r="U92">
        <f t="shared" si="48"/>
        <v>12</v>
      </c>
      <c r="V92">
        <f t="shared" si="39"/>
        <v>12</v>
      </c>
      <c r="W92">
        <f t="shared" si="40"/>
        <v>0</v>
      </c>
      <c r="X92">
        <v>10</v>
      </c>
      <c r="Y92">
        <v>0</v>
      </c>
      <c r="Z92" t="b">
        <v>1</v>
      </c>
      <c r="AA92" t="s">
        <v>539</v>
      </c>
      <c r="AB92">
        <f>IFERROR(INDEX('List of Leagues'!E:E, MATCH(AA92, 'List of Leagues'!F:F, 0)), 0)</f>
        <v>77.400000000000006</v>
      </c>
      <c r="AC92" t="s">
        <v>756</v>
      </c>
      <c r="AD92">
        <f>IFERROR(INDEX('List of Leagues'!E:E, MATCH(AC92, 'List of Leagues'!F:F, 0)), 0)</f>
        <v>76.8</v>
      </c>
      <c r="AE92" t="s">
        <v>756</v>
      </c>
      <c r="AF92">
        <f>IFERROR(INDEX('List of Leagues'!E:E, MATCH(AE92, 'List of Leagues'!F:F, 0)), 0)</f>
        <v>76.8</v>
      </c>
      <c r="AG92" t="s">
        <v>537</v>
      </c>
      <c r="AH92">
        <f>IFERROR(INDEX('List of Leagues'!E:E, MATCH(AG92, 'List of Leagues'!F:F, 0)), 0)</f>
        <v>71</v>
      </c>
      <c r="AI92" t="s">
        <v>542</v>
      </c>
      <c r="AJ92">
        <f>IFERROR(INDEX('List of Leagues'!E:E, MATCH(AI92, 'List of Leagues'!F:F, 0)), 0)</f>
        <v>90.3</v>
      </c>
      <c r="AK92" t="s">
        <v>762</v>
      </c>
      <c r="AL92">
        <f>IFERROR(INDEX('List of Leagues'!E:E, MATCH(AK92, 'List of Leagues'!F:F, 0)), 0)</f>
        <v>0</v>
      </c>
      <c r="AM92" t="s">
        <v>762</v>
      </c>
      <c r="AN92">
        <f>IFERROR(INDEX('List of Leagues'!E:E, MATCH(AM92, 'List of Leagues'!F:F, 0)), 0)</f>
        <v>0</v>
      </c>
      <c r="AO92" t="s">
        <v>762</v>
      </c>
      <c r="AP92">
        <f>IFERROR(INDEX('List of Leagues'!E:E, MATCH(AO92, 'List of Leagues'!F:F, 0)), 0)</f>
        <v>0</v>
      </c>
      <c r="AQ92">
        <f t="shared" si="46"/>
        <v>49.037500000000001</v>
      </c>
      <c r="AR92" t="s">
        <v>215</v>
      </c>
      <c r="AS92">
        <f>IFERROR(INDEX('List of Leagues'!$E:$E, MATCH(AR92, 'List of Leagues'!$F:$F, 0)), 0)</f>
        <v>0</v>
      </c>
      <c r="AT92" t="s">
        <v>762</v>
      </c>
      <c r="AU92">
        <f>IFERROR(INDEX('List of Leagues'!$E:$E, MATCH(AT92, 'List of Leagues'!$F:$F, 0)), 0)</f>
        <v>0</v>
      </c>
      <c r="AV92" t="s">
        <v>762</v>
      </c>
      <c r="AW92">
        <f>IFERROR(INDEX('List of Leagues'!$E:$E, MATCH(AV92, 'List of Leagues'!$F:$F, 0)), 0)</f>
        <v>0</v>
      </c>
      <c r="AX92" t="s">
        <v>762</v>
      </c>
      <c r="AY92">
        <f>IFERROR(INDEX('List of Leagues'!$E:$E, MATCH(AX92, 'List of Leagues'!$F:$F, 0)), 0)</f>
        <v>0</v>
      </c>
      <c r="AZ92" t="s">
        <v>762</v>
      </c>
      <c r="BA92">
        <f>IFERROR(INDEX('List of Leagues'!$E:$E, MATCH(AZ92, 'List of Leagues'!$F:$F, 0)), 0)</f>
        <v>0</v>
      </c>
      <c r="BB92" t="s">
        <v>762</v>
      </c>
      <c r="BC92">
        <f>IFERROR(INDEX('List of Leagues'!$E:$E, MATCH(BB92, 'List of Leagues'!$F:$F, 0)), 0)</f>
        <v>0</v>
      </c>
      <c r="BD92">
        <f t="shared" si="47"/>
        <v>0</v>
      </c>
    </row>
    <row r="93" spans="1:56" x14ac:dyDescent="0.35">
      <c r="A93" t="s">
        <v>97</v>
      </c>
      <c r="B93">
        <v>0</v>
      </c>
      <c r="C93">
        <f>IF(COUNTIF($A$11:A93, A93) &gt; 1, 1, 0)</f>
        <v>0</v>
      </c>
      <c r="D93">
        <v>2020</v>
      </c>
      <c r="E93" t="s">
        <v>195</v>
      </c>
      <c r="F93" t="str">
        <f t="shared" si="35"/>
        <v>-</v>
      </c>
      <c r="G93" t="s">
        <v>10</v>
      </c>
      <c r="H93" t="s">
        <v>10</v>
      </c>
      <c r="I93">
        <f t="shared" si="43"/>
        <v>0</v>
      </c>
      <c r="J93">
        <f>SUMIF(A$2:A93,A93, O$2:O93)</f>
        <v>70</v>
      </c>
      <c r="K93">
        <f>SUMIF(A$2:A93, A93, P$2:P93)</f>
        <v>34</v>
      </c>
      <c r="L93">
        <f>SUMIF(A$2:A93, A93, Q$2:Q93)</f>
        <v>14</v>
      </c>
      <c r="M93">
        <f>SUMIF(A$2:A93, A93, R$2:R93)</f>
        <v>22</v>
      </c>
      <c r="N93">
        <f t="shared" si="31"/>
        <v>116</v>
      </c>
      <c r="O93">
        <f t="shared" si="44"/>
        <v>70</v>
      </c>
      <c r="P93">
        <f>12+14+8</f>
        <v>34</v>
      </c>
      <c r="Q93">
        <f>3+9+2</f>
        <v>14</v>
      </c>
      <c r="R93">
        <f>8+11+3</f>
        <v>22</v>
      </c>
      <c r="S93">
        <f t="shared" si="45"/>
        <v>116</v>
      </c>
      <c r="T93">
        <v>3</v>
      </c>
      <c r="U93">
        <f t="shared" si="48"/>
        <v>15</v>
      </c>
      <c r="V93">
        <f t="shared" si="39"/>
        <v>15</v>
      </c>
      <c r="W93">
        <f t="shared" si="40"/>
        <v>2</v>
      </c>
      <c r="X93">
        <v>12</v>
      </c>
      <c r="Y93">
        <v>2</v>
      </c>
      <c r="Z93" t="b">
        <v>1</v>
      </c>
      <c r="AA93" t="s">
        <v>754</v>
      </c>
      <c r="AB93">
        <f>IFERROR(INDEX('List of Leagues'!E:E, MATCH(AA93, 'List of Leagues'!F:F, 0)), 0)</f>
        <v>72.099999999999994</v>
      </c>
      <c r="AC93" t="s">
        <v>768</v>
      </c>
      <c r="AD93">
        <f>IFERROR(INDEX('List of Leagues'!E:E, MATCH(AC93, 'List of Leagues'!F:F, 0)), 0)</f>
        <v>59.7</v>
      </c>
      <c r="AE93" t="s">
        <v>529</v>
      </c>
      <c r="AF93">
        <f>IFERROR(INDEX('List of Leagues'!E:E, MATCH(AE93, 'List of Leagues'!F:F, 0)), 0)</f>
        <v>89.5</v>
      </c>
      <c r="AG93" t="s">
        <v>762</v>
      </c>
      <c r="AH93">
        <f>IFERROR(INDEX('List of Leagues'!E:E, MATCH(AG93, 'List of Leagues'!F:F, 0)), 0)</f>
        <v>0</v>
      </c>
      <c r="AI93" t="s">
        <v>762</v>
      </c>
      <c r="AJ93">
        <f>IFERROR(INDEX('List of Leagues'!E:E, MATCH(AI93, 'List of Leagues'!F:F, 0)), 0)</f>
        <v>0</v>
      </c>
      <c r="AK93" t="s">
        <v>762</v>
      </c>
      <c r="AL93">
        <f>IFERROR(INDEX('List of Leagues'!E:E, MATCH(AK93, 'List of Leagues'!F:F, 0)), 0)</f>
        <v>0</v>
      </c>
      <c r="AM93" t="s">
        <v>762</v>
      </c>
      <c r="AN93">
        <f>IFERROR(INDEX('List of Leagues'!E:E, MATCH(AM93, 'List of Leagues'!F:F, 0)), 0)</f>
        <v>0</v>
      </c>
      <c r="AO93" t="s">
        <v>762</v>
      </c>
      <c r="AP93">
        <f>IFERROR(INDEX('List of Leagues'!E:E, MATCH(AO93, 'List of Leagues'!F:F, 0)), 0)</f>
        <v>0</v>
      </c>
      <c r="AQ93">
        <f t="shared" si="46"/>
        <v>27.662500000000001</v>
      </c>
      <c r="AR93" t="s">
        <v>185</v>
      </c>
      <c r="AS93">
        <f>IFERROR(INDEX('List of Leagues'!$E:$E, MATCH(AR93, 'List of Leagues'!$F:$F, 0)), 0)</f>
        <v>75.400000000000006</v>
      </c>
      <c r="AT93" t="s">
        <v>762</v>
      </c>
      <c r="AU93">
        <f>IFERROR(INDEX('List of Leagues'!$E:$E, MATCH(AT93, 'List of Leagues'!$F:$F, 0)), 0)</f>
        <v>0</v>
      </c>
      <c r="AV93" t="s">
        <v>762</v>
      </c>
      <c r="AW93">
        <f>IFERROR(INDEX('List of Leagues'!$E:$E, MATCH(AV93, 'List of Leagues'!$F:$F, 0)), 0)</f>
        <v>0</v>
      </c>
      <c r="AX93" t="s">
        <v>762</v>
      </c>
      <c r="AY93">
        <f>IFERROR(INDEX('List of Leagues'!$E:$E, MATCH(AX93, 'List of Leagues'!$F:$F, 0)), 0)</f>
        <v>0</v>
      </c>
      <c r="AZ93" t="s">
        <v>762</v>
      </c>
      <c r="BA93">
        <f>IFERROR(INDEX('List of Leagues'!$E:$E, MATCH(AZ93, 'List of Leagues'!$F:$F, 0)), 0)</f>
        <v>0</v>
      </c>
      <c r="BB93" t="s">
        <v>762</v>
      </c>
      <c r="BC93">
        <f>IFERROR(INDEX('List of Leagues'!$E:$E, MATCH(BB93, 'List of Leagues'!$F:$F, 0)), 0)</f>
        <v>0</v>
      </c>
      <c r="BD93">
        <f t="shared" si="47"/>
        <v>12.566666666666668</v>
      </c>
    </row>
    <row r="94" spans="1:56" x14ac:dyDescent="0.35">
      <c r="A94" t="s">
        <v>92</v>
      </c>
      <c r="B94">
        <v>0</v>
      </c>
      <c r="C94">
        <f>IF(COUNTIF($A$11:A94, A94) &gt; 1, 1, 0)</f>
        <v>0</v>
      </c>
      <c r="D94">
        <v>2020</v>
      </c>
      <c r="E94" t="s">
        <v>64</v>
      </c>
      <c r="F94" t="str">
        <f t="shared" si="35"/>
        <v>-</v>
      </c>
      <c r="G94" t="s">
        <v>6</v>
      </c>
      <c r="H94" t="s">
        <v>132</v>
      </c>
      <c r="I94">
        <f t="shared" si="43"/>
        <v>0</v>
      </c>
      <c r="J94">
        <f>SUMIF(A$2:A94,A94, O$2:O94)</f>
        <v>57</v>
      </c>
      <c r="K94">
        <f>SUMIF(A$2:A94, A94, P$2:P94)</f>
        <v>10</v>
      </c>
      <c r="L94">
        <f>SUMIF(A$2:A94, A94, Q$2:Q94)</f>
        <v>21</v>
      </c>
      <c r="M94">
        <f>SUMIF(A$2:A94, A94, R$2:R94)</f>
        <v>26</v>
      </c>
      <c r="N94">
        <f t="shared" si="31"/>
        <v>51</v>
      </c>
      <c r="O94">
        <f t="shared" si="44"/>
        <v>57</v>
      </c>
      <c r="P94">
        <v>10</v>
      </c>
      <c r="Q94">
        <v>21</v>
      </c>
      <c r="R94">
        <v>26</v>
      </c>
      <c r="S94">
        <f t="shared" si="45"/>
        <v>51</v>
      </c>
      <c r="T94">
        <v>2</v>
      </c>
      <c r="U94">
        <f t="shared" si="48"/>
        <v>10</v>
      </c>
      <c r="V94">
        <f t="shared" si="39"/>
        <v>10</v>
      </c>
      <c r="W94">
        <f t="shared" si="40"/>
        <v>4</v>
      </c>
      <c r="X94">
        <v>8</v>
      </c>
      <c r="Y94">
        <v>4</v>
      </c>
      <c r="Z94" t="b">
        <v>1</v>
      </c>
      <c r="AA94" t="s">
        <v>537</v>
      </c>
      <c r="AB94">
        <f>IFERROR(INDEX('List of Leagues'!E:E, MATCH(AA94, 'List of Leagues'!F:F, 0)), 0)</f>
        <v>71</v>
      </c>
      <c r="AC94" t="s">
        <v>178</v>
      </c>
      <c r="AD94">
        <f>IFERROR(INDEX('List of Leagues'!E:E, MATCH(AC94, 'List of Leagues'!F:F, 0)), 0)</f>
        <v>69.3</v>
      </c>
      <c r="AE94" t="s">
        <v>756</v>
      </c>
      <c r="AF94">
        <f>IFERROR(INDEX('List of Leagues'!E:E, MATCH(AE94, 'List of Leagues'!F:F, 0)), 0)</f>
        <v>76.8</v>
      </c>
      <c r="AG94" t="s">
        <v>756</v>
      </c>
      <c r="AH94">
        <f>IFERROR(INDEX('List of Leagues'!E:E, MATCH(AG94, 'List of Leagues'!F:F, 0)), 0)</f>
        <v>76.8</v>
      </c>
      <c r="AI94" t="s">
        <v>762</v>
      </c>
      <c r="AJ94">
        <f>IFERROR(INDEX('List of Leagues'!E:E, MATCH(AI94, 'List of Leagues'!F:F, 0)), 0)</f>
        <v>0</v>
      </c>
      <c r="AK94" t="s">
        <v>762</v>
      </c>
      <c r="AL94">
        <f>IFERROR(INDEX('List of Leagues'!E:E, MATCH(AK94, 'List of Leagues'!F:F, 0)), 0)</f>
        <v>0</v>
      </c>
      <c r="AM94" t="s">
        <v>762</v>
      </c>
      <c r="AN94">
        <f>IFERROR(INDEX('List of Leagues'!E:E, MATCH(AM94, 'List of Leagues'!F:F, 0)), 0)</f>
        <v>0</v>
      </c>
      <c r="AO94" t="s">
        <v>762</v>
      </c>
      <c r="AP94">
        <f>IFERROR(INDEX('List of Leagues'!E:E, MATCH(AO94, 'List of Leagues'!F:F, 0)), 0)</f>
        <v>0</v>
      </c>
      <c r="AQ94">
        <f t="shared" si="46"/>
        <v>36.737500000000004</v>
      </c>
      <c r="AR94" t="s">
        <v>213</v>
      </c>
      <c r="AS94">
        <f>IFERROR(INDEX('List of Leagues'!$E:$E, MATCH(AR94, 'List of Leagues'!$F:$F, 0)), 0)</f>
        <v>0</v>
      </c>
      <c r="AT94" t="s">
        <v>762</v>
      </c>
      <c r="AU94">
        <f>IFERROR(INDEX('List of Leagues'!$E:$E, MATCH(AT94, 'List of Leagues'!$F:$F, 0)), 0)</f>
        <v>0</v>
      </c>
      <c r="AV94" t="s">
        <v>762</v>
      </c>
      <c r="AW94">
        <f>IFERROR(INDEX('List of Leagues'!$E:$E, MATCH(AV94, 'List of Leagues'!$F:$F, 0)), 0)</f>
        <v>0</v>
      </c>
      <c r="AX94" t="s">
        <v>762</v>
      </c>
      <c r="AY94">
        <f>IFERROR(INDEX('List of Leagues'!$E:$E, MATCH(AX94, 'List of Leagues'!$F:$F, 0)), 0)</f>
        <v>0</v>
      </c>
      <c r="AZ94" t="s">
        <v>762</v>
      </c>
      <c r="BA94">
        <f>IFERROR(INDEX('List of Leagues'!$E:$E, MATCH(AZ94, 'List of Leagues'!$F:$F, 0)), 0)</f>
        <v>0</v>
      </c>
      <c r="BB94" t="s">
        <v>762</v>
      </c>
      <c r="BC94">
        <f>IFERROR(INDEX('List of Leagues'!$E:$E, MATCH(BB94, 'List of Leagues'!$F:$F, 0)), 0)</f>
        <v>0</v>
      </c>
      <c r="BD94">
        <f t="shared" si="47"/>
        <v>0</v>
      </c>
    </row>
    <row r="95" spans="1:56" x14ac:dyDescent="0.35">
      <c r="A95" t="s">
        <v>95</v>
      </c>
      <c r="B95">
        <v>0</v>
      </c>
      <c r="C95">
        <f>IF(COUNTIF($A$11:A95, A95) &gt; 1, 1, 0)</f>
        <v>0</v>
      </c>
      <c r="D95">
        <v>2020</v>
      </c>
      <c r="E95" t="s">
        <v>45</v>
      </c>
      <c r="F95" t="str">
        <f t="shared" si="35"/>
        <v>-</v>
      </c>
      <c r="G95" t="s">
        <v>6</v>
      </c>
      <c r="H95" t="s">
        <v>131</v>
      </c>
      <c r="I95">
        <f t="shared" si="43"/>
        <v>1</v>
      </c>
      <c r="J95">
        <f>SUMIF(A$2:A95,A95, O$2:O95)</f>
        <v>23</v>
      </c>
      <c r="K95">
        <f>SUMIF(A$2:A95, A95, P$2:P95)</f>
        <v>8</v>
      </c>
      <c r="L95">
        <f>SUMIF(A$2:A95, A95, Q$2:Q95)</f>
        <v>2</v>
      </c>
      <c r="M95">
        <f>SUMIF(A$2:A95, A95, R$2:R95)</f>
        <v>13</v>
      </c>
      <c r="N95">
        <f t="shared" si="31"/>
        <v>26</v>
      </c>
      <c r="O95">
        <f t="shared" si="44"/>
        <v>23</v>
      </c>
      <c r="P95">
        <v>8</v>
      </c>
      <c r="Q95">
        <v>2</v>
      </c>
      <c r="R95">
        <v>13</v>
      </c>
      <c r="S95">
        <f t="shared" si="45"/>
        <v>26</v>
      </c>
      <c r="T95">
        <v>1</v>
      </c>
      <c r="U95">
        <f t="shared" si="48"/>
        <v>2</v>
      </c>
      <c r="V95">
        <f t="shared" si="39"/>
        <v>2</v>
      </c>
      <c r="W95">
        <f t="shared" si="40"/>
        <v>2</v>
      </c>
      <c r="X95">
        <v>1</v>
      </c>
      <c r="Y95">
        <v>2</v>
      </c>
      <c r="Z95" t="b">
        <v>1</v>
      </c>
      <c r="AA95" t="s">
        <v>208</v>
      </c>
      <c r="AB95">
        <f>IFERROR(INDEX('List of Leagues'!E:E, MATCH(AA95, 'List of Leagues'!F:F, 0)), 0)</f>
        <v>85.1</v>
      </c>
      <c r="AC95" t="s">
        <v>184</v>
      </c>
      <c r="AD95">
        <f>IFERROR(INDEX('List of Leagues'!E:E, MATCH(AC95, 'List of Leagues'!F:F, 0)), 0)</f>
        <v>93.8</v>
      </c>
      <c r="AE95" t="s">
        <v>762</v>
      </c>
      <c r="AF95">
        <f>IFERROR(INDEX('List of Leagues'!E:E, MATCH(AE95, 'List of Leagues'!F:F, 0)), 0)</f>
        <v>0</v>
      </c>
      <c r="AG95" t="s">
        <v>537</v>
      </c>
      <c r="AH95">
        <f>IFERROR(INDEX('List of Leagues'!E:E, MATCH(AG95, 'List of Leagues'!F:F, 0)), 0)</f>
        <v>71</v>
      </c>
      <c r="AI95" t="s">
        <v>178</v>
      </c>
      <c r="AJ95">
        <f>IFERROR(INDEX('List of Leagues'!E:E, MATCH(AI95, 'List of Leagues'!F:F, 0)), 0)</f>
        <v>69.3</v>
      </c>
      <c r="AK95" t="s">
        <v>762</v>
      </c>
      <c r="AL95">
        <f>IFERROR(INDEX('List of Leagues'!E:E, MATCH(AK95, 'List of Leagues'!F:F, 0)), 0)</f>
        <v>0</v>
      </c>
      <c r="AM95" t="s">
        <v>762</v>
      </c>
      <c r="AN95">
        <f>IFERROR(INDEX('List of Leagues'!E:E, MATCH(AM95, 'List of Leagues'!F:F, 0)), 0)</f>
        <v>0</v>
      </c>
      <c r="AO95" t="s">
        <v>762</v>
      </c>
      <c r="AP95">
        <f>IFERROR(INDEX('List of Leagues'!E:E, MATCH(AO95, 'List of Leagues'!F:F, 0)), 0)</f>
        <v>0</v>
      </c>
      <c r="AQ95">
        <f t="shared" si="46"/>
        <v>39.9</v>
      </c>
      <c r="AR95" t="s">
        <v>177</v>
      </c>
      <c r="AS95">
        <f>IFERROR(INDEX('List of Leagues'!$E:$E, MATCH(AR95, 'List of Leagues'!$F:$F, 0)), 0)</f>
        <v>0</v>
      </c>
      <c r="AT95" t="s">
        <v>762</v>
      </c>
      <c r="AU95">
        <f>IFERROR(INDEX('List of Leagues'!$E:$E, MATCH(AT95, 'List of Leagues'!$F:$F, 0)), 0)</f>
        <v>0</v>
      </c>
      <c r="AV95" t="s">
        <v>762</v>
      </c>
      <c r="AW95">
        <f>IFERROR(INDEX('List of Leagues'!$E:$E, MATCH(AV95, 'List of Leagues'!$F:$F, 0)), 0)</f>
        <v>0</v>
      </c>
      <c r="AX95" t="s">
        <v>762</v>
      </c>
      <c r="AY95">
        <f>IFERROR(INDEX('List of Leagues'!$E:$E, MATCH(AX95, 'List of Leagues'!$F:$F, 0)), 0)</f>
        <v>0</v>
      </c>
      <c r="AZ95" t="s">
        <v>762</v>
      </c>
      <c r="BA95">
        <f>IFERROR(INDEX('List of Leagues'!$E:$E, MATCH(AZ95, 'List of Leagues'!$F:$F, 0)), 0)</f>
        <v>0</v>
      </c>
      <c r="BB95" t="s">
        <v>762</v>
      </c>
      <c r="BC95">
        <f>IFERROR(INDEX('List of Leagues'!$E:$E, MATCH(BB95, 'List of Leagues'!$F:$F, 0)), 0)</f>
        <v>0</v>
      </c>
      <c r="BD95">
        <f t="shared" si="47"/>
        <v>0</v>
      </c>
    </row>
    <row r="96" spans="1:56" x14ac:dyDescent="0.35">
      <c r="A96" t="s">
        <v>81</v>
      </c>
      <c r="B96">
        <v>1</v>
      </c>
      <c r="C96">
        <f>IF(COUNTIF($A$11:A96, A96) &gt; 1, 1, 0)</f>
        <v>1</v>
      </c>
      <c r="D96">
        <v>2021</v>
      </c>
      <c r="E96" t="s">
        <v>21</v>
      </c>
      <c r="F96" t="s">
        <v>9</v>
      </c>
      <c r="G96" t="s">
        <v>6</v>
      </c>
      <c r="H96" t="s">
        <v>132</v>
      </c>
      <c r="I96">
        <f t="shared" si="43"/>
        <v>0</v>
      </c>
      <c r="J96">
        <f>SUMIF(A$2:A96,A96, O$2:O96)</f>
        <v>81</v>
      </c>
      <c r="K96">
        <f>SUMIF(A$2:A96, A96, P$2:P96)</f>
        <v>34</v>
      </c>
      <c r="L96">
        <f>SUMIF(A$2:A96, A96, Q$2:Q96)</f>
        <v>13</v>
      </c>
      <c r="M96">
        <f>SUMIF(A$2:A96, A96, R$2:R96)</f>
        <v>34</v>
      </c>
      <c r="N96">
        <f t="shared" si="31"/>
        <v>115</v>
      </c>
      <c r="O96">
        <f t="shared" si="44"/>
        <v>10</v>
      </c>
      <c r="P96">
        <v>1</v>
      </c>
      <c r="Q96">
        <v>2</v>
      </c>
      <c r="R96">
        <v>7</v>
      </c>
      <c r="S96">
        <f t="shared" si="45"/>
        <v>5</v>
      </c>
      <c r="T96">
        <v>1</v>
      </c>
      <c r="U96">
        <f t="shared" si="48"/>
        <v>8</v>
      </c>
      <c r="V96">
        <v>7</v>
      </c>
      <c r="W96">
        <v>7</v>
      </c>
      <c r="X96">
        <v>7</v>
      </c>
      <c r="Y96">
        <v>4</v>
      </c>
      <c r="Z96" t="b">
        <v>1</v>
      </c>
      <c r="AA96" t="s">
        <v>187</v>
      </c>
      <c r="AB96">
        <f>IFERROR(INDEX('List of Leagues'!E:E, MATCH(AA96, 'List of Leagues'!F:F, 0)), 0)</f>
        <v>58.4</v>
      </c>
      <c r="AC96" t="s">
        <v>178</v>
      </c>
      <c r="AD96">
        <f>IFERROR(INDEX('List of Leagues'!E:E, MATCH(AC96, 'List of Leagues'!F:F, 0)), 0)</f>
        <v>69.3</v>
      </c>
      <c r="AE96" t="s">
        <v>762</v>
      </c>
      <c r="AF96">
        <f>IFERROR(INDEX('List of Leagues'!E:E, MATCH(AE96, 'List of Leagues'!F:F, 0)), 0)</f>
        <v>0</v>
      </c>
      <c r="AG96" t="s">
        <v>762</v>
      </c>
      <c r="AH96">
        <f>IFERROR(INDEX('List of Leagues'!E:E, MATCH(AG96, 'List of Leagues'!F:F, 0)), 0)</f>
        <v>0</v>
      </c>
      <c r="AI96" t="s">
        <v>762</v>
      </c>
      <c r="AJ96">
        <f>IFERROR(INDEX('List of Leagues'!E:E, MATCH(AI96, 'List of Leagues'!F:F, 0)), 0)</f>
        <v>0</v>
      </c>
      <c r="AK96" t="s">
        <v>762</v>
      </c>
      <c r="AL96">
        <f>IFERROR(INDEX('List of Leagues'!E:E, MATCH(AK96, 'List of Leagues'!F:F, 0)), 0)</f>
        <v>0</v>
      </c>
      <c r="AM96" t="s">
        <v>762</v>
      </c>
      <c r="AN96">
        <f>IFERROR(INDEX('List of Leagues'!E:E, MATCH(AM96, 'List of Leagues'!F:F, 0)), 0)</f>
        <v>0</v>
      </c>
      <c r="AO96" t="s">
        <v>762</v>
      </c>
      <c r="AP96">
        <f>IFERROR(INDEX('List of Leagues'!E:E, MATCH(AO96, 'List of Leagues'!F:F, 0)), 0)</f>
        <v>0</v>
      </c>
      <c r="AQ96">
        <f t="shared" si="46"/>
        <v>15.962499999999999</v>
      </c>
      <c r="AR96" t="s">
        <v>200</v>
      </c>
      <c r="AS96">
        <f>IFERROR(INDEX('List of Leagues'!$E:$E, MATCH(AR96, 'List of Leagues'!$F:$F, 0)), 0)</f>
        <v>0</v>
      </c>
      <c r="AT96" t="s">
        <v>762</v>
      </c>
      <c r="AU96">
        <f>IFERROR(INDEX('List of Leagues'!$E:$E, MATCH(AT96, 'List of Leagues'!$F:$F, 0)), 0)</f>
        <v>0</v>
      </c>
      <c r="AV96" t="s">
        <v>762</v>
      </c>
      <c r="AW96">
        <f>IFERROR(INDEX('List of Leagues'!$E:$E, MATCH(AV96, 'List of Leagues'!$F:$F, 0)), 0)</f>
        <v>0</v>
      </c>
      <c r="AX96" t="s">
        <v>762</v>
      </c>
      <c r="AY96">
        <f>IFERROR(INDEX('List of Leagues'!$E:$E, MATCH(AX96, 'List of Leagues'!$F:$F, 0)), 0)</f>
        <v>0</v>
      </c>
      <c r="AZ96" t="s">
        <v>762</v>
      </c>
      <c r="BA96">
        <f>IFERROR(INDEX('List of Leagues'!$E:$E, MATCH(AZ96, 'List of Leagues'!$F:$F, 0)), 0)</f>
        <v>0</v>
      </c>
      <c r="BB96" t="s">
        <v>762</v>
      </c>
      <c r="BC96">
        <f>IFERROR(INDEX('List of Leagues'!$E:$E, MATCH(BB96, 'List of Leagues'!$F:$F, 0)), 0)</f>
        <v>0</v>
      </c>
      <c r="BD96">
        <f t="shared" si="47"/>
        <v>0</v>
      </c>
    </row>
    <row r="97" spans="1:56" x14ac:dyDescent="0.35">
      <c r="A97" t="s">
        <v>99</v>
      </c>
      <c r="B97">
        <v>0</v>
      </c>
      <c r="C97">
        <f>IF(COUNTIF($A$11:A97, A97) &gt; 1, 1, 0)</f>
        <v>0</v>
      </c>
      <c r="D97">
        <v>2021</v>
      </c>
      <c r="E97" t="s">
        <v>72</v>
      </c>
      <c r="F97" t="str">
        <f>IF(B97=0, "-", "")</f>
        <v>-</v>
      </c>
      <c r="G97" t="s">
        <v>10</v>
      </c>
      <c r="H97" t="s">
        <v>10</v>
      </c>
      <c r="I97">
        <f t="shared" si="43"/>
        <v>0</v>
      </c>
      <c r="J97">
        <f>SUMIF(A$2:A97,A97, O$2:O97)</f>
        <v>13</v>
      </c>
      <c r="K97">
        <f>SUMIF(A$2:A97, A97, P$2:P97)</f>
        <v>2</v>
      </c>
      <c r="L97">
        <f>SUMIF(A$2:A97, A97, Q$2:Q97)</f>
        <v>7</v>
      </c>
      <c r="M97">
        <f>SUMIF(A$2:A97, A97, R$2:R97)</f>
        <v>4</v>
      </c>
      <c r="N97">
        <f t="shared" si="31"/>
        <v>13</v>
      </c>
      <c r="O97">
        <f t="shared" si="44"/>
        <v>13</v>
      </c>
      <c r="P97">
        <v>2</v>
      </c>
      <c r="Q97">
        <v>7</v>
      </c>
      <c r="R97">
        <v>4</v>
      </c>
      <c r="S97">
        <f t="shared" si="45"/>
        <v>13</v>
      </c>
      <c r="T97">
        <v>1</v>
      </c>
      <c r="U97">
        <f t="shared" si="48"/>
        <v>6</v>
      </c>
      <c r="V97">
        <f>IF(F97="-", U97)</f>
        <v>6</v>
      </c>
      <c r="W97">
        <f>IF(F97="-", Y97)</f>
        <v>0</v>
      </c>
      <c r="X97">
        <v>5</v>
      </c>
      <c r="Y97">
        <v>0</v>
      </c>
      <c r="Z97" t="b">
        <v>1</v>
      </c>
      <c r="AA97" t="s">
        <v>532</v>
      </c>
      <c r="AB97">
        <f>IFERROR(INDEX('List of Leagues'!E:E, MATCH(AA97, 'List of Leagues'!F:F, 0)), 0)</f>
        <v>80.8</v>
      </c>
      <c r="AC97" t="s">
        <v>538</v>
      </c>
      <c r="AD97">
        <f>IFERROR(INDEX('List of Leagues'!E:E, MATCH(AC97, 'List of Leagues'!F:F, 0)), 0)</f>
        <v>77.3</v>
      </c>
      <c r="AE97" t="s">
        <v>762</v>
      </c>
      <c r="AF97">
        <f>IFERROR(INDEX('List of Leagues'!E:E, MATCH(AE97, 'List of Leagues'!F:F, 0)), 0)</f>
        <v>0</v>
      </c>
      <c r="AG97" t="s">
        <v>184</v>
      </c>
      <c r="AH97">
        <f>IFERROR(INDEX('List of Leagues'!E:E, MATCH(AG97, 'List of Leagues'!F:F, 0)), 0)</f>
        <v>93.8</v>
      </c>
      <c r="AI97" t="s">
        <v>208</v>
      </c>
      <c r="AJ97">
        <f>IFERROR(INDEX('List of Leagues'!E:E, MATCH(AI97, 'List of Leagues'!F:F, 0)), 0)</f>
        <v>85.1</v>
      </c>
      <c r="AK97" t="s">
        <v>529</v>
      </c>
      <c r="AL97">
        <f>IFERROR(INDEX('List of Leagues'!E:E, MATCH(AK97, 'List of Leagues'!F:F, 0)), 0)</f>
        <v>89.5</v>
      </c>
      <c r="AM97" t="s">
        <v>531</v>
      </c>
      <c r="AN97">
        <f>IFERROR(INDEX('List of Leagues'!E:E, MATCH(AM97, 'List of Leagues'!F:F, 0)), 0)</f>
        <v>84.4</v>
      </c>
      <c r="AO97" t="s">
        <v>756</v>
      </c>
      <c r="AP97">
        <f>IFERROR(INDEX('List of Leagues'!E:E, MATCH(AO97, 'List of Leagues'!F:F, 0)), 0)</f>
        <v>76.8</v>
      </c>
      <c r="AQ97">
        <f t="shared" si="46"/>
        <v>73.462499999999991</v>
      </c>
      <c r="AR97" t="s">
        <v>178</v>
      </c>
      <c r="AS97">
        <f>IFERROR(INDEX('List of Leagues'!$E:$E, MATCH(AR97, 'List of Leagues'!$F:$F, 0)), 0)</f>
        <v>69.3</v>
      </c>
      <c r="AT97" t="s">
        <v>761</v>
      </c>
      <c r="AU97">
        <f>IFERROR(INDEX('List of Leagues'!$E:$E, MATCH(AT97, 'List of Leagues'!$F:$F, 0)), 0)</f>
        <v>66.3</v>
      </c>
      <c r="AV97" t="s">
        <v>762</v>
      </c>
      <c r="AW97">
        <f>IFERROR(INDEX('List of Leagues'!$E:$E, MATCH(AV97, 'List of Leagues'!$F:$F, 0)), 0)</f>
        <v>0</v>
      </c>
      <c r="AX97" t="s">
        <v>762</v>
      </c>
      <c r="AY97">
        <f>IFERROR(INDEX('List of Leagues'!$E:$E, MATCH(AX97, 'List of Leagues'!$F:$F, 0)), 0)</f>
        <v>0</v>
      </c>
      <c r="AZ97" t="s">
        <v>762</v>
      </c>
      <c r="BA97">
        <f>IFERROR(INDEX('List of Leagues'!$E:$E, MATCH(AZ97, 'List of Leagues'!$F:$F, 0)), 0)</f>
        <v>0</v>
      </c>
      <c r="BB97" t="s">
        <v>762</v>
      </c>
      <c r="BC97">
        <f>IFERROR(INDEX('List of Leagues'!$E:$E, MATCH(BB97, 'List of Leagues'!$F:$F, 0)), 0)</f>
        <v>0</v>
      </c>
      <c r="BD97">
        <f t="shared" si="47"/>
        <v>22.599999999999998</v>
      </c>
    </row>
    <row r="98" spans="1:56" x14ac:dyDescent="0.35">
      <c r="A98" t="s">
        <v>100</v>
      </c>
      <c r="B98">
        <v>1</v>
      </c>
      <c r="C98">
        <f>IF(COUNTIF($A$11:A98, A98) &gt; 1, 1, 0)</f>
        <v>0</v>
      </c>
      <c r="D98">
        <v>2021</v>
      </c>
      <c r="E98" t="s">
        <v>198</v>
      </c>
      <c r="F98" t="s">
        <v>45</v>
      </c>
      <c r="G98" t="s">
        <v>10</v>
      </c>
      <c r="H98" t="s">
        <v>10</v>
      </c>
      <c r="I98">
        <f t="shared" si="43"/>
        <v>0</v>
      </c>
      <c r="J98">
        <f>SUMIF(A$2:A98,A98, O$2:O98)</f>
        <v>40</v>
      </c>
      <c r="K98">
        <f>SUMIF(A$2:A98, A98, P$2:P98)</f>
        <v>16</v>
      </c>
      <c r="L98">
        <f>SUMIF(A$2:A98, A98, Q$2:Q98)</f>
        <v>5</v>
      </c>
      <c r="M98">
        <f>SUMIF(A$2:A98, A98, R$2:R98)</f>
        <v>19</v>
      </c>
      <c r="N98">
        <f t="shared" si="31"/>
        <v>53</v>
      </c>
      <c r="O98">
        <f t="shared" si="44"/>
        <v>40</v>
      </c>
      <c r="P98">
        <f>14+2</f>
        <v>16</v>
      </c>
      <c r="Q98">
        <f>5</f>
        <v>5</v>
      </c>
      <c r="R98">
        <f>15+4</f>
        <v>19</v>
      </c>
      <c r="S98">
        <f t="shared" si="45"/>
        <v>53</v>
      </c>
      <c r="T98">
        <v>2</v>
      </c>
      <c r="U98">
        <f t="shared" si="48"/>
        <v>5</v>
      </c>
      <c r="V98">
        <v>5</v>
      </c>
      <c r="W98">
        <v>0</v>
      </c>
      <c r="X98">
        <v>3</v>
      </c>
      <c r="Y98">
        <v>0</v>
      </c>
      <c r="Z98" t="b">
        <v>1</v>
      </c>
      <c r="AA98" t="s">
        <v>532</v>
      </c>
      <c r="AB98">
        <f>IFERROR(INDEX('List of Leagues'!E:E, MATCH(AA98, 'List of Leagues'!F:F, 0)), 0)</f>
        <v>80.8</v>
      </c>
      <c r="AC98" t="s">
        <v>203</v>
      </c>
      <c r="AD98">
        <f>IFERROR(INDEX('List of Leagues'!E:E, MATCH(AC98, 'List of Leagues'!F:F, 0)), 0)</f>
        <v>76.8</v>
      </c>
      <c r="AE98" t="s">
        <v>197</v>
      </c>
      <c r="AF98">
        <f>IFERROR(INDEX('List of Leagues'!E:E, MATCH(AE98, 'List of Leagues'!F:F, 0)), 0)</f>
        <v>78.400000000000006</v>
      </c>
      <c r="AG98" t="s">
        <v>762</v>
      </c>
      <c r="AH98">
        <f>IFERROR(INDEX('List of Leagues'!E:E, MATCH(AG98, 'List of Leagues'!F:F, 0)), 0)</f>
        <v>0</v>
      </c>
      <c r="AI98" t="s">
        <v>762</v>
      </c>
      <c r="AJ98">
        <f>IFERROR(INDEX('List of Leagues'!E:E, MATCH(AI98, 'List of Leagues'!F:F, 0)), 0)</f>
        <v>0</v>
      </c>
      <c r="AK98" t="s">
        <v>762</v>
      </c>
      <c r="AL98">
        <f>IFERROR(INDEX('List of Leagues'!E:E, MATCH(AK98, 'List of Leagues'!F:F, 0)), 0)</f>
        <v>0</v>
      </c>
      <c r="AM98" t="s">
        <v>762</v>
      </c>
      <c r="AN98">
        <f>IFERROR(INDEX('List of Leagues'!E:E, MATCH(AM98, 'List of Leagues'!F:F, 0)), 0)</f>
        <v>0</v>
      </c>
      <c r="AO98" t="s">
        <v>762</v>
      </c>
      <c r="AP98">
        <f>IFERROR(INDEX('List of Leagues'!E:E, MATCH(AO98, 'List of Leagues'!F:F, 0)), 0)</f>
        <v>0</v>
      </c>
      <c r="AQ98">
        <f t="shared" si="46"/>
        <v>29.5</v>
      </c>
      <c r="AR98" t="s">
        <v>208</v>
      </c>
      <c r="AS98">
        <f>IFERROR(INDEX('List of Leagues'!$E:$E, MATCH(AR98, 'List of Leagues'!$F:$F, 0)), 0)</f>
        <v>85.1</v>
      </c>
      <c r="AT98" t="s">
        <v>184</v>
      </c>
      <c r="AU98">
        <f>IFERROR(INDEX('List of Leagues'!$E:$E, MATCH(AT98, 'List of Leagues'!$F:$F, 0)), 0)</f>
        <v>93.8</v>
      </c>
      <c r="AV98" t="s">
        <v>762</v>
      </c>
      <c r="AW98">
        <f>IFERROR(INDEX('List of Leagues'!$E:$E, MATCH(AV98, 'List of Leagues'!$F:$F, 0)), 0)</f>
        <v>0</v>
      </c>
      <c r="AX98" t="s">
        <v>762</v>
      </c>
      <c r="AY98">
        <f>IFERROR(INDEX('List of Leagues'!$E:$E, MATCH(AX98, 'List of Leagues'!$F:$F, 0)), 0)</f>
        <v>0</v>
      </c>
      <c r="AZ98" t="s">
        <v>762</v>
      </c>
      <c r="BA98">
        <f>IFERROR(INDEX('List of Leagues'!$E:$E, MATCH(AZ98, 'List of Leagues'!$F:$F, 0)), 0)</f>
        <v>0</v>
      </c>
      <c r="BB98" t="s">
        <v>762</v>
      </c>
      <c r="BC98">
        <f>IFERROR(INDEX('List of Leagues'!$E:$E, MATCH(BB98, 'List of Leagues'!$F:$F, 0)), 0)</f>
        <v>0</v>
      </c>
      <c r="BD98">
        <f t="shared" si="47"/>
        <v>29.816666666666663</v>
      </c>
    </row>
    <row r="99" spans="1:56" x14ac:dyDescent="0.35">
      <c r="A99" t="s">
        <v>101</v>
      </c>
      <c r="B99">
        <v>1</v>
      </c>
      <c r="C99">
        <f>IF(COUNTIF($A$11:A99, A99) &gt; 1, 1, 0)</f>
        <v>0</v>
      </c>
      <c r="D99">
        <v>2021</v>
      </c>
      <c r="E99" t="s">
        <v>94</v>
      </c>
      <c r="F99" t="s">
        <v>39</v>
      </c>
      <c r="G99" t="s">
        <v>10</v>
      </c>
      <c r="H99" t="s">
        <v>10</v>
      </c>
      <c r="I99">
        <f t="shared" si="43"/>
        <v>0</v>
      </c>
      <c r="J99">
        <f>SUMIF(A$2:A99,A99, O$2:O99)</f>
        <v>83</v>
      </c>
      <c r="K99">
        <f>SUMIF(A$2:A99, A99, P$2:P99)</f>
        <v>31</v>
      </c>
      <c r="L99">
        <f>SUMIF(A$2:A99, A99, Q$2:Q99)</f>
        <v>11</v>
      </c>
      <c r="M99">
        <f>SUMIF(A$2:A99, A99, R$2:R99)</f>
        <v>41</v>
      </c>
      <c r="N99">
        <f t="shared" si="31"/>
        <v>104</v>
      </c>
      <c r="O99">
        <f t="shared" si="44"/>
        <v>83</v>
      </c>
      <c r="P99">
        <f>12+14+5</f>
        <v>31</v>
      </c>
      <c r="Q99">
        <f>5+6</f>
        <v>11</v>
      </c>
      <c r="R99">
        <f>17+14+10</f>
        <v>41</v>
      </c>
      <c r="S99">
        <f t="shared" si="45"/>
        <v>104</v>
      </c>
      <c r="T99">
        <v>3</v>
      </c>
      <c r="U99">
        <f t="shared" si="48"/>
        <v>6</v>
      </c>
      <c r="V99">
        <v>6</v>
      </c>
      <c r="W99">
        <v>6</v>
      </c>
      <c r="X99">
        <v>3</v>
      </c>
      <c r="Y99">
        <v>5</v>
      </c>
      <c r="Z99" t="b">
        <v>1</v>
      </c>
      <c r="AA99" t="s">
        <v>184</v>
      </c>
      <c r="AB99">
        <f>IFERROR(INDEX('List of Leagues'!E:E, MATCH(AA99, 'List of Leagues'!F:F, 0)), 0)</f>
        <v>93.8</v>
      </c>
      <c r="AC99" t="s">
        <v>756</v>
      </c>
      <c r="AD99">
        <f>IFERROR(INDEX('List of Leagues'!E:E, MATCH(AC99, 'List of Leagues'!F:F, 0)), 0)</f>
        <v>76.8</v>
      </c>
      <c r="AE99" t="s">
        <v>539</v>
      </c>
      <c r="AF99">
        <f>IFERROR(INDEX('List of Leagues'!E:E, MATCH(AE99, 'List of Leagues'!F:F, 0)), 0)</f>
        <v>77.400000000000006</v>
      </c>
      <c r="AG99" t="s">
        <v>762</v>
      </c>
      <c r="AH99">
        <f>IFERROR(INDEX('List of Leagues'!E:E, MATCH(AG99, 'List of Leagues'!F:F, 0)), 0)</f>
        <v>0</v>
      </c>
      <c r="AI99" t="s">
        <v>762</v>
      </c>
      <c r="AJ99">
        <f>IFERROR(INDEX('List of Leagues'!E:E, MATCH(AI99, 'List of Leagues'!F:F, 0)), 0)</f>
        <v>0</v>
      </c>
      <c r="AK99" t="s">
        <v>762</v>
      </c>
      <c r="AL99">
        <f>IFERROR(INDEX('List of Leagues'!E:E, MATCH(AK99, 'List of Leagues'!F:F, 0)), 0)</f>
        <v>0</v>
      </c>
      <c r="AM99" t="s">
        <v>762</v>
      </c>
      <c r="AN99">
        <f>IFERROR(INDEX('List of Leagues'!E:E, MATCH(AM99, 'List of Leagues'!F:F, 0)), 0)</f>
        <v>0</v>
      </c>
      <c r="AO99" t="s">
        <v>762</v>
      </c>
      <c r="AP99">
        <f>IFERROR(INDEX('List of Leagues'!E:E, MATCH(AO99, 'List of Leagues'!F:F, 0)), 0)</f>
        <v>0</v>
      </c>
      <c r="AQ99">
        <f t="shared" si="46"/>
        <v>31</v>
      </c>
      <c r="AR99" t="s">
        <v>178</v>
      </c>
      <c r="AS99">
        <f>IFERROR(INDEX('List of Leagues'!$E:$E, MATCH(AR99, 'List of Leagues'!$F:$F, 0)), 0)</f>
        <v>69.3</v>
      </c>
      <c r="AT99" t="s">
        <v>762</v>
      </c>
      <c r="AU99">
        <f>IFERROR(INDEX('List of Leagues'!$E:$E, MATCH(AT99, 'List of Leagues'!$F:$F, 0)), 0)</f>
        <v>0</v>
      </c>
      <c r="AV99" t="s">
        <v>762</v>
      </c>
      <c r="AW99">
        <f>IFERROR(INDEX('List of Leagues'!$E:$E, MATCH(AV99, 'List of Leagues'!$F:$F, 0)), 0)</f>
        <v>0</v>
      </c>
      <c r="AX99" t="s">
        <v>762</v>
      </c>
      <c r="AY99">
        <f>IFERROR(INDEX('List of Leagues'!$E:$E, MATCH(AX99, 'List of Leagues'!$F:$F, 0)), 0)</f>
        <v>0</v>
      </c>
      <c r="AZ99" t="s">
        <v>762</v>
      </c>
      <c r="BA99">
        <f>IFERROR(INDEX('List of Leagues'!$E:$E, MATCH(AZ99, 'List of Leagues'!$F:$F, 0)), 0)</f>
        <v>0</v>
      </c>
      <c r="BB99" t="s">
        <v>762</v>
      </c>
      <c r="BC99">
        <f>IFERROR(INDEX('List of Leagues'!$E:$E, MATCH(BB99, 'List of Leagues'!$F:$F, 0)), 0)</f>
        <v>0</v>
      </c>
      <c r="BD99">
        <f t="shared" si="47"/>
        <v>11.549999999999999</v>
      </c>
    </row>
    <row r="100" spans="1:56" x14ac:dyDescent="0.35">
      <c r="A100" t="s">
        <v>102</v>
      </c>
      <c r="B100">
        <v>1</v>
      </c>
      <c r="C100">
        <f>IF(COUNTIF($A$11:A100, A100) &gt; 1, 1, 0)</f>
        <v>0</v>
      </c>
      <c r="D100">
        <v>2021</v>
      </c>
      <c r="E100" t="s">
        <v>45</v>
      </c>
      <c r="F100" t="s">
        <v>23</v>
      </c>
      <c r="G100" t="s">
        <v>6</v>
      </c>
      <c r="H100" t="s">
        <v>131</v>
      </c>
      <c r="I100">
        <f t="shared" si="43"/>
        <v>1</v>
      </c>
      <c r="J100">
        <f>SUMIF(A$2:A100,A100, O$2:O100)</f>
        <v>68</v>
      </c>
      <c r="K100">
        <f>SUMIF(A$2:A100, A100, P$2:P100)</f>
        <v>32</v>
      </c>
      <c r="L100">
        <f>SUMIF(A$2:A100, A100, Q$2:Q100)</f>
        <v>15</v>
      </c>
      <c r="M100">
        <f>SUMIF(A$2:A100, A100, R$2:R100)</f>
        <v>21</v>
      </c>
      <c r="N100">
        <f t="shared" si="31"/>
        <v>111</v>
      </c>
      <c r="O100">
        <f t="shared" si="44"/>
        <v>68</v>
      </c>
      <c r="P100">
        <v>32</v>
      </c>
      <c r="Q100">
        <v>15</v>
      </c>
      <c r="R100">
        <v>21</v>
      </c>
      <c r="S100">
        <f t="shared" si="45"/>
        <v>111</v>
      </c>
      <c r="T100">
        <v>2</v>
      </c>
      <c r="U100">
        <f t="shared" si="48"/>
        <v>8</v>
      </c>
      <c r="V100">
        <v>8</v>
      </c>
      <c r="W100">
        <v>5</v>
      </c>
      <c r="X100">
        <v>6</v>
      </c>
      <c r="Y100">
        <v>5</v>
      </c>
      <c r="Z100" t="b">
        <v>1</v>
      </c>
      <c r="AA100" t="s">
        <v>212</v>
      </c>
      <c r="AB100">
        <f>IFERROR(INDEX('List of Leagues'!E:E, MATCH(AA100, 'List of Leagues'!F:F, 0)), 0)</f>
        <v>0</v>
      </c>
      <c r="AC100" t="s">
        <v>762</v>
      </c>
      <c r="AD100">
        <f>IFERROR(INDEX('List of Leagues'!E:E, MATCH(AC100, 'List of Leagues'!F:F, 0)), 0)</f>
        <v>0</v>
      </c>
      <c r="AE100" t="s">
        <v>762</v>
      </c>
      <c r="AF100">
        <f>IFERROR(INDEX('List of Leagues'!E:E, MATCH(AE100, 'List of Leagues'!F:F, 0)), 0)</f>
        <v>0</v>
      </c>
      <c r="AG100" t="s">
        <v>762</v>
      </c>
      <c r="AH100">
        <f>IFERROR(INDEX('List of Leagues'!E:E, MATCH(AG100, 'List of Leagues'!F:F, 0)), 0)</f>
        <v>0</v>
      </c>
      <c r="AI100" t="s">
        <v>762</v>
      </c>
      <c r="AJ100">
        <f>IFERROR(INDEX('List of Leagues'!E:E, MATCH(AI100, 'List of Leagues'!F:F, 0)), 0)</f>
        <v>0</v>
      </c>
      <c r="AK100" t="s">
        <v>762</v>
      </c>
      <c r="AL100">
        <f>IFERROR(INDEX('List of Leagues'!E:E, MATCH(AK100, 'List of Leagues'!F:F, 0)), 0)</f>
        <v>0</v>
      </c>
      <c r="AM100" t="s">
        <v>762</v>
      </c>
      <c r="AN100">
        <f>IFERROR(INDEX('List of Leagues'!E:E, MATCH(AM100, 'List of Leagues'!F:F, 0)), 0)</f>
        <v>0</v>
      </c>
      <c r="AO100" t="s">
        <v>762</v>
      </c>
      <c r="AP100">
        <f>IFERROR(INDEX('List of Leagues'!E:E, MATCH(AO100, 'List of Leagues'!F:F, 0)), 0)</f>
        <v>0</v>
      </c>
      <c r="AQ100">
        <f t="shared" si="46"/>
        <v>0</v>
      </c>
      <c r="AR100" t="s">
        <v>754</v>
      </c>
      <c r="AS100">
        <f>IFERROR(INDEX('List of Leagues'!$E:$E, MATCH(AR100, 'List of Leagues'!$F:$F, 0)), 0)</f>
        <v>72.099999999999994</v>
      </c>
      <c r="AT100" t="s">
        <v>751</v>
      </c>
      <c r="AU100">
        <f>IFERROR(INDEX('List of Leagues'!$E:$E, MATCH(AT100, 'List of Leagues'!$F:$F, 0)), 0)</f>
        <v>68.400000000000006</v>
      </c>
      <c r="AV100" t="s">
        <v>762</v>
      </c>
      <c r="AW100">
        <f>IFERROR(INDEX('List of Leagues'!$E:$E, MATCH(AV100, 'List of Leagues'!$F:$F, 0)), 0)</f>
        <v>0</v>
      </c>
      <c r="AX100" t="s">
        <v>762</v>
      </c>
      <c r="AY100">
        <f>IFERROR(INDEX('List of Leagues'!$E:$E, MATCH(AX100, 'List of Leagues'!$F:$F, 0)), 0)</f>
        <v>0</v>
      </c>
      <c r="AZ100" t="s">
        <v>762</v>
      </c>
      <c r="BA100">
        <f>IFERROR(INDEX('List of Leagues'!$E:$E, MATCH(AZ100, 'List of Leagues'!$F:$F, 0)), 0)</f>
        <v>0</v>
      </c>
      <c r="BB100" t="s">
        <v>762</v>
      </c>
      <c r="BC100">
        <f>IFERROR(INDEX('List of Leagues'!$E:$E, MATCH(BB100, 'List of Leagues'!$F:$F, 0)), 0)</f>
        <v>0</v>
      </c>
      <c r="BD100">
        <f t="shared" si="47"/>
        <v>23.416666666666668</v>
      </c>
    </row>
    <row r="101" spans="1:56" x14ac:dyDescent="0.35">
      <c r="A101" t="s">
        <v>78</v>
      </c>
      <c r="B101">
        <v>0</v>
      </c>
      <c r="C101">
        <f>IF(COUNTIF($A$11:A101, A101) &gt; 1, 1, 0)</f>
        <v>1</v>
      </c>
      <c r="D101">
        <v>2022</v>
      </c>
      <c r="E101" t="s">
        <v>21</v>
      </c>
      <c r="F101" t="str">
        <f>IF(B101=0, "-", "")</f>
        <v>-</v>
      </c>
      <c r="G101" t="s">
        <v>10</v>
      </c>
      <c r="H101" t="s">
        <v>10</v>
      </c>
      <c r="I101">
        <f t="shared" si="43"/>
        <v>0</v>
      </c>
      <c r="J101">
        <f>SUMIF(A$2:A101,A101, O$2:O101)</f>
        <v>475</v>
      </c>
      <c r="K101">
        <f>SUMIF(A$2:A101, A101, P$2:P101)</f>
        <v>195</v>
      </c>
      <c r="L101">
        <f>SUMIF(A$2:A101, A101, Q$2:Q101)</f>
        <v>123</v>
      </c>
      <c r="M101">
        <f>SUMIF(A$2:A101, A101, R$2:R101)</f>
        <v>157</v>
      </c>
      <c r="N101">
        <f t="shared" si="31"/>
        <v>708</v>
      </c>
      <c r="O101">
        <f t="shared" si="44"/>
        <v>54</v>
      </c>
      <c r="P101">
        <v>12</v>
      </c>
      <c r="Q101">
        <v>17</v>
      </c>
      <c r="R101">
        <f>7+18</f>
        <v>25</v>
      </c>
      <c r="S101">
        <f t="shared" si="45"/>
        <v>53</v>
      </c>
      <c r="T101">
        <v>2</v>
      </c>
      <c r="U101">
        <f t="shared" si="48"/>
        <v>22</v>
      </c>
      <c r="V101">
        <f>IF(F101="-", U101)</f>
        <v>22</v>
      </c>
      <c r="W101">
        <f>IF(F101="-", Y101)</f>
        <v>4</v>
      </c>
      <c r="X101">
        <v>20</v>
      </c>
      <c r="Y101">
        <v>4</v>
      </c>
      <c r="Z101" t="b">
        <v>0</v>
      </c>
      <c r="AA101" t="s">
        <v>179</v>
      </c>
      <c r="AB101">
        <f>IFERROR(INDEX('List of Leagues'!E:E, MATCH(AA101, 'List of Leagues'!F:F, 0)), 0)</f>
        <v>0</v>
      </c>
      <c r="AC101" t="s">
        <v>762</v>
      </c>
      <c r="AD101">
        <f>IFERROR(INDEX('List of Leagues'!E:E, MATCH(AC101, 'List of Leagues'!F:F, 0)), 0)</f>
        <v>0</v>
      </c>
      <c r="AE101" t="s">
        <v>773</v>
      </c>
      <c r="AF101">
        <f>IFERROR(INDEX('List of Leagues'!E:E, MATCH(AE101, 'List of Leagues'!F:F, 0)), 0)</f>
        <v>0</v>
      </c>
      <c r="AG101" t="s">
        <v>762</v>
      </c>
      <c r="AH101">
        <f>IFERROR(INDEX('List of Leagues'!E:E, MATCH(AG101, 'List of Leagues'!F:F, 0)), 0)</f>
        <v>0</v>
      </c>
      <c r="AI101" t="s">
        <v>762</v>
      </c>
      <c r="AJ101">
        <f>IFERROR(INDEX('List of Leagues'!E:E, MATCH(AI101, 'List of Leagues'!F:F, 0)), 0)</f>
        <v>0</v>
      </c>
      <c r="AK101" t="s">
        <v>762</v>
      </c>
      <c r="AL101">
        <f>IFERROR(INDEX('List of Leagues'!E:E, MATCH(AK101, 'List of Leagues'!F:F, 0)), 0)</f>
        <v>0</v>
      </c>
      <c r="AM101" t="s">
        <v>762</v>
      </c>
      <c r="AN101">
        <f>IFERROR(INDEX('List of Leagues'!E:E, MATCH(AM101, 'List of Leagues'!F:F, 0)), 0)</f>
        <v>0</v>
      </c>
      <c r="AO101" t="s">
        <v>762</v>
      </c>
      <c r="AP101">
        <f>IFERROR(INDEX('List of Leagues'!E:E, MATCH(AO101, 'List of Leagues'!F:F, 0)), 0)</f>
        <v>0</v>
      </c>
      <c r="AQ101">
        <f t="shared" si="46"/>
        <v>0</v>
      </c>
      <c r="AR101" t="s">
        <v>184</v>
      </c>
      <c r="AS101">
        <f>IFERROR(INDEX('List of Leagues'!$E:$E, MATCH(AR101, 'List of Leagues'!$F:$F, 0)), 0)</f>
        <v>93.8</v>
      </c>
      <c r="AT101" t="s">
        <v>197</v>
      </c>
      <c r="AU101">
        <f>IFERROR(INDEX('List of Leagues'!$E:$E, MATCH(AT101, 'List of Leagues'!$F:$F, 0)), 0)</f>
        <v>78.400000000000006</v>
      </c>
      <c r="AV101" t="s">
        <v>762</v>
      </c>
      <c r="AW101">
        <f>IFERROR(INDEX('List of Leagues'!$E:$E, MATCH(AV101, 'List of Leagues'!$F:$F, 0)), 0)</f>
        <v>0</v>
      </c>
      <c r="AX101" t="s">
        <v>762</v>
      </c>
      <c r="AY101">
        <f>IFERROR(INDEX('List of Leagues'!$E:$E, MATCH(AX101, 'List of Leagues'!$F:$F, 0)), 0)</f>
        <v>0</v>
      </c>
      <c r="AZ101" t="s">
        <v>762</v>
      </c>
      <c r="BA101">
        <f>IFERROR(INDEX('List of Leagues'!$E:$E, MATCH(AZ101, 'List of Leagues'!$F:$F, 0)), 0)</f>
        <v>0</v>
      </c>
      <c r="BB101" t="s">
        <v>762</v>
      </c>
      <c r="BC101">
        <f>IFERROR(INDEX('List of Leagues'!$E:$E, MATCH(BB101, 'List of Leagues'!$F:$F, 0)), 0)</f>
        <v>0</v>
      </c>
      <c r="BD101">
        <f t="shared" si="47"/>
        <v>28.7</v>
      </c>
    </row>
    <row r="102" spans="1:56" x14ac:dyDescent="0.35">
      <c r="A102" t="s">
        <v>104</v>
      </c>
      <c r="B102">
        <v>0</v>
      </c>
      <c r="C102">
        <f>IF(COUNTIF($A$11:A102, A102) &gt; 1, 1, 0)</f>
        <v>0</v>
      </c>
      <c r="D102">
        <v>2022</v>
      </c>
      <c r="E102" t="s">
        <v>5</v>
      </c>
      <c r="F102" t="str">
        <f>IF(B102=0, "-", "")</f>
        <v>-</v>
      </c>
      <c r="G102" t="s">
        <v>6</v>
      </c>
      <c r="H102" t="s">
        <v>131</v>
      </c>
      <c r="I102">
        <f t="shared" si="43"/>
        <v>1</v>
      </c>
      <c r="J102">
        <f>SUMIF(A$2:A102,A102, O$2:O102)</f>
        <v>44</v>
      </c>
      <c r="K102">
        <f>SUMIF(A$2:A102, A102, P$2:P102)</f>
        <v>12</v>
      </c>
      <c r="L102">
        <f>SUMIF(A$2:A102, A102, Q$2:Q102)</f>
        <v>14</v>
      </c>
      <c r="M102">
        <f>SUMIF(A$2:A102, A102, R$2:R102)</f>
        <v>18</v>
      </c>
      <c r="N102">
        <f t="shared" si="31"/>
        <v>50</v>
      </c>
      <c r="O102">
        <f t="shared" si="44"/>
        <v>44</v>
      </c>
      <c r="P102">
        <v>12</v>
      </c>
      <c r="Q102">
        <v>14</v>
      </c>
      <c r="R102">
        <v>18</v>
      </c>
      <c r="S102">
        <f t="shared" si="45"/>
        <v>50</v>
      </c>
      <c r="T102">
        <v>1</v>
      </c>
      <c r="U102">
        <f t="shared" si="48"/>
        <v>3</v>
      </c>
      <c r="V102">
        <f>IF(F102="-", U102)</f>
        <v>3</v>
      </c>
      <c r="W102">
        <f>IF(F102="-", Y102)</f>
        <v>10</v>
      </c>
      <c r="X102">
        <v>2</v>
      </c>
      <c r="Y102">
        <v>10</v>
      </c>
      <c r="Z102" t="b">
        <v>1</v>
      </c>
      <c r="AA102" t="s">
        <v>187</v>
      </c>
      <c r="AB102">
        <f>IFERROR(INDEX('List of Leagues'!E:E, MATCH(AA102, 'List of Leagues'!F:F, 0)), 0)</f>
        <v>58.4</v>
      </c>
      <c r="AC102" t="s">
        <v>178</v>
      </c>
      <c r="AD102">
        <f>IFERROR(INDEX('List of Leagues'!E:E, MATCH(AC102, 'List of Leagues'!F:F, 0)), 0)</f>
        <v>69.3</v>
      </c>
      <c r="AE102" t="s">
        <v>533</v>
      </c>
      <c r="AF102">
        <f>IFERROR(INDEX('List of Leagues'!E:E, MATCH(AE102, 'List of Leagues'!F:F, 0)), 0)</f>
        <v>80.8</v>
      </c>
      <c r="AG102" t="s">
        <v>756</v>
      </c>
      <c r="AH102">
        <f>IFERROR(INDEX('List of Leagues'!E:E, MATCH(AG102, 'List of Leagues'!F:F, 0)), 0)</f>
        <v>76.8</v>
      </c>
      <c r="AI102" t="s">
        <v>762</v>
      </c>
      <c r="AJ102">
        <f>IFERROR(INDEX('List of Leagues'!E:E, MATCH(AI102, 'List of Leagues'!F:F, 0)), 0)</f>
        <v>0</v>
      </c>
      <c r="AK102" t="s">
        <v>762</v>
      </c>
      <c r="AL102">
        <f>IFERROR(INDEX('List of Leagues'!E:E, MATCH(AK102, 'List of Leagues'!F:F, 0)), 0)</f>
        <v>0</v>
      </c>
      <c r="AM102" t="s">
        <v>762</v>
      </c>
      <c r="AN102">
        <f>IFERROR(INDEX('List of Leagues'!E:E, MATCH(AM102, 'List of Leagues'!F:F, 0)), 0)</f>
        <v>0</v>
      </c>
      <c r="AO102" t="s">
        <v>762</v>
      </c>
      <c r="AP102">
        <f>IFERROR(INDEX('List of Leagues'!E:E, MATCH(AO102, 'List of Leagues'!F:F, 0)), 0)</f>
        <v>0</v>
      </c>
      <c r="AQ102">
        <f t="shared" si="46"/>
        <v>35.662500000000001</v>
      </c>
      <c r="AR102" t="s">
        <v>171</v>
      </c>
      <c r="AS102">
        <f>IFERROR(INDEX('List of Leagues'!$E:$E, MATCH(AR102, 'List of Leagues'!$F:$F, 0)), 0)</f>
        <v>0</v>
      </c>
      <c r="AT102" t="s">
        <v>762</v>
      </c>
      <c r="AU102">
        <f>IFERROR(INDEX('List of Leagues'!$E:$E, MATCH(AT102, 'List of Leagues'!$F:$F, 0)), 0)</f>
        <v>0</v>
      </c>
      <c r="AV102" t="s">
        <v>762</v>
      </c>
      <c r="AW102">
        <f>IFERROR(INDEX('List of Leagues'!$E:$E, MATCH(AV102, 'List of Leagues'!$F:$F, 0)), 0)</f>
        <v>0</v>
      </c>
      <c r="AX102" t="s">
        <v>762</v>
      </c>
      <c r="AY102">
        <f>IFERROR(INDEX('List of Leagues'!$E:$E, MATCH(AX102, 'List of Leagues'!$F:$F, 0)), 0)</f>
        <v>0</v>
      </c>
      <c r="AZ102" t="s">
        <v>762</v>
      </c>
      <c r="BA102">
        <f>IFERROR(INDEX('List of Leagues'!$E:$E, MATCH(AZ102, 'List of Leagues'!$F:$F, 0)), 0)</f>
        <v>0</v>
      </c>
      <c r="BB102" t="s">
        <v>762</v>
      </c>
      <c r="BC102">
        <f>IFERROR(INDEX('List of Leagues'!$E:$E, MATCH(BB102, 'List of Leagues'!$F:$F, 0)), 0)</f>
        <v>0</v>
      </c>
      <c r="BD102">
        <f t="shared" si="47"/>
        <v>0</v>
      </c>
    </row>
    <row r="103" spans="1:56" x14ac:dyDescent="0.35">
      <c r="A103" t="s">
        <v>103</v>
      </c>
      <c r="B103">
        <v>0</v>
      </c>
      <c r="C103">
        <f>IF(COUNTIF($A$11:A103, A103) &gt; 1, 1, 0)</f>
        <v>0</v>
      </c>
      <c r="D103">
        <v>2022</v>
      </c>
      <c r="E103" t="s">
        <v>193</v>
      </c>
      <c r="F103" t="str">
        <f>IF(B103=0, "-", "")</f>
        <v>-</v>
      </c>
      <c r="G103" t="s">
        <v>10</v>
      </c>
      <c r="H103" t="s">
        <v>10</v>
      </c>
      <c r="I103">
        <f t="shared" si="43"/>
        <v>0</v>
      </c>
      <c r="J103">
        <f>SUMIF(A$2:A103,A103, O$2:O103)</f>
        <v>14</v>
      </c>
      <c r="K103">
        <f>SUMIF(A$2:A103, A103, P$2:P103)</f>
        <v>5</v>
      </c>
      <c r="L103">
        <f>SUMIF(A$2:A103, A103, Q$2:Q103)</f>
        <v>1</v>
      </c>
      <c r="M103">
        <f>SUMIF(A$2:A103, A103, R$2:R103)</f>
        <v>8</v>
      </c>
      <c r="N103">
        <f t="shared" si="31"/>
        <v>16</v>
      </c>
      <c r="O103">
        <f t="shared" si="44"/>
        <v>14</v>
      </c>
      <c r="P103">
        <v>5</v>
      </c>
      <c r="Q103">
        <v>1</v>
      </c>
      <c r="R103">
        <v>8</v>
      </c>
      <c r="S103">
        <f t="shared" si="45"/>
        <v>16</v>
      </c>
      <c r="T103">
        <v>1</v>
      </c>
      <c r="U103">
        <f t="shared" si="48"/>
        <v>18</v>
      </c>
      <c r="V103">
        <f>IF(F103="-", U103)</f>
        <v>18</v>
      </c>
      <c r="W103">
        <f>IF(F103="-", Y103)</f>
        <v>0</v>
      </c>
      <c r="X103">
        <v>17</v>
      </c>
      <c r="Y103">
        <v>0</v>
      </c>
      <c r="Z103" t="b">
        <v>0</v>
      </c>
      <c r="AA103" t="s">
        <v>179</v>
      </c>
      <c r="AB103">
        <f>IFERROR(INDEX('List of Leagues'!E:E, MATCH(AA103, 'List of Leagues'!F:F, 0)), 0)</f>
        <v>0</v>
      </c>
      <c r="AC103" t="s">
        <v>762</v>
      </c>
      <c r="AD103">
        <f>IFERROR(INDEX('List of Leagues'!E:E, MATCH(AC103, 'List of Leagues'!F:F, 0)), 0)</f>
        <v>0</v>
      </c>
      <c r="AE103" t="s">
        <v>762</v>
      </c>
      <c r="AF103">
        <f>IFERROR(INDEX('List of Leagues'!E:E, MATCH(AE103, 'List of Leagues'!F:F, 0)), 0)</f>
        <v>0</v>
      </c>
      <c r="AG103" t="s">
        <v>762</v>
      </c>
      <c r="AH103">
        <f>IFERROR(INDEX('List of Leagues'!E:E, MATCH(AG103, 'List of Leagues'!F:F, 0)), 0)</f>
        <v>0</v>
      </c>
      <c r="AI103" t="s">
        <v>762</v>
      </c>
      <c r="AJ103">
        <f>IFERROR(INDEX('List of Leagues'!E:E, MATCH(AI103, 'List of Leagues'!F:F, 0)), 0)</f>
        <v>0</v>
      </c>
      <c r="AK103" t="s">
        <v>762</v>
      </c>
      <c r="AL103">
        <f>IFERROR(INDEX('List of Leagues'!E:E, MATCH(AK103, 'List of Leagues'!F:F, 0)), 0)</f>
        <v>0</v>
      </c>
      <c r="AM103" t="s">
        <v>762</v>
      </c>
      <c r="AN103">
        <f>IFERROR(INDEX('List of Leagues'!E:E, MATCH(AM103, 'List of Leagues'!F:F, 0)), 0)</f>
        <v>0</v>
      </c>
      <c r="AO103" t="s">
        <v>762</v>
      </c>
      <c r="AP103">
        <f>IFERROR(INDEX('List of Leagues'!E:E, MATCH(AO103, 'List of Leagues'!F:F, 0)), 0)</f>
        <v>0</v>
      </c>
      <c r="AQ103">
        <f t="shared" si="46"/>
        <v>0</v>
      </c>
      <c r="AR103" t="s">
        <v>171</v>
      </c>
      <c r="AS103">
        <f>IFERROR(INDEX('List of Leagues'!$E:$E, MATCH(AR103, 'List of Leagues'!$F:$F, 0)), 0)</f>
        <v>0</v>
      </c>
      <c r="AT103" t="s">
        <v>178</v>
      </c>
      <c r="AU103">
        <f>IFERROR(INDEX('List of Leagues'!$E:$E, MATCH(AT103, 'List of Leagues'!$F:$F, 0)), 0)</f>
        <v>69.3</v>
      </c>
      <c r="AV103" t="s">
        <v>205</v>
      </c>
      <c r="AW103">
        <f>IFERROR(INDEX('List of Leagues'!$E:$E, MATCH(AV103, 'List of Leagues'!$F:$F, 0)), 0)</f>
        <v>55.1</v>
      </c>
      <c r="AX103" t="s">
        <v>762</v>
      </c>
      <c r="AY103">
        <f>IFERROR(INDEX('List of Leagues'!$E:$E, MATCH(AX103, 'List of Leagues'!$F:$F, 0)), 0)</f>
        <v>0</v>
      </c>
      <c r="AZ103" t="s">
        <v>762</v>
      </c>
      <c r="BA103">
        <f>IFERROR(INDEX('List of Leagues'!$E:$E, MATCH(AZ103, 'List of Leagues'!$F:$F, 0)), 0)</f>
        <v>0</v>
      </c>
      <c r="BB103" t="s">
        <v>762</v>
      </c>
      <c r="BC103">
        <f>IFERROR(INDEX('List of Leagues'!$E:$E, MATCH(BB103, 'List of Leagues'!$F:$F, 0)), 0)</f>
        <v>0</v>
      </c>
      <c r="BD103">
        <f t="shared" si="47"/>
        <v>20.733333333333334</v>
      </c>
    </row>
    <row r="104" spans="1:56" x14ac:dyDescent="0.35">
      <c r="A104" t="s">
        <v>106</v>
      </c>
      <c r="B104">
        <v>0</v>
      </c>
      <c r="C104">
        <f>IF(COUNTIF($A$11:A104, A104) &gt; 1, 1, 0)</f>
        <v>0</v>
      </c>
      <c r="D104">
        <v>2022</v>
      </c>
      <c r="E104" t="s">
        <v>64</v>
      </c>
      <c r="F104" t="str">
        <f>IF(B104=0, "-", "")</f>
        <v>-</v>
      </c>
      <c r="G104" t="s">
        <v>6</v>
      </c>
      <c r="H104" t="s">
        <v>132</v>
      </c>
      <c r="I104">
        <f t="shared" si="43"/>
        <v>0</v>
      </c>
      <c r="J104">
        <f>SUMIF(A$2:A104,A104, O$2:O104)</f>
        <v>29</v>
      </c>
      <c r="K104">
        <f>SUMIF(A$2:A104, A104, P$2:P104)</f>
        <v>8</v>
      </c>
      <c r="L104">
        <f>SUMIF(A$2:A104, A104, Q$2:Q104)</f>
        <v>5</v>
      </c>
      <c r="M104">
        <f>SUMIF(A$2:A104, A104, R$2:R104)</f>
        <v>16</v>
      </c>
      <c r="N104">
        <f t="shared" si="31"/>
        <v>29</v>
      </c>
      <c r="O104">
        <f t="shared" si="44"/>
        <v>29</v>
      </c>
      <c r="P104">
        <v>8</v>
      </c>
      <c r="Q104">
        <v>5</v>
      </c>
      <c r="R104">
        <v>16</v>
      </c>
      <c r="S104">
        <f t="shared" si="45"/>
        <v>29</v>
      </c>
      <c r="T104">
        <v>1</v>
      </c>
      <c r="U104">
        <f t="shared" si="48"/>
        <v>5</v>
      </c>
      <c r="V104">
        <f>IF(F104="-", U104)</f>
        <v>5</v>
      </c>
      <c r="W104">
        <f>IF(F104="-", Y104)</f>
        <v>1</v>
      </c>
      <c r="X104">
        <v>4</v>
      </c>
      <c r="Y104">
        <v>1</v>
      </c>
      <c r="Z104" t="b">
        <v>1</v>
      </c>
      <c r="AA104" t="s">
        <v>178</v>
      </c>
      <c r="AB104">
        <f>IFERROR(INDEX('List of Leagues'!E:E, MATCH(AA104, 'List of Leagues'!F:F, 0)), 0)</f>
        <v>69.3</v>
      </c>
      <c r="AC104" t="s">
        <v>201</v>
      </c>
      <c r="AD104">
        <f>IFERROR(INDEX('List of Leagues'!E:E, MATCH(AC104, 'List of Leagues'!F:F, 0)), 0)</f>
        <v>80</v>
      </c>
      <c r="AE104" t="s">
        <v>671</v>
      </c>
      <c r="AF104">
        <f>IFERROR(INDEX('List of Leagues'!E:E, MATCH(AE104, 'List of Leagues'!F:F, 0)), 0)</f>
        <v>61.4</v>
      </c>
      <c r="AG104" t="s">
        <v>762</v>
      </c>
      <c r="AH104">
        <f>IFERROR(INDEX('List of Leagues'!E:E, MATCH(AG104, 'List of Leagues'!F:F, 0)), 0)</f>
        <v>0</v>
      </c>
      <c r="AI104" t="s">
        <v>762</v>
      </c>
      <c r="AJ104">
        <f>IFERROR(INDEX('List of Leagues'!E:E, MATCH(AI104, 'List of Leagues'!F:F, 0)), 0)</f>
        <v>0</v>
      </c>
      <c r="AK104" t="s">
        <v>762</v>
      </c>
      <c r="AL104">
        <f>IFERROR(INDEX('List of Leagues'!E:E, MATCH(AK104, 'List of Leagues'!F:F, 0)), 0)</f>
        <v>0</v>
      </c>
      <c r="AM104" t="s">
        <v>762</v>
      </c>
      <c r="AN104">
        <f>IFERROR(INDEX('List of Leagues'!E:E, MATCH(AM104, 'List of Leagues'!F:F, 0)), 0)</f>
        <v>0</v>
      </c>
      <c r="AO104" t="s">
        <v>762</v>
      </c>
      <c r="AP104">
        <f>IFERROR(INDEX('List of Leagues'!E:E, MATCH(AO104, 'List of Leagues'!F:F, 0)), 0)</f>
        <v>0</v>
      </c>
      <c r="AQ104">
        <f t="shared" si="46"/>
        <v>26.337500000000002</v>
      </c>
      <c r="AR104" t="s">
        <v>754</v>
      </c>
      <c r="AS104">
        <f>IFERROR(INDEX('List of Leagues'!$E:$E, MATCH(AR104, 'List of Leagues'!$F:$F, 0)), 0)</f>
        <v>72.099999999999994</v>
      </c>
      <c r="AT104" t="s">
        <v>769</v>
      </c>
      <c r="AU104">
        <f>IFERROR(INDEX('List of Leagues'!$E:$E, MATCH(AT104, 'List of Leagues'!$F:$F, 0)), 0)</f>
        <v>74.2</v>
      </c>
      <c r="AV104" t="s">
        <v>755</v>
      </c>
      <c r="AW104">
        <f>IFERROR(INDEX('List of Leagues'!$E:$E, MATCH(AV104, 'List of Leagues'!$F:$F, 0)), 0)</f>
        <v>64.8</v>
      </c>
      <c r="AX104" t="s">
        <v>756</v>
      </c>
      <c r="AY104">
        <f>IFERROR(INDEX('List of Leagues'!$E:$E, MATCH(AX104, 'List of Leagues'!$F:$F, 0)), 0)</f>
        <v>76.8</v>
      </c>
      <c r="AZ104" t="s">
        <v>762</v>
      </c>
      <c r="BA104">
        <f>IFERROR(INDEX('List of Leagues'!$E:$E, MATCH(AZ104, 'List of Leagues'!$F:$F, 0)), 0)</f>
        <v>0</v>
      </c>
      <c r="BB104" t="s">
        <v>762</v>
      </c>
      <c r="BC104">
        <f>IFERROR(INDEX('List of Leagues'!$E:$E, MATCH(BB104, 'List of Leagues'!$F:$F, 0)), 0)</f>
        <v>0</v>
      </c>
      <c r="BD104">
        <f t="shared" si="47"/>
        <v>47.983333333333341</v>
      </c>
    </row>
    <row r="105" spans="1:56" x14ac:dyDescent="0.35">
      <c r="A105" t="s">
        <v>105</v>
      </c>
      <c r="B105">
        <v>0</v>
      </c>
      <c r="C105">
        <v>0</v>
      </c>
      <c r="D105">
        <v>2022</v>
      </c>
      <c r="E105" t="s">
        <v>198</v>
      </c>
      <c r="F105" t="s">
        <v>799</v>
      </c>
      <c r="G105" t="s">
        <v>10</v>
      </c>
      <c r="H105" t="s">
        <v>10</v>
      </c>
      <c r="I105">
        <v>0</v>
      </c>
      <c r="J105">
        <f>SUMIF(A$2:A105,A105, O$2:O105)</f>
        <v>48</v>
      </c>
      <c r="K105">
        <f>SUMIF(A$2:A105, A105, P$2:P105)</f>
        <v>12</v>
      </c>
      <c r="L105">
        <f>SUMIF(A$2:A105, A105, Q$2:Q105)</f>
        <v>13</v>
      </c>
      <c r="M105">
        <f>SUMIF(A$2:A105, A105, R$2:R105)</f>
        <v>23</v>
      </c>
      <c r="N105">
        <f t="shared" si="31"/>
        <v>49</v>
      </c>
      <c r="O105">
        <f t="shared" ref="O105" si="49">P105+Q105+R105</f>
        <v>48</v>
      </c>
      <c r="P105">
        <v>12</v>
      </c>
      <c r="Q105">
        <v>13</v>
      </c>
      <c r="R105">
        <f>9+14</f>
        <v>23</v>
      </c>
      <c r="S105">
        <f t="shared" ref="S105" si="50">P105*3 + Q105</f>
        <v>49</v>
      </c>
      <c r="T105">
        <v>1</v>
      </c>
      <c r="U105">
        <v>4</v>
      </c>
      <c r="V105">
        <v>3</v>
      </c>
      <c r="W105">
        <v>0</v>
      </c>
      <c r="X105">
        <f>IF(COUNTIF($A$2:A105, A105) &gt; 1, 1, 0)</f>
        <v>0</v>
      </c>
      <c r="Y105">
        <v>0</v>
      </c>
      <c r="Z105" t="b">
        <v>1</v>
      </c>
      <c r="AA105" t="s">
        <v>184</v>
      </c>
      <c r="AB105">
        <f>IFERROR(INDEX('List of Leagues'!E:E, MATCH(AA105, 'List of Leagues'!F:F, 0)), 0)</f>
        <v>93.8</v>
      </c>
      <c r="AC105" t="s">
        <v>185</v>
      </c>
      <c r="AD105">
        <f>IFERROR(INDEX('List of Leagues'!E:E, MATCH(AC105, 'List of Leagues'!F:F, 0)), 0)</f>
        <v>75.400000000000006</v>
      </c>
      <c r="AE105" t="s">
        <v>762</v>
      </c>
      <c r="AF105">
        <f>IFERROR(INDEX('List of Leagues'!E:E, MATCH(AE105, 'List of Leagues'!F:F, 0)), 0)</f>
        <v>0</v>
      </c>
      <c r="AG105" t="s">
        <v>178</v>
      </c>
      <c r="AH105">
        <f>IFERROR(INDEX('List of Leagues'!E:E, MATCH(AG105, 'List of Leagues'!F:F, 0)), 0)</f>
        <v>69.3</v>
      </c>
      <c r="AI105" t="s">
        <v>762</v>
      </c>
      <c r="AJ105">
        <f>IFERROR(INDEX('List of Leagues'!E:E, MATCH(AI105, 'List of Leagues'!F:F, 0)), 0)</f>
        <v>0</v>
      </c>
      <c r="AK105" t="s">
        <v>762</v>
      </c>
      <c r="AL105">
        <f>IFERROR(INDEX('List of Leagues'!E:E, MATCH(AK105, 'List of Leagues'!F:F, 0)), 0)</f>
        <v>0</v>
      </c>
      <c r="AM105" t="s">
        <v>762</v>
      </c>
      <c r="AN105">
        <f>IFERROR(INDEX('List of Leagues'!E:E, MATCH(AM105, 'List of Leagues'!F:F, 0)), 0)</f>
        <v>0</v>
      </c>
      <c r="AO105" t="s">
        <v>762</v>
      </c>
      <c r="AP105">
        <f>IFERROR(INDEX('List of Leagues'!E:E, MATCH(AO105, 'List of Leagues'!F:F, 0)), 0)</f>
        <v>0</v>
      </c>
      <c r="AQ105">
        <f t="shared" ref="AQ105" si="51">AVERAGE(AB105, AD105, AF105, AH105, AJ105, AL105, AN105, AP105)</f>
        <v>29.8125</v>
      </c>
      <c r="AR105" t="s">
        <v>187</v>
      </c>
      <c r="AS105">
        <f>IFERROR(INDEX('List of Leagues'!$E:$E, MATCH(AR105, 'List of Leagues'!$F:$F, 0)), 0)</f>
        <v>58.4</v>
      </c>
      <c r="AT105" t="s">
        <v>762</v>
      </c>
      <c r="AU105">
        <f>IFERROR(INDEX('List of Leagues'!$E:$E, MATCH(AT105, 'List of Leagues'!$F:$F, 0)), 0)</f>
        <v>0</v>
      </c>
      <c r="AV105" t="s">
        <v>762</v>
      </c>
      <c r="AW105">
        <f>IFERROR(INDEX('List of Leagues'!$E:$E, MATCH(AV105, 'List of Leagues'!$F:$F, 0)), 0)</f>
        <v>0</v>
      </c>
      <c r="AX105" t="s">
        <v>762</v>
      </c>
      <c r="AY105">
        <f>IFERROR(INDEX('List of Leagues'!$E:$E, MATCH(AX105, 'List of Leagues'!$F:$F, 0)), 0)</f>
        <v>0</v>
      </c>
      <c r="AZ105" t="s">
        <v>762</v>
      </c>
      <c r="BA105">
        <f>IFERROR(INDEX('List of Leagues'!$E:$E, MATCH(AZ105, 'List of Leagues'!$F:$F, 0)), 0)</f>
        <v>0</v>
      </c>
      <c r="BB105" t="s">
        <v>762</v>
      </c>
      <c r="BC105">
        <f>IFERROR(INDEX('List of Leagues'!$E:$E, MATCH(BB105, 'List of Leagues'!$F:$F, 0)), 0)</f>
        <v>0</v>
      </c>
      <c r="BD105">
        <f t="shared" ref="BD105" si="52">AVERAGE(AS105, AU105, AW105, AY105, BA105, BC105)</f>
        <v>9.7333333333333325</v>
      </c>
    </row>
  </sheetData>
  <autoFilter ref="A1:BD104" xr:uid="{D3AE4150-662A-443D-AFE5-77937BAE4549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C3A92-4B62-426D-A648-C6CE3019862E}">
  <dimension ref="A1:I372"/>
  <sheetViews>
    <sheetView topLeftCell="A193" workbookViewId="0">
      <selection activeCell="I217" sqref="I217"/>
    </sheetView>
  </sheetViews>
  <sheetFormatPr defaultRowHeight="14.5" x14ac:dyDescent="0.35"/>
  <cols>
    <col min="4" max="4" width="14" bestFit="1" customWidth="1"/>
    <col min="5" max="5" width="11.453125" bestFit="1" customWidth="1"/>
    <col min="6" max="6" width="10.36328125" bestFit="1" customWidth="1"/>
    <col min="7" max="7" width="10.90625" bestFit="1" customWidth="1"/>
  </cols>
  <sheetData>
    <row r="1" spans="1:7" x14ac:dyDescent="0.35">
      <c r="A1" t="s">
        <v>0</v>
      </c>
      <c r="B1" t="s">
        <v>224</v>
      </c>
      <c r="C1" t="s">
        <v>223</v>
      </c>
      <c r="D1" t="s">
        <v>222</v>
      </c>
      <c r="E1" t="s">
        <v>221</v>
      </c>
      <c r="F1" t="s">
        <v>220</v>
      </c>
      <c r="G1" t="s">
        <v>219</v>
      </c>
    </row>
    <row r="2" spans="1:7" x14ac:dyDescent="0.35">
      <c r="A2" t="s">
        <v>72</v>
      </c>
      <c r="B2">
        <v>2016</v>
      </c>
      <c r="C2">
        <v>6</v>
      </c>
      <c r="D2" s="1">
        <v>523619</v>
      </c>
      <c r="E2" s="1">
        <v>87270</v>
      </c>
      <c r="F2" s="1">
        <v>74421</v>
      </c>
      <c r="G2" s="1">
        <v>43315</v>
      </c>
    </row>
    <row r="3" spans="1:7" x14ac:dyDescent="0.35">
      <c r="A3" t="s">
        <v>72</v>
      </c>
      <c r="B3">
        <v>2017</v>
      </c>
      <c r="C3">
        <v>33</v>
      </c>
      <c r="D3" s="1">
        <v>9675016</v>
      </c>
      <c r="E3" s="1">
        <v>293182</v>
      </c>
      <c r="F3" s="1">
        <v>150000</v>
      </c>
      <c r="G3" s="1">
        <v>430220</v>
      </c>
    </row>
    <row r="4" spans="1:7" x14ac:dyDescent="0.35">
      <c r="A4" t="s">
        <v>72</v>
      </c>
      <c r="B4">
        <v>2018</v>
      </c>
      <c r="C4">
        <v>32</v>
      </c>
      <c r="D4" s="1">
        <v>11606330</v>
      </c>
      <c r="E4" s="1">
        <v>362698</v>
      </c>
      <c r="F4" s="1">
        <v>137502</v>
      </c>
      <c r="G4" s="1">
        <v>503632</v>
      </c>
    </row>
    <row r="5" spans="1:7" x14ac:dyDescent="0.35">
      <c r="A5" t="s">
        <v>72</v>
      </c>
      <c r="B5">
        <v>2019</v>
      </c>
      <c r="C5">
        <v>35</v>
      </c>
      <c r="D5" s="1">
        <v>13222019</v>
      </c>
      <c r="E5" s="1">
        <v>377772</v>
      </c>
      <c r="F5" s="1">
        <v>166000</v>
      </c>
      <c r="G5" s="1">
        <v>565156</v>
      </c>
    </row>
    <row r="6" spans="1:7" x14ac:dyDescent="0.35">
      <c r="A6" t="s">
        <v>72</v>
      </c>
      <c r="B6">
        <v>2020</v>
      </c>
      <c r="C6">
        <v>31</v>
      </c>
      <c r="D6" s="1">
        <v>14047996</v>
      </c>
      <c r="E6" s="1">
        <v>453161</v>
      </c>
      <c r="F6" s="1">
        <v>225063</v>
      </c>
      <c r="G6" s="1">
        <v>651294</v>
      </c>
    </row>
    <row r="7" spans="1:7" x14ac:dyDescent="0.35">
      <c r="A7" t="s">
        <v>72</v>
      </c>
      <c r="B7">
        <v>2021</v>
      </c>
      <c r="C7">
        <v>36</v>
      </c>
      <c r="D7" s="1">
        <v>21209400</v>
      </c>
      <c r="E7" s="1">
        <v>589150</v>
      </c>
      <c r="F7" s="1">
        <v>262531</v>
      </c>
      <c r="G7" s="1">
        <v>946417</v>
      </c>
    </row>
    <row r="8" spans="1:7" x14ac:dyDescent="0.35">
      <c r="A8" t="s">
        <v>72</v>
      </c>
      <c r="B8">
        <v>2022</v>
      </c>
      <c r="C8">
        <v>39</v>
      </c>
      <c r="D8" s="1">
        <v>22895134</v>
      </c>
      <c r="E8" s="1">
        <v>587055</v>
      </c>
      <c r="F8" s="1">
        <v>247333</v>
      </c>
      <c r="G8" s="1">
        <v>1007691</v>
      </c>
    </row>
    <row r="9" spans="1:7" x14ac:dyDescent="0.35">
      <c r="A9" t="s">
        <v>72</v>
      </c>
      <c r="B9">
        <v>2023</v>
      </c>
      <c r="C9">
        <v>37</v>
      </c>
      <c r="D9" s="1">
        <v>25908400</v>
      </c>
      <c r="E9" s="1">
        <v>700227</v>
      </c>
      <c r="F9" s="1">
        <v>483500</v>
      </c>
      <c r="G9" s="1">
        <v>914123</v>
      </c>
    </row>
    <row r="10" spans="1:7" x14ac:dyDescent="0.35">
      <c r="A10" t="s">
        <v>194</v>
      </c>
      <c r="B10">
        <v>2020</v>
      </c>
      <c r="C10">
        <v>1</v>
      </c>
      <c r="D10" s="1">
        <v>287375</v>
      </c>
      <c r="E10" s="1">
        <v>287375</v>
      </c>
      <c r="F10" s="1">
        <v>287375</v>
      </c>
    </row>
    <row r="11" spans="1:7" x14ac:dyDescent="0.35">
      <c r="A11" t="s">
        <v>194</v>
      </c>
      <c r="B11">
        <v>2021</v>
      </c>
      <c r="C11">
        <v>31</v>
      </c>
      <c r="D11" s="1">
        <v>12576476</v>
      </c>
      <c r="E11" s="1">
        <v>405693</v>
      </c>
      <c r="F11" s="1">
        <v>250000</v>
      </c>
      <c r="G11" s="1">
        <v>551828</v>
      </c>
    </row>
    <row r="12" spans="1:7" x14ac:dyDescent="0.35">
      <c r="A12" t="s">
        <v>194</v>
      </c>
      <c r="B12">
        <v>2022</v>
      </c>
      <c r="C12">
        <v>31</v>
      </c>
      <c r="D12" s="1">
        <v>16375786</v>
      </c>
      <c r="E12" s="1">
        <v>528251</v>
      </c>
      <c r="F12" s="1">
        <v>337500</v>
      </c>
      <c r="G12" s="1">
        <v>624923</v>
      </c>
    </row>
    <row r="13" spans="1:7" x14ac:dyDescent="0.35">
      <c r="A13" t="s">
        <v>194</v>
      </c>
      <c r="B13">
        <v>2023</v>
      </c>
      <c r="C13">
        <v>33</v>
      </c>
      <c r="D13" s="1">
        <v>21041047</v>
      </c>
      <c r="E13" s="1">
        <v>637607</v>
      </c>
      <c r="F13" s="1">
        <v>397500</v>
      </c>
      <c r="G13" s="1">
        <v>1065377</v>
      </c>
    </row>
    <row r="14" spans="1:7" x14ac:dyDescent="0.35">
      <c r="A14" t="s">
        <v>5</v>
      </c>
      <c r="B14">
        <v>2007</v>
      </c>
      <c r="C14">
        <v>29</v>
      </c>
      <c r="D14" s="1">
        <v>4716305</v>
      </c>
      <c r="E14" s="1">
        <v>162631</v>
      </c>
    </row>
    <row r="15" spans="1:7" x14ac:dyDescent="0.35">
      <c r="A15" t="s">
        <v>5</v>
      </c>
      <c r="B15">
        <v>2008</v>
      </c>
      <c r="C15">
        <v>28</v>
      </c>
      <c r="D15" s="1">
        <v>4808167</v>
      </c>
      <c r="E15" s="1">
        <v>171720</v>
      </c>
    </row>
    <row r="16" spans="1:7" x14ac:dyDescent="0.35">
      <c r="A16" t="s">
        <v>5</v>
      </c>
      <c r="B16">
        <v>2009</v>
      </c>
      <c r="C16">
        <v>24</v>
      </c>
      <c r="D16" s="1">
        <v>5134229</v>
      </c>
      <c r="E16" s="1">
        <v>213926</v>
      </c>
    </row>
    <row r="17" spans="1:9" x14ac:dyDescent="0.35">
      <c r="A17" t="s">
        <v>5</v>
      </c>
      <c r="B17">
        <v>2010</v>
      </c>
      <c r="C17">
        <v>24</v>
      </c>
      <c r="D17" s="1">
        <v>5559104</v>
      </c>
      <c r="E17" s="1">
        <v>231629</v>
      </c>
    </row>
    <row r="18" spans="1:9" x14ac:dyDescent="0.35">
      <c r="A18" t="s">
        <v>5</v>
      </c>
      <c r="B18">
        <v>2011</v>
      </c>
      <c r="C18">
        <v>30</v>
      </c>
      <c r="D18" s="1">
        <v>3012683</v>
      </c>
      <c r="E18" s="1">
        <v>100423</v>
      </c>
      <c r="I18" s="1"/>
    </row>
    <row r="19" spans="1:9" x14ac:dyDescent="0.35">
      <c r="A19" t="s">
        <v>5</v>
      </c>
      <c r="B19">
        <v>2012</v>
      </c>
      <c r="C19">
        <v>31</v>
      </c>
      <c r="D19" s="1">
        <v>4145876</v>
      </c>
      <c r="E19" s="1">
        <v>133738</v>
      </c>
    </row>
    <row r="20" spans="1:9" x14ac:dyDescent="0.35">
      <c r="A20" t="s">
        <v>5</v>
      </c>
      <c r="B20">
        <v>2013</v>
      </c>
      <c r="C20">
        <v>35</v>
      </c>
      <c r="D20" s="1">
        <v>5857982</v>
      </c>
      <c r="E20" s="1">
        <v>167371</v>
      </c>
      <c r="F20" s="1">
        <v>120000</v>
      </c>
      <c r="G20" s="1">
        <v>157878</v>
      </c>
    </row>
    <row r="21" spans="1:9" x14ac:dyDescent="0.35">
      <c r="A21" t="s">
        <v>5</v>
      </c>
      <c r="B21">
        <v>2014</v>
      </c>
      <c r="C21">
        <v>33</v>
      </c>
      <c r="D21" s="1">
        <v>4268457</v>
      </c>
      <c r="E21" s="1">
        <v>129347</v>
      </c>
      <c r="F21" s="1">
        <v>82665</v>
      </c>
      <c r="G21" s="1">
        <v>98660</v>
      </c>
    </row>
    <row r="22" spans="1:9" x14ac:dyDescent="0.35">
      <c r="A22" t="s">
        <v>5</v>
      </c>
      <c r="B22">
        <v>2015</v>
      </c>
      <c r="C22">
        <v>28</v>
      </c>
      <c r="D22" s="1">
        <v>7564614</v>
      </c>
      <c r="E22" s="1">
        <v>270165</v>
      </c>
      <c r="F22" s="1">
        <v>108750</v>
      </c>
      <c r="G22" s="1">
        <v>373802</v>
      </c>
    </row>
    <row r="23" spans="1:9" x14ac:dyDescent="0.35">
      <c r="A23" t="s">
        <v>5</v>
      </c>
      <c r="B23">
        <v>2016</v>
      </c>
      <c r="C23">
        <v>28</v>
      </c>
      <c r="D23" s="1">
        <v>6350568</v>
      </c>
      <c r="E23" s="1">
        <v>226806</v>
      </c>
      <c r="F23" s="1">
        <v>113854</v>
      </c>
      <c r="G23" s="1">
        <v>281385</v>
      </c>
    </row>
    <row r="24" spans="1:9" x14ac:dyDescent="0.35">
      <c r="A24" t="s">
        <v>5</v>
      </c>
      <c r="B24">
        <v>2017</v>
      </c>
      <c r="C24">
        <v>30</v>
      </c>
      <c r="D24" s="1">
        <v>13089574</v>
      </c>
      <c r="E24" s="1">
        <v>436319</v>
      </c>
      <c r="F24" s="1">
        <v>116513</v>
      </c>
      <c r="G24" s="1">
        <v>1008917</v>
      </c>
    </row>
    <row r="25" spans="1:9" x14ac:dyDescent="0.35">
      <c r="A25" t="s">
        <v>5</v>
      </c>
      <c r="B25">
        <v>2018</v>
      </c>
      <c r="C25">
        <v>32</v>
      </c>
      <c r="D25" s="1">
        <v>16250404</v>
      </c>
      <c r="E25" s="1">
        <v>507825</v>
      </c>
      <c r="F25" s="1">
        <v>124945</v>
      </c>
      <c r="G25" s="1">
        <v>1140751</v>
      </c>
    </row>
    <row r="26" spans="1:9" x14ac:dyDescent="0.35">
      <c r="A26" t="s">
        <v>5</v>
      </c>
      <c r="B26">
        <v>2019</v>
      </c>
      <c r="C26">
        <v>30</v>
      </c>
      <c r="D26" s="1">
        <v>17320856</v>
      </c>
      <c r="E26" s="1">
        <v>577362</v>
      </c>
      <c r="F26" s="1">
        <v>140813</v>
      </c>
      <c r="G26" s="1">
        <v>1094099</v>
      </c>
    </row>
    <row r="27" spans="1:9" x14ac:dyDescent="0.35">
      <c r="A27" t="s">
        <v>5</v>
      </c>
      <c r="B27">
        <v>2020</v>
      </c>
      <c r="C27">
        <v>32</v>
      </c>
      <c r="D27" s="1">
        <v>12631979</v>
      </c>
      <c r="E27" s="1">
        <v>394749</v>
      </c>
      <c r="F27" s="1">
        <v>128988</v>
      </c>
      <c r="G27" s="1">
        <v>577874</v>
      </c>
    </row>
    <row r="28" spans="1:9" x14ac:dyDescent="0.35">
      <c r="A28" t="s">
        <v>5</v>
      </c>
      <c r="B28">
        <v>2021</v>
      </c>
      <c r="C28">
        <v>30</v>
      </c>
      <c r="D28" s="1">
        <v>13922256</v>
      </c>
      <c r="E28" s="1">
        <v>464075</v>
      </c>
      <c r="F28" s="1">
        <v>202158</v>
      </c>
      <c r="G28" s="1">
        <v>632649</v>
      </c>
    </row>
    <row r="29" spans="1:9" x14ac:dyDescent="0.35">
      <c r="A29" t="s">
        <v>5</v>
      </c>
      <c r="B29">
        <v>2022</v>
      </c>
      <c r="C29">
        <v>30</v>
      </c>
      <c r="D29" s="1">
        <v>19565159</v>
      </c>
      <c r="E29" s="1">
        <v>652172</v>
      </c>
      <c r="F29" s="1">
        <v>224800</v>
      </c>
      <c r="G29" s="1">
        <v>1505434</v>
      </c>
    </row>
    <row r="30" spans="1:9" x14ac:dyDescent="0.35">
      <c r="A30" t="s">
        <v>5</v>
      </c>
      <c r="B30">
        <v>2023</v>
      </c>
      <c r="C30">
        <v>31</v>
      </c>
      <c r="D30" s="1">
        <v>20415828</v>
      </c>
      <c r="E30" s="1">
        <v>658575</v>
      </c>
      <c r="F30" s="1">
        <v>279800</v>
      </c>
      <c r="G30" s="1">
        <v>1457109</v>
      </c>
    </row>
    <row r="31" spans="1:9" x14ac:dyDescent="0.35">
      <c r="A31" t="s">
        <v>218</v>
      </c>
      <c r="B31">
        <v>2007</v>
      </c>
      <c r="C31">
        <v>28</v>
      </c>
      <c r="D31" s="1">
        <v>1789646</v>
      </c>
      <c r="E31" s="1">
        <v>63916</v>
      </c>
    </row>
    <row r="32" spans="1:9" x14ac:dyDescent="0.35">
      <c r="A32" t="s">
        <v>218</v>
      </c>
      <c r="B32">
        <v>2008</v>
      </c>
      <c r="C32">
        <v>32</v>
      </c>
      <c r="D32" s="1">
        <v>2487846</v>
      </c>
      <c r="E32" s="1">
        <v>77745</v>
      </c>
    </row>
    <row r="33" spans="1:7" x14ac:dyDescent="0.35">
      <c r="A33" t="s">
        <v>218</v>
      </c>
      <c r="B33">
        <v>2009</v>
      </c>
      <c r="C33">
        <v>30</v>
      </c>
      <c r="D33" s="1">
        <v>2449694</v>
      </c>
      <c r="E33" s="1">
        <v>81656</v>
      </c>
    </row>
    <row r="34" spans="1:7" x14ac:dyDescent="0.35">
      <c r="A34" t="s">
        <v>218</v>
      </c>
      <c r="B34">
        <v>2010</v>
      </c>
      <c r="C34">
        <v>28</v>
      </c>
      <c r="D34" s="1">
        <v>2477548</v>
      </c>
      <c r="E34" s="1">
        <v>88484</v>
      </c>
    </row>
    <row r="35" spans="1:7" x14ac:dyDescent="0.35">
      <c r="A35" t="s">
        <v>218</v>
      </c>
      <c r="B35">
        <v>2011</v>
      </c>
      <c r="C35">
        <v>29</v>
      </c>
      <c r="D35" s="1">
        <v>3924919</v>
      </c>
      <c r="E35" s="1">
        <v>135342</v>
      </c>
    </row>
    <row r="36" spans="1:7" x14ac:dyDescent="0.35">
      <c r="A36" t="s">
        <v>218</v>
      </c>
      <c r="B36">
        <v>2012</v>
      </c>
      <c r="C36">
        <v>28</v>
      </c>
      <c r="D36" s="1">
        <v>3572342</v>
      </c>
      <c r="E36" s="1">
        <v>127584</v>
      </c>
    </row>
    <row r="37" spans="1:7" x14ac:dyDescent="0.35">
      <c r="A37" t="s">
        <v>218</v>
      </c>
      <c r="B37">
        <v>2013</v>
      </c>
      <c r="C37">
        <v>37</v>
      </c>
      <c r="D37" s="1">
        <v>3318337</v>
      </c>
      <c r="E37" s="1">
        <v>89685</v>
      </c>
      <c r="F37" s="1">
        <v>72500</v>
      </c>
      <c r="G37" s="1">
        <v>52703</v>
      </c>
    </row>
    <row r="38" spans="1:7" x14ac:dyDescent="0.35">
      <c r="A38" t="s">
        <v>218</v>
      </c>
      <c r="B38">
        <v>2014</v>
      </c>
      <c r="C38">
        <v>38</v>
      </c>
      <c r="D38" s="1">
        <v>4542924</v>
      </c>
      <c r="E38" s="1">
        <v>119551</v>
      </c>
      <c r="F38" s="1">
        <v>92500</v>
      </c>
      <c r="G38" s="1">
        <v>100794</v>
      </c>
    </row>
    <row r="39" spans="1:7" x14ac:dyDescent="0.35">
      <c r="A39" t="s">
        <v>196</v>
      </c>
      <c r="B39">
        <v>2018</v>
      </c>
      <c r="C39">
        <v>2</v>
      </c>
      <c r="D39" s="1">
        <v>2057576</v>
      </c>
      <c r="E39" s="1">
        <v>1028788</v>
      </c>
      <c r="F39" s="1">
        <v>1028788</v>
      </c>
      <c r="G39" s="1">
        <v>1279220</v>
      </c>
    </row>
    <row r="40" spans="1:7" x14ac:dyDescent="0.35">
      <c r="A40" t="s">
        <v>196</v>
      </c>
      <c r="B40">
        <v>2019</v>
      </c>
      <c r="C40">
        <v>36</v>
      </c>
      <c r="D40" s="1">
        <v>11420531</v>
      </c>
      <c r="E40" s="1">
        <v>317237</v>
      </c>
      <c r="F40" s="1">
        <v>181000</v>
      </c>
      <c r="G40" s="1">
        <v>407469</v>
      </c>
    </row>
    <row r="41" spans="1:7" x14ac:dyDescent="0.35">
      <c r="A41" t="s">
        <v>196</v>
      </c>
      <c r="B41">
        <v>2020</v>
      </c>
      <c r="C41">
        <v>32</v>
      </c>
      <c r="D41" s="1">
        <v>13304603</v>
      </c>
      <c r="E41" s="1">
        <v>415769</v>
      </c>
      <c r="F41" s="1">
        <v>233002</v>
      </c>
      <c r="G41" s="1">
        <v>491552</v>
      </c>
    </row>
    <row r="42" spans="1:7" x14ac:dyDescent="0.35">
      <c r="A42" t="s">
        <v>196</v>
      </c>
      <c r="B42">
        <v>2021</v>
      </c>
      <c r="C42">
        <v>36</v>
      </c>
      <c r="D42" s="1">
        <v>16793343</v>
      </c>
      <c r="E42" s="1">
        <v>466482</v>
      </c>
      <c r="F42" s="1">
        <v>271188</v>
      </c>
      <c r="G42" s="1">
        <v>637531</v>
      </c>
    </row>
    <row r="43" spans="1:7" x14ac:dyDescent="0.35">
      <c r="A43" t="s">
        <v>196</v>
      </c>
      <c r="B43">
        <v>2022</v>
      </c>
      <c r="C43">
        <v>32</v>
      </c>
      <c r="D43" s="1">
        <v>16529837</v>
      </c>
      <c r="E43" s="1">
        <v>516557</v>
      </c>
      <c r="F43" s="1">
        <v>239375</v>
      </c>
      <c r="G43" s="1">
        <v>601775</v>
      </c>
    </row>
    <row r="44" spans="1:7" x14ac:dyDescent="0.35">
      <c r="A44" t="s">
        <v>196</v>
      </c>
      <c r="B44">
        <v>2023</v>
      </c>
      <c r="C44">
        <v>31</v>
      </c>
      <c r="D44" s="1">
        <v>16567328</v>
      </c>
      <c r="E44" s="1">
        <v>534430</v>
      </c>
      <c r="F44" s="1">
        <v>220833</v>
      </c>
      <c r="G44" s="1">
        <v>616761</v>
      </c>
    </row>
    <row r="45" spans="1:7" x14ac:dyDescent="0.35">
      <c r="A45" t="s">
        <v>23</v>
      </c>
      <c r="B45">
        <v>2007</v>
      </c>
      <c r="C45">
        <v>29</v>
      </c>
      <c r="D45" s="1">
        <v>2108226</v>
      </c>
      <c r="E45" s="1">
        <v>72697</v>
      </c>
    </row>
    <row r="46" spans="1:7" x14ac:dyDescent="0.35">
      <c r="A46" t="s">
        <v>23</v>
      </c>
      <c r="B46">
        <v>2008</v>
      </c>
      <c r="C46">
        <v>31</v>
      </c>
      <c r="D46" s="1">
        <v>2372681</v>
      </c>
      <c r="E46" s="1">
        <v>76538</v>
      </c>
    </row>
    <row r="47" spans="1:7" x14ac:dyDescent="0.35">
      <c r="A47" t="s">
        <v>23</v>
      </c>
      <c r="B47">
        <v>2009</v>
      </c>
      <c r="C47">
        <v>25</v>
      </c>
      <c r="D47" s="1">
        <v>2903551</v>
      </c>
      <c r="E47" s="1">
        <v>116142</v>
      </c>
    </row>
    <row r="48" spans="1:7" x14ac:dyDescent="0.35">
      <c r="A48" t="s">
        <v>23</v>
      </c>
      <c r="B48">
        <v>2010</v>
      </c>
      <c r="C48">
        <v>23</v>
      </c>
      <c r="D48" s="1">
        <v>2808204</v>
      </c>
      <c r="E48" s="1">
        <v>122096</v>
      </c>
    </row>
    <row r="49" spans="1:9" x14ac:dyDescent="0.35">
      <c r="A49" t="s">
        <v>23</v>
      </c>
      <c r="B49">
        <v>2011</v>
      </c>
      <c r="C49">
        <v>30</v>
      </c>
      <c r="D49" s="1">
        <v>3551415</v>
      </c>
      <c r="E49" s="1">
        <v>118380</v>
      </c>
    </row>
    <row r="50" spans="1:9" x14ac:dyDescent="0.35">
      <c r="A50" t="s">
        <v>23</v>
      </c>
      <c r="B50">
        <v>2012</v>
      </c>
      <c r="C50">
        <v>30</v>
      </c>
      <c r="D50" s="1">
        <v>3717509</v>
      </c>
      <c r="E50" s="1">
        <v>123917</v>
      </c>
    </row>
    <row r="51" spans="1:9" x14ac:dyDescent="0.35">
      <c r="A51" t="s">
        <v>23</v>
      </c>
      <c r="B51">
        <v>2013</v>
      </c>
      <c r="C51">
        <v>30</v>
      </c>
      <c r="D51" s="1">
        <v>3642001</v>
      </c>
      <c r="E51" s="1">
        <v>121400</v>
      </c>
      <c r="F51" s="1">
        <v>77250</v>
      </c>
      <c r="G51" s="1">
        <v>121990</v>
      </c>
      <c r="I51" s="1">
        <v>3324536</v>
      </c>
    </row>
    <row r="52" spans="1:9" x14ac:dyDescent="0.35">
      <c r="A52" t="s">
        <v>23</v>
      </c>
      <c r="B52">
        <v>2014</v>
      </c>
      <c r="C52">
        <v>33</v>
      </c>
      <c r="D52" s="1">
        <v>4111893</v>
      </c>
      <c r="E52" s="1">
        <v>124603</v>
      </c>
      <c r="F52" s="1">
        <v>75000</v>
      </c>
      <c r="G52" s="1">
        <v>138662</v>
      </c>
    </row>
    <row r="53" spans="1:9" x14ac:dyDescent="0.35">
      <c r="A53" t="s">
        <v>23</v>
      </c>
      <c r="B53">
        <v>2015</v>
      </c>
      <c r="C53">
        <v>31</v>
      </c>
      <c r="D53" s="1">
        <v>5855122</v>
      </c>
      <c r="E53" s="1">
        <v>188875</v>
      </c>
      <c r="F53" s="1">
        <v>110000</v>
      </c>
      <c r="G53" s="1">
        <v>226707</v>
      </c>
    </row>
    <row r="54" spans="1:9" x14ac:dyDescent="0.35">
      <c r="A54" t="s">
        <v>23</v>
      </c>
      <c r="B54">
        <v>2016</v>
      </c>
      <c r="C54">
        <v>29</v>
      </c>
      <c r="D54" s="1">
        <v>6049069</v>
      </c>
      <c r="E54" s="1">
        <v>208589</v>
      </c>
      <c r="F54" s="1">
        <v>120000</v>
      </c>
      <c r="G54" s="1">
        <v>226116</v>
      </c>
    </row>
    <row r="55" spans="1:9" x14ac:dyDescent="0.35">
      <c r="A55" t="s">
        <v>23</v>
      </c>
      <c r="B55">
        <v>2017</v>
      </c>
      <c r="C55">
        <v>31</v>
      </c>
      <c r="D55" s="1">
        <v>7478545</v>
      </c>
      <c r="E55" s="1">
        <v>241243</v>
      </c>
      <c r="F55" s="1">
        <v>150000</v>
      </c>
      <c r="G55" s="1">
        <v>251675</v>
      </c>
    </row>
    <row r="56" spans="1:9" x14ac:dyDescent="0.35">
      <c r="A56" t="s">
        <v>23</v>
      </c>
      <c r="B56">
        <v>2018</v>
      </c>
      <c r="C56">
        <v>29</v>
      </c>
      <c r="D56" s="1">
        <v>7715954</v>
      </c>
      <c r="E56" s="1">
        <v>266067</v>
      </c>
      <c r="F56" s="1">
        <v>145000</v>
      </c>
      <c r="G56" s="1">
        <v>279563</v>
      </c>
    </row>
    <row r="57" spans="1:9" x14ac:dyDescent="0.35">
      <c r="A57" t="s">
        <v>23</v>
      </c>
      <c r="B57">
        <v>2019</v>
      </c>
      <c r="C57">
        <v>35</v>
      </c>
      <c r="D57" s="1">
        <v>11915780</v>
      </c>
      <c r="E57" s="1">
        <v>340451</v>
      </c>
      <c r="F57" s="1">
        <v>200000</v>
      </c>
      <c r="G57" s="1">
        <v>349564</v>
      </c>
    </row>
    <row r="58" spans="1:9" x14ac:dyDescent="0.35">
      <c r="A58" t="s">
        <v>23</v>
      </c>
      <c r="B58">
        <v>2020</v>
      </c>
      <c r="C58">
        <v>30</v>
      </c>
      <c r="D58" s="1">
        <v>14094779</v>
      </c>
      <c r="E58" s="1">
        <v>469826</v>
      </c>
      <c r="F58" s="1">
        <v>257500</v>
      </c>
      <c r="G58" s="1">
        <v>520877</v>
      </c>
    </row>
    <row r="59" spans="1:9" x14ac:dyDescent="0.35">
      <c r="A59" t="s">
        <v>23</v>
      </c>
      <c r="B59">
        <v>2021</v>
      </c>
      <c r="C59">
        <v>31</v>
      </c>
      <c r="D59" s="1">
        <v>14404795</v>
      </c>
      <c r="E59" s="1">
        <v>464671</v>
      </c>
      <c r="F59" s="1">
        <v>365000</v>
      </c>
      <c r="G59" s="1">
        <v>483721</v>
      </c>
    </row>
    <row r="60" spans="1:9" x14ac:dyDescent="0.35">
      <c r="A60" t="s">
        <v>23</v>
      </c>
      <c r="B60">
        <v>2022</v>
      </c>
      <c r="C60">
        <v>31</v>
      </c>
      <c r="D60" s="1">
        <v>18012808</v>
      </c>
      <c r="E60" s="1">
        <v>581058</v>
      </c>
      <c r="F60" s="1">
        <v>325000</v>
      </c>
      <c r="G60" s="1">
        <v>827125</v>
      </c>
    </row>
    <row r="61" spans="1:9" x14ac:dyDescent="0.35">
      <c r="A61" t="s">
        <v>23</v>
      </c>
      <c r="B61">
        <v>2023</v>
      </c>
      <c r="C61">
        <v>32</v>
      </c>
      <c r="D61" s="1">
        <v>21369147</v>
      </c>
      <c r="E61" s="1">
        <v>667786</v>
      </c>
      <c r="F61" s="1">
        <v>393565</v>
      </c>
      <c r="G61" s="1">
        <v>896546</v>
      </c>
    </row>
    <row r="62" spans="1:9" x14ac:dyDescent="0.35">
      <c r="A62" t="s">
        <v>193</v>
      </c>
      <c r="B62">
        <v>2021</v>
      </c>
      <c r="C62">
        <v>2</v>
      </c>
      <c r="D62" s="1">
        <v>154252</v>
      </c>
      <c r="E62" s="1">
        <v>77126</v>
      </c>
      <c r="F62" s="1">
        <v>77126</v>
      </c>
      <c r="G62" s="1">
        <v>19204</v>
      </c>
    </row>
    <row r="63" spans="1:9" x14ac:dyDescent="0.35">
      <c r="A63" t="s">
        <v>193</v>
      </c>
      <c r="B63">
        <v>2022</v>
      </c>
      <c r="C63">
        <v>35</v>
      </c>
      <c r="D63" s="1">
        <v>12774661</v>
      </c>
      <c r="E63" s="1">
        <v>364990</v>
      </c>
      <c r="F63" s="1">
        <v>278083</v>
      </c>
      <c r="G63" s="1">
        <v>401278</v>
      </c>
    </row>
    <row r="64" spans="1:9" x14ac:dyDescent="0.35">
      <c r="A64" t="s">
        <v>193</v>
      </c>
      <c r="B64">
        <v>2023</v>
      </c>
      <c r="C64">
        <v>39</v>
      </c>
      <c r="D64" s="1">
        <v>15408616</v>
      </c>
      <c r="E64" s="1">
        <v>395093</v>
      </c>
      <c r="F64" s="1">
        <v>303083</v>
      </c>
      <c r="G64" s="1">
        <v>434685</v>
      </c>
    </row>
    <row r="65" spans="1:7" x14ac:dyDescent="0.35">
      <c r="A65" t="s">
        <v>9</v>
      </c>
      <c r="B65">
        <v>2007</v>
      </c>
      <c r="C65">
        <v>29</v>
      </c>
      <c r="D65" s="1">
        <v>2281303</v>
      </c>
      <c r="E65" s="1">
        <v>78666</v>
      </c>
    </row>
    <row r="66" spans="1:7" x14ac:dyDescent="0.35">
      <c r="A66" t="s">
        <v>9</v>
      </c>
      <c r="B66">
        <v>2008</v>
      </c>
      <c r="C66">
        <v>29</v>
      </c>
      <c r="D66" s="3">
        <v>2515949.54</v>
      </c>
      <c r="E66" s="1">
        <v>86757</v>
      </c>
    </row>
    <row r="67" spans="1:7" x14ac:dyDescent="0.35">
      <c r="A67" t="s">
        <v>9</v>
      </c>
      <c r="B67">
        <v>2009</v>
      </c>
      <c r="C67">
        <v>25</v>
      </c>
      <c r="D67" s="3">
        <v>2430119.7000000002</v>
      </c>
      <c r="E67" s="1">
        <v>97205</v>
      </c>
    </row>
    <row r="68" spans="1:7" x14ac:dyDescent="0.35">
      <c r="A68" t="s">
        <v>9</v>
      </c>
      <c r="B68">
        <v>2010</v>
      </c>
      <c r="C68">
        <v>25</v>
      </c>
      <c r="D68" s="3">
        <v>2710113.89</v>
      </c>
      <c r="E68" s="1">
        <v>108405</v>
      </c>
    </row>
    <row r="69" spans="1:7" x14ac:dyDescent="0.35">
      <c r="A69" t="s">
        <v>9</v>
      </c>
      <c r="B69">
        <v>2011</v>
      </c>
      <c r="C69">
        <v>30</v>
      </c>
      <c r="D69" s="3">
        <v>3173078.72</v>
      </c>
      <c r="E69" s="1">
        <v>105769</v>
      </c>
    </row>
    <row r="70" spans="1:7" x14ac:dyDescent="0.35">
      <c r="A70" t="s">
        <v>9</v>
      </c>
      <c r="B70">
        <v>2012</v>
      </c>
      <c r="C70">
        <v>28</v>
      </c>
      <c r="D70" s="3">
        <v>3381885.75</v>
      </c>
      <c r="E70" s="1">
        <v>120782</v>
      </c>
    </row>
    <row r="71" spans="1:7" x14ac:dyDescent="0.35">
      <c r="A71" t="s">
        <v>9</v>
      </c>
      <c r="B71">
        <v>2013</v>
      </c>
      <c r="C71">
        <v>32</v>
      </c>
      <c r="D71" s="1">
        <v>3880513</v>
      </c>
      <c r="E71" s="1">
        <v>121266</v>
      </c>
      <c r="F71" s="1">
        <v>88481</v>
      </c>
      <c r="G71" s="1">
        <v>81195</v>
      </c>
    </row>
    <row r="72" spans="1:7" x14ac:dyDescent="0.35">
      <c r="A72" t="s">
        <v>9</v>
      </c>
      <c r="B72">
        <v>2014</v>
      </c>
      <c r="C72">
        <v>32</v>
      </c>
      <c r="D72" s="1">
        <v>3871134</v>
      </c>
      <c r="E72" s="1">
        <v>120973</v>
      </c>
      <c r="F72" s="1">
        <v>86000</v>
      </c>
      <c r="G72" s="1">
        <v>87472</v>
      </c>
    </row>
    <row r="73" spans="1:7" x14ac:dyDescent="0.35">
      <c r="A73" t="s">
        <v>9</v>
      </c>
      <c r="B73">
        <v>2015</v>
      </c>
      <c r="C73">
        <v>31</v>
      </c>
      <c r="D73" s="1">
        <v>5187407</v>
      </c>
      <c r="E73" s="1">
        <v>167336</v>
      </c>
      <c r="F73" s="1">
        <v>99996</v>
      </c>
      <c r="G73" s="1">
        <v>207078</v>
      </c>
    </row>
    <row r="74" spans="1:7" x14ac:dyDescent="0.35">
      <c r="A74" t="s">
        <v>9</v>
      </c>
      <c r="B74">
        <v>2016</v>
      </c>
      <c r="C74">
        <v>30</v>
      </c>
      <c r="D74" s="1">
        <v>8861788</v>
      </c>
      <c r="E74" s="1">
        <v>295393</v>
      </c>
      <c r="F74" s="1">
        <v>87500</v>
      </c>
      <c r="G74" s="1">
        <v>554397</v>
      </c>
    </row>
    <row r="75" spans="1:7" x14ac:dyDescent="0.35">
      <c r="A75" t="s">
        <v>9</v>
      </c>
      <c r="B75">
        <v>2017</v>
      </c>
      <c r="C75">
        <v>28</v>
      </c>
      <c r="D75" s="1">
        <v>8681505</v>
      </c>
      <c r="E75" s="1">
        <v>310054</v>
      </c>
      <c r="F75" s="1">
        <v>115813</v>
      </c>
      <c r="G75" s="1">
        <v>545844</v>
      </c>
    </row>
    <row r="76" spans="1:7" x14ac:dyDescent="0.35">
      <c r="A76" t="s">
        <v>9</v>
      </c>
      <c r="B76">
        <v>2018</v>
      </c>
      <c r="C76">
        <v>33</v>
      </c>
      <c r="D76" s="1">
        <v>11570331</v>
      </c>
      <c r="E76" s="1">
        <v>350616</v>
      </c>
      <c r="F76" s="1">
        <v>144996</v>
      </c>
      <c r="G76" s="1">
        <v>511552</v>
      </c>
    </row>
    <row r="77" spans="1:7" x14ac:dyDescent="0.35">
      <c r="A77" t="s">
        <v>9</v>
      </c>
      <c r="B77">
        <v>2019</v>
      </c>
      <c r="C77">
        <v>29</v>
      </c>
      <c r="D77" s="1">
        <v>8991244</v>
      </c>
      <c r="E77" s="1">
        <v>310043</v>
      </c>
      <c r="F77" s="1">
        <v>138707</v>
      </c>
      <c r="G77" s="1">
        <v>463082</v>
      </c>
    </row>
    <row r="78" spans="1:7" x14ac:dyDescent="0.35">
      <c r="A78" t="s">
        <v>9</v>
      </c>
      <c r="B78">
        <v>2020</v>
      </c>
      <c r="C78">
        <v>28</v>
      </c>
      <c r="D78" s="1">
        <v>7659405</v>
      </c>
      <c r="E78" s="1">
        <v>273550</v>
      </c>
      <c r="F78" s="1">
        <v>145219</v>
      </c>
      <c r="G78" s="1">
        <v>280762</v>
      </c>
    </row>
    <row r="79" spans="1:7" x14ac:dyDescent="0.35">
      <c r="A79" t="s">
        <v>9</v>
      </c>
      <c r="B79">
        <v>2021</v>
      </c>
      <c r="C79">
        <v>36</v>
      </c>
      <c r="D79" s="1">
        <v>11027762</v>
      </c>
      <c r="E79" s="1">
        <v>306327</v>
      </c>
      <c r="F79" s="1">
        <v>225213</v>
      </c>
      <c r="G79" s="1">
        <v>287820</v>
      </c>
    </row>
    <row r="80" spans="1:7" x14ac:dyDescent="0.35">
      <c r="A80" t="s">
        <v>9</v>
      </c>
      <c r="B80">
        <v>2022</v>
      </c>
      <c r="C80">
        <v>36</v>
      </c>
      <c r="D80" s="1">
        <v>12395247</v>
      </c>
      <c r="E80" s="1">
        <v>344312</v>
      </c>
      <c r="F80" s="1">
        <v>282743</v>
      </c>
      <c r="G80" s="1">
        <v>312571</v>
      </c>
    </row>
    <row r="81" spans="1:7" x14ac:dyDescent="0.35">
      <c r="A81" t="s">
        <v>9</v>
      </c>
      <c r="B81">
        <v>2023</v>
      </c>
      <c r="C81">
        <v>38</v>
      </c>
      <c r="D81" s="1">
        <v>16431203</v>
      </c>
      <c r="E81" s="1">
        <v>432400</v>
      </c>
      <c r="F81" s="1">
        <v>364597</v>
      </c>
      <c r="G81" s="1">
        <v>395190</v>
      </c>
    </row>
    <row r="82" spans="1:7" x14ac:dyDescent="0.35">
      <c r="A82" t="s">
        <v>198</v>
      </c>
      <c r="B82">
        <v>2007</v>
      </c>
      <c r="C82">
        <v>27</v>
      </c>
      <c r="D82" s="3">
        <v>2276390</v>
      </c>
      <c r="E82" s="3">
        <v>84310.74</v>
      </c>
    </row>
    <row r="83" spans="1:7" x14ac:dyDescent="0.35">
      <c r="A83" t="s">
        <v>198</v>
      </c>
      <c r="B83">
        <v>2008</v>
      </c>
      <c r="C83">
        <v>31</v>
      </c>
      <c r="D83" s="3">
        <v>4881668.8499999996</v>
      </c>
      <c r="E83" s="3">
        <v>157473.19</v>
      </c>
    </row>
    <row r="84" spans="1:7" x14ac:dyDescent="0.35">
      <c r="A84" t="s">
        <v>198</v>
      </c>
      <c r="B84">
        <v>2009</v>
      </c>
      <c r="C84">
        <v>29</v>
      </c>
      <c r="D84" s="3">
        <v>3278865.3</v>
      </c>
      <c r="E84" s="3">
        <v>113064.32000000001</v>
      </c>
    </row>
    <row r="85" spans="1:7" x14ac:dyDescent="0.35">
      <c r="A85" t="s">
        <v>198</v>
      </c>
      <c r="B85">
        <v>2010</v>
      </c>
      <c r="C85">
        <v>26</v>
      </c>
      <c r="D85" s="3">
        <v>2881530.44</v>
      </c>
      <c r="E85" s="3">
        <v>110828.09</v>
      </c>
    </row>
    <row r="86" spans="1:7" x14ac:dyDescent="0.35">
      <c r="A86" t="s">
        <v>198</v>
      </c>
      <c r="B86">
        <v>2011</v>
      </c>
      <c r="C86">
        <v>27</v>
      </c>
      <c r="D86" s="3">
        <v>3475415.17</v>
      </c>
      <c r="E86" s="3">
        <v>128719.08</v>
      </c>
    </row>
    <row r="87" spans="1:7" x14ac:dyDescent="0.35">
      <c r="A87" t="s">
        <v>198</v>
      </c>
      <c r="B87">
        <v>2012</v>
      </c>
      <c r="C87">
        <v>28</v>
      </c>
      <c r="D87" s="3">
        <v>4050726.99</v>
      </c>
      <c r="E87" s="3">
        <v>144668.82</v>
      </c>
    </row>
    <row r="88" spans="1:7" x14ac:dyDescent="0.35">
      <c r="A88" t="s">
        <v>198</v>
      </c>
      <c r="B88">
        <v>2013</v>
      </c>
      <c r="C88">
        <v>34</v>
      </c>
      <c r="D88" s="1">
        <v>4372406</v>
      </c>
      <c r="E88" s="1">
        <v>128600</v>
      </c>
      <c r="F88" s="1">
        <v>91325</v>
      </c>
      <c r="G88" s="1">
        <v>123280</v>
      </c>
    </row>
    <row r="89" spans="1:7" x14ac:dyDescent="0.35">
      <c r="A89" t="s">
        <v>198</v>
      </c>
      <c r="B89">
        <v>2014</v>
      </c>
      <c r="C89">
        <v>32</v>
      </c>
      <c r="D89" s="1">
        <v>4178583</v>
      </c>
      <c r="E89" s="1">
        <v>130581</v>
      </c>
      <c r="F89" s="1">
        <v>91149</v>
      </c>
      <c r="G89" s="1">
        <v>119533</v>
      </c>
    </row>
    <row r="90" spans="1:7" x14ac:dyDescent="0.35">
      <c r="A90" t="s">
        <v>198</v>
      </c>
      <c r="B90">
        <v>2015</v>
      </c>
      <c r="C90">
        <v>27</v>
      </c>
      <c r="D90" s="1">
        <v>4349764</v>
      </c>
      <c r="E90" s="1">
        <v>161102</v>
      </c>
      <c r="F90" s="1">
        <v>106480</v>
      </c>
      <c r="G90" s="1">
        <v>124240</v>
      </c>
    </row>
    <row r="91" spans="1:7" x14ac:dyDescent="0.35">
      <c r="A91" t="s">
        <v>198</v>
      </c>
      <c r="B91">
        <v>2016</v>
      </c>
      <c r="C91">
        <v>34</v>
      </c>
      <c r="D91" s="1">
        <v>6751749</v>
      </c>
      <c r="E91" s="1">
        <v>198581</v>
      </c>
      <c r="F91" s="1">
        <v>121315</v>
      </c>
      <c r="G91" s="1">
        <v>176229</v>
      </c>
    </row>
    <row r="92" spans="1:7" x14ac:dyDescent="0.35">
      <c r="A92" t="s">
        <v>198</v>
      </c>
      <c r="B92">
        <v>2017</v>
      </c>
      <c r="C92">
        <v>34</v>
      </c>
      <c r="D92" s="1">
        <v>6310257</v>
      </c>
      <c r="E92" s="1">
        <v>185596</v>
      </c>
      <c r="F92" s="1">
        <v>121619</v>
      </c>
      <c r="G92" s="1">
        <v>141783</v>
      </c>
    </row>
    <row r="93" spans="1:7" x14ac:dyDescent="0.35">
      <c r="A93" t="s">
        <v>198</v>
      </c>
      <c r="B93">
        <v>2018</v>
      </c>
      <c r="C93">
        <v>30</v>
      </c>
      <c r="D93" s="1">
        <v>10069534</v>
      </c>
      <c r="E93" s="1">
        <v>335651</v>
      </c>
      <c r="F93" s="1">
        <v>139750</v>
      </c>
      <c r="G93" s="1">
        <v>512749</v>
      </c>
    </row>
    <row r="94" spans="1:7" x14ac:dyDescent="0.35">
      <c r="A94" t="s">
        <v>198</v>
      </c>
      <c r="B94">
        <v>2019</v>
      </c>
      <c r="C94">
        <v>30</v>
      </c>
      <c r="D94" s="1">
        <v>11661027</v>
      </c>
      <c r="E94" s="1">
        <v>388701</v>
      </c>
      <c r="F94" s="1">
        <v>184625</v>
      </c>
      <c r="G94" s="1">
        <v>630615</v>
      </c>
    </row>
    <row r="95" spans="1:7" x14ac:dyDescent="0.35">
      <c r="A95" t="s">
        <v>198</v>
      </c>
      <c r="B95">
        <v>2020</v>
      </c>
      <c r="C95">
        <v>26</v>
      </c>
      <c r="D95" s="1">
        <v>8816842</v>
      </c>
      <c r="E95" s="1">
        <v>339109</v>
      </c>
      <c r="F95" s="1">
        <v>189627</v>
      </c>
      <c r="G95" s="1">
        <v>355598</v>
      </c>
    </row>
    <row r="96" spans="1:7" x14ac:dyDescent="0.35">
      <c r="A96" t="s">
        <v>198</v>
      </c>
      <c r="B96">
        <v>2021</v>
      </c>
      <c r="C96">
        <v>32</v>
      </c>
      <c r="D96" s="1">
        <v>11506162</v>
      </c>
      <c r="E96" s="1">
        <v>359568</v>
      </c>
      <c r="F96" s="1">
        <v>166500</v>
      </c>
      <c r="G96" s="1">
        <v>389136</v>
      </c>
    </row>
    <row r="97" spans="1:7" x14ac:dyDescent="0.35">
      <c r="A97" t="s">
        <v>198</v>
      </c>
      <c r="B97">
        <v>2022</v>
      </c>
      <c r="C97">
        <v>40</v>
      </c>
      <c r="D97" s="1">
        <v>19639453</v>
      </c>
      <c r="E97" s="1">
        <v>490986</v>
      </c>
      <c r="F97" s="1">
        <v>143559</v>
      </c>
      <c r="G97" s="1">
        <v>747709</v>
      </c>
    </row>
    <row r="98" spans="1:7" x14ac:dyDescent="0.35">
      <c r="A98" t="s">
        <v>198</v>
      </c>
      <c r="B98">
        <v>2023</v>
      </c>
      <c r="C98">
        <v>35</v>
      </c>
      <c r="D98" s="1">
        <v>21221507</v>
      </c>
      <c r="E98" s="1">
        <v>606329</v>
      </c>
      <c r="F98" s="1">
        <v>400000</v>
      </c>
      <c r="G98" s="1">
        <v>820316</v>
      </c>
    </row>
    <row r="99" spans="1:7" x14ac:dyDescent="0.35">
      <c r="A99" t="s">
        <v>11</v>
      </c>
      <c r="B99">
        <v>2007</v>
      </c>
      <c r="C99">
        <v>31</v>
      </c>
      <c r="D99" s="1">
        <v>3072765</v>
      </c>
      <c r="E99" s="3">
        <v>99121.44</v>
      </c>
    </row>
    <row r="100" spans="1:7" x14ac:dyDescent="0.35">
      <c r="A100" t="s">
        <v>11</v>
      </c>
      <c r="B100">
        <v>2008</v>
      </c>
      <c r="C100">
        <v>29</v>
      </c>
      <c r="D100" s="1">
        <v>2553060</v>
      </c>
      <c r="E100" s="3">
        <v>88036.56</v>
      </c>
    </row>
    <row r="101" spans="1:7" x14ac:dyDescent="0.35">
      <c r="A101" t="s">
        <v>11</v>
      </c>
      <c r="B101">
        <v>2009</v>
      </c>
      <c r="C101">
        <v>26</v>
      </c>
      <c r="D101" s="1">
        <v>2695827</v>
      </c>
      <c r="E101" s="3">
        <v>103685.67</v>
      </c>
    </row>
    <row r="102" spans="1:7" x14ac:dyDescent="0.35">
      <c r="A102" t="s">
        <v>11</v>
      </c>
      <c r="B102">
        <v>2010</v>
      </c>
      <c r="C102">
        <v>29</v>
      </c>
      <c r="D102" s="1">
        <v>2924318</v>
      </c>
      <c r="E102" s="3">
        <v>100838.56</v>
      </c>
    </row>
    <row r="103" spans="1:7" x14ac:dyDescent="0.35">
      <c r="A103" t="s">
        <v>11</v>
      </c>
      <c r="B103">
        <v>2011</v>
      </c>
      <c r="C103">
        <v>30</v>
      </c>
      <c r="D103" s="1">
        <v>3330729</v>
      </c>
      <c r="E103" s="3">
        <v>111024.3</v>
      </c>
    </row>
    <row r="104" spans="1:7" x14ac:dyDescent="0.35">
      <c r="A104" t="s">
        <v>11</v>
      </c>
      <c r="B104">
        <v>2012</v>
      </c>
      <c r="C104">
        <v>30</v>
      </c>
      <c r="D104" s="1">
        <v>5286674</v>
      </c>
      <c r="E104" s="3">
        <v>176222.47</v>
      </c>
    </row>
    <row r="105" spans="1:7" x14ac:dyDescent="0.35">
      <c r="A105" t="s">
        <v>11</v>
      </c>
      <c r="B105">
        <v>2013</v>
      </c>
      <c r="C105">
        <v>33</v>
      </c>
      <c r="D105" s="1">
        <v>4792735</v>
      </c>
      <c r="E105" s="1">
        <v>145234</v>
      </c>
      <c r="F105" s="1">
        <v>85875</v>
      </c>
      <c r="G105" s="1">
        <v>144635</v>
      </c>
    </row>
    <row r="106" spans="1:7" x14ac:dyDescent="0.35">
      <c r="A106" t="s">
        <v>11</v>
      </c>
      <c r="B106">
        <v>2014</v>
      </c>
      <c r="C106">
        <v>33</v>
      </c>
      <c r="D106" s="1">
        <v>4856662</v>
      </c>
      <c r="E106" s="1">
        <v>147172</v>
      </c>
      <c r="F106" s="1">
        <v>97875</v>
      </c>
      <c r="G106" s="1">
        <v>135875</v>
      </c>
    </row>
    <row r="107" spans="1:7" x14ac:dyDescent="0.35">
      <c r="A107" t="s">
        <v>11</v>
      </c>
      <c r="B107">
        <v>2015</v>
      </c>
      <c r="C107">
        <v>27</v>
      </c>
      <c r="D107" s="1">
        <v>4098292</v>
      </c>
      <c r="E107" s="1">
        <v>151789</v>
      </c>
      <c r="F107" s="1">
        <v>130000</v>
      </c>
      <c r="G107" s="1">
        <v>101037</v>
      </c>
    </row>
    <row r="108" spans="1:7" x14ac:dyDescent="0.35">
      <c r="A108" t="s">
        <v>11</v>
      </c>
      <c r="B108">
        <v>2016</v>
      </c>
      <c r="C108">
        <v>32</v>
      </c>
      <c r="D108" s="1">
        <v>4893901</v>
      </c>
      <c r="E108" s="1">
        <v>152934</v>
      </c>
      <c r="F108" s="1">
        <v>126567</v>
      </c>
      <c r="G108" s="1">
        <v>137238</v>
      </c>
    </row>
    <row r="109" spans="1:7" x14ac:dyDescent="0.35">
      <c r="A109" t="s">
        <v>11</v>
      </c>
      <c r="B109">
        <v>2017</v>
      </c>
      <c r="C109">
        <v>31</v>
      </c>
      <c r="D109" s="1">
        <v>7345390</v>
      </c>
      <c r="E109" s="1">
        <v>236948</v>
      </c>
      <c r="F109" s="1">
        <v>152500</v>
      </c>
      <c r="G109" s="1">
        <v>226012</v>
      </c>
    </row>
    <row r="110" spans="1:7" x14ac:dyDescent="0.35">
      <c r="A110" t="s">
        <v>11</v>
      </c>
      <c r="B110">
        <v>2018</v>
      </c>
      <c r="C110">
        <v>37</v>
      </c>
      <c r="D110" s="1">
        <v>10776947</v>
      </c>
      <c r="E110" s="1">
        <v>291269</v>
      </c>
      <c r="F110" s="1">
        <v>182500</v>
      </c>
      <c r="G110" s="1">
        <v>257136</v>
      </c>
    </row>
    <row r="111" spans="1:7" x14ac:dyDescent="0.35">
      <c r="A111" t="s">
        <v>11</v>
      </c>
      <c r="B111">
        <v>2019</v>
      </c>
      <c r="C111">
        <v>32</v>
      </c>
      <c r="D111" s="1">
        <v>9833069</v>
      </c>
      <c r="E111" s="1">
        <v>307283</v>
      </c>
      <c r="F111" s="1">
        <v>187950</v>
      </c>
      <c r="G111" s="1">
        <v>267132</v>
      </c>
    </row>
    <row r="112" spans="1:7" x14ac:dyDescent="0.35">
      <c r="A112" t="s">
        <v>11</v>
      </c>
      <c r="B112">
        <v>2020</v>
      </c>
      <c r="C112">
        <v>31</v>
      </c>
      <c r="D112" s="1">
        <v>12428416</v>
      </c>
      <c r="E112" s="1">
        <v>400917</v>
      </c>
      <c r="F112" s="1">
        <v>211900</v>
      </c>
      <c r="G112" s="1">
        <v>531713</v>
      </c>
    </row>
    <row r="113" spans="1:7" x14ac:dyDescent="0.35">
      <c r="A113" t="s">
        <v>11</v>
      </c>
      <c r="B113">
        <v>2021</v>
      </c>
      <c r="C113">
        <v>33</v>
      </c>
      <c r="D113" s="1">
        <v>12334317</v>
      </c>
      <c r="E113" s="1">
        <v>373767</v>
      </c>
      <c r="F113" s="1">
        <v>228000</v>
      </c>
      <c r="G113" s="1">
        <v>525190</v>
      </c>
    </row>
    <row r="114" spans="1:7" x14ac:dyDescent="0.35">
      <c r="A114" t="s">
        <v>11</v>
      </c>
      <c r="B114">
        <v>2022</v>
      </c>
      <c r="C114">
        <v>33</v>
      </c>
      <c r="D114" s="1">
        <v>16153483</v>
      </c>
      <c r="E114" s="1">
        <v>489499</v>
      </c>
      <c r="F114" s="1">
        <v>225000</v>
      </c>
      <c r="G114" s="1">
        <v>633653</v>
      </c>
    </row>
    <row r="115" spans="1:7" x14ac:dyDescent="0.35">
      <c r="A115" t="s">
        <v>11</v>
      </c>
      <c r="B115">
        <v>2023</v>
      </c>
      <c r="C115">
        <v>33</v>
      </c>
      <c r="D115" s="1">
        <v>15010296</v>
      </c>
      <c r="E115" s="1">
        <v>454857</v>
      </c>
      <c r="F115" s="1">
        <v>297000</v>
      </c>
      <c r="G115" s="1">
        <v>486834</v>
      </c>
    </row>
    <row r="116" spans="1:7" x14ac:dyDescent="0.35">
      <c r="A116" t="s">
        <v>64</v>
      </c>
      <c r="B116">
        <v>2007</v>
      </c>
      <c r="C116">
        <v>27</v>
      </c>
      <c r="D116" s="1">
        <v>2434147</v>
      </c>
      <c r="E116" s="3">
        <v>90153.600000000006</v>
      </c>
    </row>
    <row r="117" spans="1:7" x14ac:dyDescent="0.35">
      <c r="A117" t="s">
        <v>64</v>
      </c>
      <c r="B117">
        <v>2008</v>
      </c>
      <c r="C117">
        <v>28</v>
      </c>
      <c r="D117" s="3">
        <v>2457094.46</v>
      </c>
      <c r="E117" s="3">
        <v>87753.37</v>
      </c>
    </row>
    <row r="118" spans="1:7" x14ac:dyDescent="0.35">
      <c r="A118" t="s">
        <v>64</v>
      </c>
      <c r="B118">
        <v>2009</v>
      </c>
      <c r="C118">
        <v>26</v>
      </c>
      <c r="D118" s="3">
        <v>2614142.5499999998</v>
      </c>
      <c r="E118" s="3">
        <v>100543.94</v>
      </c>
    </row>
    <row r="119" spans="1:7" x14ac:dyDescent="0.35">
      <c r="A119" t="s">
        <v>64</v>
      </c>
      <c r="B119">
        <v>2010</v>
      </c>
      <c r="C119">
        <v>23</v>
      </c>
      <c r="D119" s="3">
        <v>2565875.04</v>
      </c>
      <c r="E119" s="3">
        <v>111559.78</v>
      </c>
    </row>
    <row r="120" spans="1:7" x14ac:dyDescent="0.35">
      <c r="A120" t="s">
        <v>64</v>
      </c>
      <c r="B120">
        <v>2011</v>
      </c>
      <c r="C120">
        <v>26</v>
      </c>
      <c r="D120" s="3">
        <v>3492155.24</v>
      </c>
      <c r="E120" s="3">
        <v>134313.66</v>
      </c>
    </row>
    <row r="121" spans="1:7" x14ac:dyDescent="0.35">
      <c r="A121" t="s">
        <v>64</v>
      </c>
      <c r="B121">
        <v>2012</v>
      </c>
      <c r="C121">
        <v>27</v>
      </c>
      <c r="D121" s="3">
        <v>3294091.91</v>
      </c>
      <c r="E121" s="3">
        <v>122003.4</v>
      </c>
    </row>
    <row r="122" spans="1:7" x14ac:dyDescent="0.35">
      <c r="A122" t="s">
        <v>64</v>
      </c>
      <c r="B122">
        <v>2013</v>
      </c>
      <c r="C122">
        <v>29</v>
      </c>
      <c r="D122" s="1">
        <v>3907140</v>
      </c>
      <c r="E122" s="1">
        <v>134729</v>
      </c>
      <c r="F122" s="1">
        <v>111000</v>
      </c>
      <c r="G122" s="1">
        <v>83699</v>
      </c>
    </row>
    <row r="123" spans="1:7" x14ac:dyDescent="0.35">
      <c r="A123" t="s">
        <v>64</v>
      </c>
      <c r="B123">
        <v>2014</v>
      </c>
      <c r="C123">
        <v>27</v>
      </c>
      <c r="D123" s="1">
        <v>4582382</v>
      </c>
      <c r="E123" s="1">
        <v>169718</v>
      </c>
      <c r="F123" s="1">
        <v>130625</v>
      </c>
      <c r="G123" s="1">
        <v>152444</v>
      </c>
    </row>
    <row r="124" spans="1:7" x14ac:dyDescent="0.35">
      <c r="A124" t="s">
        <v>64</v>
      </c>
      <c r="B124">
        <v>2015</v>
      </c>
      <c r="C124">
        <v>28</v>
      </c>
      <c r="D124" s="1">
        <v>5121708</v>
      </c>
      <c r="E124" s="1">
        <v>182918</v>
      </c>
      <c r="F124" s="1">
        <v>124083</v>
      </c>
      <c r="G124" s="1">
        <v>171323</v>
      </c>
    </row>
    <row r="125" spans="1:7" x14ac:dyDescent="0.35">
      <c r="A125" t="s">
        <v>64</v>
      </c>
      <c r="B125">
        <v>2016</v>
      </c>
      <c r="C125">
        <v>32</v>
      </c>
      <c r="D125" s="1">
        <v>6074419</v>
      </c>
      <c r="E125" s="1">
        <v>189826</v>
      </c>
      <c r="F125" s="1">
        <v>104000</v>
      </c>
      <c r="G125" s="1">
        <v>197089</v>
      </c>
    </row>
    <row r="126" spans="1:7" x14ac:dyDescent="0.35">
      <c r="A126" t="s">
        <v>64</v>
      </c>
      <c r="B126">
        <v>2017</v>
      </c>
      <c r="C126">
        <v>31</v>
      </c>
      <c r="D126" s="1">
        <v>5914646</v>
      </c>
      <c r="E126" s="1">
        <v>190795</v>
      </c>
      <c r="F126" s="1">
        <v>170000</v>
      </c>
      <c r="G126" s="1">
        <v>151636</v>
      </c>
    </row>
    <row r="127" spans="1:7" x14ac:dyDescent="0.35">
      <c r="A127" t="s">
        <v>64</v>
      </c>
      <c r="B127">
        <v>2018</v>
      </c>
      <c r="C127">
        <v>32</v>
      </c>
      <c r="D127" s="1">
        <v>6020472</v>
      </c>
      <c r="E127" s="1">
        <v>188140</v>
      </c>
      <c r="F127" s="1">
        <v>161250</v>
      </c>
      <c r="G127" s="1">
        <v>139074</v>
      </c>
    </row>
    <row r="128" spans="1:7" x14ac:dyDescent="0.35">
      <c r="A128" t="s">
        <v>64</v>
      </c>
      <c r="B128">
        <v>2019</v>
      </c>
      <c r="C128">
        <v>30</v>
      </c>
      <c r="D128" s="1">
        <v>8904849</v>
      </c>
      <c r="E128" s="1">
        <v>296828</v>
      </c>
      <c r="F128" s="1">
        <v>177917</v>
      </c>
      <c r="G128" s="1">
        <v>305153</v>
      </c>
    </row>
    <row r="129" spans="1:7" x14ac:dyDescent="0.35">
      <c r="A129" t="s">
        <v>64</v>
      </c>
      <c r="B129">
        <v>2020</v>
      </c>
      <c r="C129">
        <v>29</v>
      </c>
      <c r="D129" s="1">
        <v>10116689</v>
      </c>
      <c r="E129" s="1">
        <v>348851</v>
      </c>
      <c r="F129" s="1">
        <v>210843</v>
      </c>
      <c r="G129" s="1">
        <v>377848</v>
      </c>
    </row>
    <row r="130" spans="1:7" x14ac:dyDescent="0.35">
      <c r="A130" t="s">
        <v>64</v>
      </c>
      <c r="B130">
        <v>2021</v>
      </c>
      <c r="C130">
        <v>34</v>
      </c>
      <c r="D130" s="1">
        <v>11993701</v>
      </c>
      <c r="E130" s="1">
        <v>352756</v>
      </c>
      <c r="F130" s="1">
        <v>237890</v>
      </c>
      <c r="G130" s="1">
        <v>370055</v>
      </c>
    </row>
    <row r="131" spans="1:7" x14ac:dyDescent="0.35">
      <c r="A131" t="s">
        <v>64</v>
      </c>
      <c r="B131">
        <v>2022</v>
      </c>
      <c r="C131">
        <v>33</v>
      </c>
      <c r="D131" s="1">
        <v>17032866</v>
      </c>
      <c r="E131" s="1">
        <v>516147</v>
      </c>
      <c r="F131" s="1">
        <v>259015</v>
      </c>
      <c r="G131" s="1">
        <v>938530</v>
      </c>
    </row>
    <row r="132" spans="1:7" x14ac:dyDescent="0.35">
      <c r="A132" t="s">
        <v>64</v>
      </c>
      <c r="B132">
        <v>2023</v>
      </c>
      <c r="C132">
        <v>35</v>
      </c>
      <c r="D132" s="1">
        <v>17879676</v>
      </c>
      <c r="E132" s="1">
        <v>510848</v>
      </c>
      <c r="F132" s="1">
        <v>280000</v>
      </c>
      <c r="G132" s="1">
        <v>916350</v>
      </c>
    </row>
    <row r="133" spans="1:7" x14ac:dyDescent="0.35">
      <c r="A133" t="s">
        <v>79</v>
      </c>
      <c r="B133">
        <v>2017</v>
      </c>
      <c r="C133">
        <v>3</v>
      </c>
      <c r="D133" s="1">
        <v>218008</v>
      </c>
      <c r="E133" s="1">
        <v>72669</v>
      </c>
      <c r="F133" s="1">
        <v>65004</v>
      </c>
      <c r="G133" s="1">
        <v>24418</v>
      </c>
    </row>
    <row r="134" spans="1:7" x14ac:dyDescent="0.35">
      <c r="A134" t="s">
        <v>79</v>
      </c>
      <c r="B134">
        <v>2018</v>
      </c>
      <c r="C134">
        <v>32</v>
      </c>
      <c r="D134" s="1">
        <v>15395803</v>
      </c>
      <c r="E134" s="1">
        <v>481119</v>
      </c>
      <c r="F134" s="1">
        <v>148750</v>
      </c>
      <c r="G134" s="1">
        <v>1106713</v>
      </c>
    </row>
    <row r="135" spans="1:7" x14ac:dyDescent="0.35">
      <c r="A135" t="s">
        <v>79</v>
      </c>
      <c r="B135">
        <v>2019</v>
      </c>
      <c r="C135">
        <v>31</v>
      </c>
      <c r="D135" s="1">
        <v>15851618</v>
      </c>
      <c r="E135" s="1">
        <v>511343</v>
      </c>
      <c r="F135" s="1">
        <v>177811</v>
      </c>
      <c r="G135" s="1">
        <v>1127672</v>
      </c>
    </row>
    <row r="136" spans="1:7" x14ac:dyDescent="0.35">
      <c r="A136" t="s">
        <v>79</v>
      </c>
      <c r="B136">
        <v>2020</v>
      </c>
      <c r="C136">
        <v>29</v>
      </c>
      <c r="D136" s="1">
        <v>13885165</v>
      </c>
      <c r="E136" s="1">
        <v>478799</v>
      </c>
      <c r="F136" s="1">
        <v>185000</v>
      </c>
      <c r="G136" s="1">
        <v>1149494</v>
      </c>
    </row>
    <row r="137" spans="1:7" x14ac:dyDescent="0.35">
      <c r="A137" t="s">
        <v>79</v>
      </c>
      <c r="B137">
        <v>2021</v>
      </c>
      <c r="C137">
        <v>36</v>
      </c>
      <c r="D137" s="1">
        <v>17274343</v>
      </c>
      <c r="E137" s="1">
        <v>479843</v>
      </c>
      <c r="F137" s="1">
        <v>183563</v>
      </c>
      <c r="G137" s="1">
        <v>1045100</v>
      </c>
    </row>
    <row r="138" spans="1:7" x14ac:dyDescent="0.35">
      <c r="A138" t="s">
        <v>79</v>
      </c>
      <c r="B138">
        <v>2022</v>
      </c>
      <c r="C138">
        <v>35</v>
      </c>
      <c r="D138" s="1">
        <v>21291536</v>
      </c>
      <c r="E138" s="1">
        <v>608330</v>
      </c>
      <c r="F138" s="1">
        <v>403000</v>
      </c>
      <c r="G138" s="1">
        <v>691386</v>
      </c>
    </row>
    <row r="139" spans="1:7" x14ac:dyDescent="0.35">
      <c r="A139" t="s">
        <v>79</v>
      </c>
      <c r="B139">
        <v>2023</v>
      </c>
      <c r="C139">
        <v>35</v>
      </c>
      <c r="D139" s="1">
        <v>21610901</v>
      </c>
      <c r="E139" s="1">
        <v>617454</v>
      </c>
      <c r="F139" s="1">
        <v>450000</v>
      </c>
      <c r="G139" s="1">
        <v>821500</v>
      </c>
    </row>
    <row r="140" spans="1:7" x14ac:dyDescent="0.35">
      <c r="A140" t="s">
        <v>14</v>
      </c>
      <c r="B140">
        <v>2007</v>
      </c>
      <c r="C140">
        <v>26</v>
      </c>
      <c r="D140" s="1">
        <v>9322054</v>
      </c>
      <c r="E140" s="3">
        <v>358540.55</v>
      </c>
    </row>
    <row r="141" spans="1:7" x14ac:dyDescent="0.35">
      <c r="A141" t="s">
        <v>14</v>
      </c>
      <c r="B141">
        <v>2008</v>
      </c>
      <c r="C141">
        <v>31</v>
      </c>
      <c r="D141" s="1">
        <v>9177666</v>
      </c>
      <c r="E141" s="3">
        <v>296053.73</v>
      </c>
    </row>
    <row r="142" spans="1:7" x14ac:dyDescent="0.35">
      <c r="A142" t="s">
        <v>14</v>
      </c>
      <c r="B142">
        <v>2009</v>
      </c>
      <c r="C142">
        <v>27</v>
      </c>
      <c r="D142" s="1">
        <v>9766007</v>
      </c>
      <c r="E142" s="3">
        <v>361703.95</v>
      </c>
    </row>
    <row r="143" spans="1:7" x14ac:dyDescent="0.35">
      <c r="A143" t="s">
        <v>14</v>
      </c>
      <c r="B143">
        <v>2010</v>
      </c>
      <c r="C143">
        <v>25</v>
      </c>
      <c r="D143" s="1">
        <v>10978594</v>
      </c>
      <c r="E143" s="3">
        <v>439143.74</v>
      </c>
    </row>
    <row r="144" spans="1:7" x14ac:dyDescent="0.35">
      <c r="A144" t="s">
        <v>14</v>
      </c>
      <c r="B144">
        <v>2011</v>
      </c>
      <c r="C144">
        <v>30</v>
      </c>
      <c r="D144" s="1">
        <v>14661979</v>
      </c>
      <c r="E144" s="3">
        <v>488732.63</v>
      </c>
    </row>
    <row r="145" spans="1:7" x14ac:dyDescent="0.35">
      <c r="A145" t="s">
        <v>14</v>
      </c>
      <c r="B145">
        <v>2012</v>
      </c>
      <c r="C145">
        <v>31</v>
      </c>
      <c r="D145" s="1">
        <v>12718531</v>
      </c>
      <c r="E145" s="3">
        <v>410275.21</v>
      </c>
    </row>
    <row r="146" spans="1:7" x14ac:dyDescent="0.35">
      <c r="A146" t="s">
        <v>14</v>
      </c>
      <c r="B146">
        <v>2013</v>
      </c>
      <c r="C146">
        <v>32</v>
      </c>
      <c r="D146" s="1">
        <v>10103326</v>
      </c>
      <c r="E146" s="1">
        <v>315729</v>
      </c>
      <c r="F146" s="1">
        <v>92500</v>
      </c>
      <c r="G146" s="1">
        <v>849303</v>
      </c>
    </row>
    <row r="147" spans="1:7" x14ac:dyDescent="0.35">
      <c r="A147" t="s">
        <v>14</v>
      </c>
      <c r="B147">
        <v>2014</v>
      </c>
      <c r="C147">
        <v>32</v>
      </c>
      <c r="D147" s="1">
        <v>13258411</v>
      </c>
      <c r="E147" s="1">
        <v>414325</v>
      </c>
      <c r="F147" s="1">
        <v>72299</v>
      </c>
      <c r="G147" s="1">
        <v>1103779</v>
      </c>
    </row>
    <row r="148" spans="1:7" x14ac:dyDescent="0.35">
      <c r="A148" t="s">
        <v>14</v>
      </c>
      <c r="B148">
        <v>2015</v>
      </c>
      <c r="C148">
        <v>31</v>
      </c>
      <c r="D148" s="1">
        <v>21445700</v>
      </c>
      <c r="E148" s="1">
        <v>691797</v>
      </c>
      <c r="F148" s="1">
        <v>125000</v>
      </c>
      <c r="G148" s="1">
        <v>1645989</v>
      </c>
    </row>
    <row r="149" spans="1:7" x14ac:dyDescent="0.35">
      <c r="A149" t="s">
        <v>14</v>
      </c>
      <c r="B149">
        <v>2016</v>
      </c>
      <c r="C149">
        <v>29</v>
      </c>
      <c r="D149" s="1">
        <v>18624236</v>
      </c>
      <c r="E149" s="1">
        <v>642215</v>
      </c>
      <c r="F149" s="1">
        <v>165000</v>
      </c>
      <c r="G149" s="1">
        <v>1431229</v>
      </c>
    </row>
    <row r="150" spans="1:7" x14ac:dyDescent="0.35">
      <c r="A150" t="s">
        <v>14</v>
      </c>
      <c r="B150">
        <v>2017</v>
      </c>
      <c r="C150">
        <v>30</v>
      </c>
      <c r="D150" s="1">
        <v>15021392</v>
      </c>
      <c r="E150" s="1">
        <v>500713</v>
      </c>
      <c r="F150" s="1">
        <v>117500</v>
      </c>
      <c r="G150" s="1">
        <v>1066189</v>
      </c>
    </row>
    <row r="151" spans="1:7" x14ac:dyDescent="0.35">
      <c r="A151" t="s">
        <v>14</v>
      </c>
      <c r="B151">
        <v>2018</v>
      </c>
      <c r="C151">
        <v>28</v>
      </c>
      <c r="D151" s="1">
        <v>17574508</v>
      </c>
      <c r="E151" s="1">
        <v>627661</v>
      </c>
      <c r="F151" s="1">
        <v>175000</v>
      </c>
      <c r="G151" s="1">
        <v>1188386</v>
      </c>
    </row>
    <row r="152" spans="1:7" x14ac:dyDescent="0.35">
      <c r="A152" t="s">
        <v>14</v>
      </c>
      <c r="B152">
        <v>2019</v>
      </c>
      <c r="C152">
        <v>31</v>
      </c>
      <c r="D152" s="1">
        <v>19821980</v>
      </c>
      <c r="E152" s="1">
        <v>639419</v>
      </c>
      <c r="F152" s="1">
        <v>190000</v>
      </c>
      <c r="G152" s="1">
        <v>1320091</v>
      </c>
    </row>
    <row r="153" spans="1:7" x14ac:dyDescent="0.35">
      <c r="A153" t="s">
        <v>14</v>
      </c>
      <c r="B153">
        <v>2020</v>
      </c>
      <c r="C153">
        <v>32</v>
      </c>
      <c r="D153" s="1">
        <v>18094501</v>
      </c>
      <c r="E153" s="1">
        <v>565453</v>
      </c>
      <c r="F153" s="1">
        <v>101500</v>
      </c>
      <c r="G153" s="1">
        <v>1105746</v>
      </c>
    </row>
    <row r="154" spans="1:7" x14ac:dyDescent="0.35">
      <c r="A154" t="s">
        <v>14</v>
      </c>
      <c r="B154">
        <v>2021</v>
      </c>
      <c r="C154">
        <v>34</v>
      </c>
      <c r="D154" s="1">
        <v>20322677</v>
      </c>
      <c r="E154" s="1">
        <v>597726</v>
      </c>
      <c r="F154" s="1">
        <v>292175</v>
      </c>
      <c r="G154" s="1">
        <v>1052033</v>
      </c>
    </row>
    <row r="155" spans="1:7" x14ac:dyDescent="0.35">
      <c r="A155" t="s">
        <v>14</v>
      </c>
      <c r="B155">
        <v>2022</v>
      </c>
      <c r="C155">
        <v>33</v>
      </c>
      <c r="D155" s="1">
        <v>26866672</v>
      </c>
      <c r="E155" s="1">
        <v>814142</v>
      </c>
      <c r="F155" s="1">
        <v>400000</v>
      </c>
      <c r="G155" s="1">
        <v>1449888</v>
      </c>
    </row>
    <row r="156" spans="1:7" x14ac:dyDescent="0.35">
      <c r="A156" t="s">
        <v>14</v>
      </c>
      <c r="B156">
        <v>2023</v>
      </c>
      <c r="C156">
        <v>35</v>
      </c>
      <c r="D156" s="1">
        <v>26532359</v>
      </c>
      <c r="E156" s="1">
        <v>758067</v>
      </c>
      <c r="F156" s="1">
        <v>347500</v>
      </c>
      <c r="G156" s="1">
        <v>1405435</v>
      </c>
    </row>
    <row r="157" spans="1:7" x14ac:dyDescent="0.35">
      <c r="A157" t="s">
        <v>94</v>
      </c>
      <c r="B157">
        <v>2019</v>
      </c>
      <c r="C157">
        <v>2</v>
      </c>
      <c r="D157" s="1">
        <v>241083</v>
      </c>
      <c r="E157" s="1">
        <v>120542</v>
      </c>
      <c r="F157" s="1">
        <v>120542</v>
      </c>
      <c r="G157" s="1">
        <v>71123</v>
      </c>
    </row>
    <row r="158" spans="1:7" x14ac:dyDescent="0.35">
      <c r="A158" t="s">
        <v>94</v>
      </c>
      <c r="B158">
        <v>2020</v>
      </c>
      <c r="C158">
        <v>30</v>
      </c>
      <c r="D158" s="1">
        <v>13894198</v>
      </c>
      <c r="E158" s="1">
        <v>463140</v>
      </c>
      <c r="F158" s="1">
        <v>230000</v>
      </c>
      <c r="G158" s="1">
        <v>703774</v>
      </c>
    </row>
    <row r="159" spans="1:7" x14ac:dyDescent="0.35">
      <c r="A159" t="s">
        <v>94</v>
      </c>
      <c r="B159">
        <v>2021</v>
      </c>
      <c r="C159">
        <v>33</v>
      </c>
      <c r="D159" s="1">
        <v>18467664</v>
      </c>
      <c r="E159" s="1">
        <v>559626</v>
      </c>
      <c r="F159" s="1">
        <v>170000</v>
      </c>
      <c r="G159" s="1">
        <v>1130139</v>
      </c>
    </row>
    <row r="160" spans="1:7" x14ac:dyDescent="0.35">
      <c r="A160" t="s">
        <v>94</v>
      </c>
      <c r="B160">
        <v>2022</v>
      </c>
      <c r="C160">
        <v>36</v>
      </c>
      <c r="D160" s="1">
        <v>24565528</v>
      </c>
      <c r="E160" s="1">
        <v>682376</v>
      </c>
      <c r="F160" s="1">
        <v>215196</v>
      </c>
      <c r="G160" s="1">
        <v>1280780</v>
      </c>
    </row>
    <row r="161" spans="1:7" x14ac:dyDescent="0.35">
      <c r="A161" t="s">
        <v>94</v>
      </c>
      <c r="B161">
        <v>2023</v>
      </c>
      <c r="C161">
        <v>40</v>
      </c>
      <c r="D161" s="1">
        <v>43356256</v>
      </c>
      <c r="E161" s="1">
        <v>1083906</v>
      </c>
      <c r="F161" s="1">
        <v>336709</v>
      </c>
      <c r="G161" s="1">
        <v>3256228</v>
      </c>
    </row>
    <row r="162" spans="1:7" x14ac:dyDescent="0.35">
      <c r="A162" t="s">
        <v>74</v>
      </c>
      <c r="B162">
        <v>2017</v>
      </c>
      <c r="C162">
        <v>33</v>
      </c>
      <c r="D162" s="1">
        <v>6342287</v>
      </c>
      <c r="E162" s="1">
        <v>192191</v>
      </c>
      <c r="F162" s="1">
        <v>176000</v>
      </c>
      <c r="G162" s="1">
        <v>125337</v>
      </c>
    </row>
    <row r="163" spans="1:7" x14ac:dyDescent="0.35">
      <c r="A163" t="s">
        <v>74</v>
      </c>
      <c r="B163">
        <v>2018</v>
      </c>
      <c r="C163">
        <v>33</v>
      </c>
      <c r="D163" s="1">
        <v>9377628</v>
      </c>
      <c r="E163" s="1">
        <v>284171</v>
      </c>
      <c r="F163" s="1">
        <v>208761</v>
      </c>
      <c r="G163" s="1">
        <v>297963</v>
      </c>
    </row>
    <row r="164" spans="1:7" x14ac:dyDescent="0.35">
      <c r="A164" t="s">
        <v>74</v>
      </c>
      <c r="B164">
        <v>2019</v>
      </c>
      <c r="C164">
        <v>29</v>
      </c>
      <c r="D164" s="1">
        <v>10756911</v>
      </c>
      <c r="E164" s="1">
        <v>370928</v>
      </c>
      <c r="F164" s="1">
        <v>300004</v>
      </c>
      <c r="G164" s="1">
        <v>367608</v>
      </c>
    </row>
    <row r="165" spans="1:7" x14ac:dyDescent="0.35">
      <c r="A165" t="s">
        <v>74</v>
      </c>
      <c r="B165">
        <v>2020</v>
      </c>
      <c r="C165">
        <v>31</v>
      </c>
      <c r="D165" s="1">
        <v>10423433</v>
      </c>
      <c r="E165" s="1">
        <v>336240</v>
      </c>
      <c r="F165" s="1">
        <v>233531</v>
      </c>
      <c r="G165" s="1">
        <v>291917</v>
      </c>
    </row>
    <row r="166" spans="1:7" x14ac:dyDescent="0.35">
      <c r="A166" t="s">
        <v>74</v>
      </c>
      <c r="B166">
        <v>2021</v>
      </c>
      <c r="C166">
        <v>35</v>
      </c>
      <c r="D166" s="1">
        <v>13672195</v>
      </c>
      <c r="E166" s="1">
        <v>390634</v>
      </c>
      <c r="F166" s="1">
        <v>158125</v>
      </c>
      <c r="G166" s="1">
        <v>497107</v>
      </c>
    </row>
    <row r="167" spans="1:7" x14ac:dyDescent="0.35">
      <c r="A167" t="s">
        <v>74</v>
      </c>
      <c r="B167">
        <v>2022</v>
      </c>
      <c r="C167">
        <v>35</v>
      </c>
      <c r="D167" s="1">
        <v>14244858</v>
      </c>
      <c r="E167" s="1">
        <v>406996</v>
      </c>
      <c r="F167" s="1">
        <v>245000</v>
      </c>
      <c r="G167" s="1">
        <v>492541</v>
      </c>
    </row>
    <row r="168" spans="1:7" x14ac:dyDescent="0.35">
      <c r="A168" t="s">
        <v>74</v>
      </c>
      <c r="B168">
        <v>2023</v>
      </c>
      <c r="C168">
        <v>34</v>
      </c>
      <c r="D168" s="1">
        <v>16405202</v>
      </c>
      <c r="E168" s="1">
        <v>482506</v>
      </c>
      <c r="F168" s="1">
        <v>235142</v>
      </c>
      <c r="G168" s="1">
        <v>682344</v>
      </c>
    </row>
    <row r="169" spans="1:7" x14ac:dyDescent="0.35">
      <c r="A169" t="s">
        <v>45</v>
      </c>
      <c r="B169">
        <v>2012</v>
      </c>
      <c r="C169">
        <v>28</v>
      </c>
      <c r="D169" s="3">
        <v>4751369.58</v>
      </c>
      <c r="E169" s="1">
        <v>169692</v>
      </c>
    </row>
    <row r="170" spans="1:7" x14ac:dyDescent="0.35">
      <c r="A170" t="s">
        <v>45</v>
      </c>
      <c r="B170">
        <v>2013</v>
      </c>
      <c r="C170">
        <v>32</v>
      </c>
      <c r="D170" s="1">
        <v>5828958</v>
      </c>
      <c r="E170" s="1">
        <v>182155</v>
      </c>
      <c r="F170" s="1">
        <v>118313</v>
      </c>
      <c r="G170" s="1">
        <v>331276</v>
      </c>
    </row>
    <row r="171" spans="1:7" x14ac:dyDescent="0.35">
      <c r="A171" t="s">
        <v>45</v>
      </c>
      <c r="B171">
        <v>2014</v>
      </c>
      <c r="C171">
        <v>37</v>
      </c>
      <c r="D171" s="1">
        <v>7325651</v>
      </c>
      <c r="E171" s="1">
        <v>197991</v>
      </c>
      <c r="F171" s="1">
        <v>100000</v>
      </c>
      <c r="G171" s="1">
        <v>417264</v>
      </c>
    </row>
    <row r="172" spans="1:7" x14ac:dyDescent="0.35">
      <c r="A172" t="s">
        <v>45</v>
      </c>
      <c r="B172">
        <v>2015</v>
      </c>
      <c r="C172">
        <v>30</v>
      </c>
      <c r="D172" s="1">
        <v>6635954</v>
      </c>
      <c r="E172" s="1">
        <v>221198</v>
      </c>
      <c r="F172" s="1">
        <v>116000</v>
      </c>
      <c r="G172" s="1">
        <v>382059</v>
      </c>
    </row>
    <row r="173" spans="1:7" x14ac:dyDescent="0.35">
      <c r="A173" t="s">
        <v>45</v>
      </c>
      <c r="B173">
        <v>2016</v>
      </c>
      <c r="C173">
        <v>32</v>
      </c>
      <c r="D173" s="1">
        <v>7274009</v>
      </c>
      <c r="E173" s="1">
        <v>227313</v>
      </c>
      <c r="F173" s="1">
        <v>116875</v>
      </c>
      <c r="G173" s="1">
        <v>384637</v>
      </c>
    </row>
    <row r="174" spans="1:7" x14ac:dyDescent="0.35">
      <c r="A174" t="s">
        <v>45</v>
      </c>
      <c r="B174">
        <v>2017</v>
      </c>
      <c r="C174">
        <v>31</v>
      </c>
      <c r="D174" s="1">
        <v>6746843</v>
      </c>
      <c r="E174" s="1">
        <v>217640</v>
      </c>
      <c r="F174" s="1">
        <v>128500</v>
      </c>
      <c r="G174" s="1">
        <v>198170</v>
      </c>
    </row>
    <row r="175" spans="1:7" x14ac:dyDescent="0.35">
      <c r="A175" t="s">
        <v>45</v>
      </c>
      <c r="B175">
        <v>2018</v>
      </c>
      <c r="C175">
        <v>35</v>
      </c>
      <c r="D175" s="1">
        <v>13408773</v>
      </c>
      <c r="E175" s="1">
        <v>383108</v>
      </c>
      <c r="F175" s="1">
        <v>150000</v>
      </c>
      <c r="G175" s="1">
        <v>803129</v>
      </c>
    </row>
    <row r="176" spans="1:7" x14ac:dyDescent="0.35">
      <c r="A176" t="s">
        <v>45</v>
      </c>
      <c r="B176">
        <v>2019</v>
      </c>
      <c r="C176">
        <v>34</v>
      </c>
      <c r="D176" s="1">
        <v>14348597</v>
      </c>
      <c r="E176" s="1">
        <v>422018</v>
      </c>
      <c r="F176" s="1">
        <v>144892</v>
      </c>
      <c r="G176" s="1">
        <v>804362</v>
      </c>
    </row>
    <row r="177" spans="1:7" x14ac:dyDescent="0.35">
      <c r="A177" t="s">
        <v>45</v>
      </c>
      <c r="B177">
        <v>2020</v>
      </c>
      <c r="C177">
        <v>30</v>
      </c>
      <c r="D177" s="1">
        <v>11687454</v>
      </c>
      <c r="E177" s="1">
        <v>389582</v>
      </c>
      <c r="F177" s="1">
        <v>157650</v>
      </c>
      <c r="G177" s="1">
        <v>660933</v>
      </c>
    </row>
    <row r="178" spans="1:7" x14ac:dyDescent="0.35">
      <c r="A178" t="s">
        <v>45</v>
      </c>
      <c r="B178">
        <v>2021</v>
      </c>
      <c r="C178">
        <v>38</v>
      </c>
      <c r="D178" s="1">
        <v>13500594</v>
      </c>
      <c r="E178" s="1">
        <v>355279</v>
      </c>
      <c r="F178" s="1">
        <v>170150</v>
      </c>
      <c r="G178" s="1">
        <v>542057</v>
      </c>
    </row>
    <row r="179" spans="1:7" x14ac:dyDescent="0.35">
      <c r="A179" t="s">
        <v>45</v>
      </c>
      <c r="B179">
        <v>2022</v>
      </c>
      <c r="C179">
        <v>34</v>
      </c>
      <c r="D179" s="1">
        <v>12920267</v>
      </c>
      <c r="E179" s="1">
        <v>380008</v>
      </c>
      <c r="F179" s="1">
        <v>149167</v>
      </c>
      <c r="G179" s="1">
        <v>553659</v>
      </c>
    </row>
    <row r="180" spans="1:7" x14ac:dyDescent="0.35">
      <c r="A180" t="s">
        <v>45</v>
      </c>
      <c r="B180">
        <v>2023</v>
      </c>
      <c r="C180">
        <v>32</v>
      </c>
      <c r="D180" s="1">
        <v>11474537</v>
      </c>
      <c r="E180" s="1">
        <v>358579</v>
      </c>
      <c r="F180" s="1">
        <v>249078</v>
      </c>
      <c r="G180" s="1">
        <v>360686</v>
      </c>
    </row>
    <row r="181" spans="1:7" x14ac:dyDescent="0.35">
      <c r="A181" t="s">
        <v>197</v>
      </c>
      <c r="B181">
        <v>2007</v>
      </c>
      <c r="C181">
        <v>27</v>
      </c>
      <c r="D181" s="3">
        <v>1945848</v>
      </c>
      <c r="E181" s="3">
        <v>72068.44</v>
      </c>
    </row>
    <row r="182" spans="1:7" x14ac:dyDescent="0.35">
      <c r="A182" t="s">
        <v>197</v>
      </c>
      <c r="B182">
        <v>2008</v>
      </c>
      <c r="C182">
        <v>27</v>
      </c>
      <c r="D182" s="1">
        <v>2215296</v>
      </c>
      <c r="E182" s="3">
        <v>82047.98</v>
      </c>
    </row>
    <row r="183" spans="1:7" x14ac:dyDescent="0.35">
      <c r="A183" t="s">
        <v>197</v>
      </c>
      <c r="B183">
        <v>2009</v>
      </c>
      <c r="C183">
        <v>25</v>
      </c>
      <c r="D183" s="1">
        <v>2778004</v>
      </c>
      <c r="E183" s="3">
        <v>111120.15</v>
      </c>
    </row>
    <row r="184" spans="1:7" x14ac:dyDescent="0.35">
      <c r="A184" t="s">
        <v>197</v>
      </c>
      <c r="B184">
        <v>2010</v>
      </c>
      <c r="C184">
        <v>25</v>
      </c>
      <c r="D184" s="1">
        <v>2983033</v>
      </c>
      <c r="E184" s="3">
        <v>119321.32</v>
      </c>
    </row>
    <row r="185" spans="1:7" x14ac:dyDescent="0.35">
      <c r="A185" t="s">
        <v>197</v>
      </c>
      <c r="B185">
        <v>2011</v>
      </c>
      <c r="C185">
        <v>27</v>
      </c>
      <c r="D185" s="1">
        <v>2947386</v>
      </c>
      <c r="E185" s="3">
        <v>109162.46</v>
      </c>
    </row>
    <row r="186" spans="1:7" x14ac:dyDescent="0.35">
      <c r="A186" t="s">
        <v>197</v>
      </c>
      <c r="B186">
        <v>2012</v>
      </c>
      <c r="C186">
        <v>26</v>
      </c>
      <c r="D186" s="1">
        <v>2639981</v>
      </c>
      <c r="E186" s="3">
        <v>101537.75</v>
      </c>
    </row>
    <row r="187" spans="1:7" x14ac:dyDescent="0.35">
      <c r="A187" t="s">
        <v>197</v>
      </c>
      <c r="B187">
        <v>2013</v>
      </c>
      <c r="C187">
        <v>32</v>
      </c>
      <c r="D187" s="1">
        <v>3760218</v>
      </c>
      <c r="E187" s="1">
        <v>117507</v>
      </c>
      <c r="F187" s="1">
        <v>97413</v>
      </c>
      <c r="G187" s="1">
        <v>85180</v>
      </c>
    </row>
    <row r="188" spans="1:7" x14ac:dyDescent="0.35">
      <c r="A188" t="s">
        <v>197</v>
      </c>
      <c r="B188">
        <v>2014</v>
      </c>
      <c r="C188">
        <v>33</v>
      </c>
      <c r="D188" s="1">
        <v>7473824</v>
      </c>
      <c r="E188" s="1">
        <v>226480</v>
      </c>
      <c r="F188" s="1">
        <v>122375</v>
      </c>
      <c r="G188" s="1">
        <v>551365</v>
      </c>
    </row>
    <row r="189" spans="1:7" x14ac:dyDescent="0.35">
      <c r="A189" t="s">
        <v>197</v>
      </c>
      <c r="B189">
        <v>2015</v>
      </c>
      <c r="C189">
        <v>27</v>
      </c>
      <c r="D189" s="1">
        <v>6566090</v>
      </c>
      <c r="E189" s="1">
        <v>243189</v>
      </c>
      <c r="F189" s="1">
        <v>101667</v>
      </c>
      <c r="G189" s="1">
        <v>571710</v>
      </c>
    </row>
    <row r="190" spans="1:7" x14ac:dyDescent="0.35">
      <c r="A190" t="s">
        <v>197</v>
      </c>
      <c r="B190">
        <v>2016</v>
      </c>
      <c r="C190">
        <v>28</v>
      </c>
      <c r="D190" s="1">
        <v>6043179</v>
      </c>
      <c r="E190" s="1">
        <v>215828</v>
      </c>
      <c r="F190" s="1">
        <v>116169</v>
      </c>
      <c r="G190" s="1">
        <v>243326</v>
      </c>
    </row>
    <row r="191" spans="1:7" x14ac:dyDescent="0.35">
      <c r="A191" t="s">
        <v>197</v>
      </c>
      <c r="B191">
        <v>2017</v>
      </c>
      <c r="C191">
        <v>26</v>
      </c>
      <c r="D191" s="1">
        <v>7496217</v>
      </c>
      <c r="E191" s="1">
        <v>288316</v>
      </c>
      <c r="F191" s="1">
        <v>152000</v>
      </c>
      <c r="G191" s="1">
        <v>280627</v>
      </c>
    </row>
    <row r="192" spans="1:7" x14ac:dyDescent="0.35">
      <c r="A192" t="s">
        <v>197</v>
      </c>
      <c r="B192">
        <v>2018</v>
      </c>
      <c r="C192">
        <v>28</v>
      </c>
      <c r="D192" s="1">
        <v>8479336</v>
      </c>
      <c r="E192" s="1">
        <v>302833</v>
      </c>
      <c r="F192" s="1">
        <v>158173</v>
      </c>
      <c r="G192" s="1">
        <v>329774</v>
      </c>
    </row>
    <row r="193" spans="1:7" x14ac:dyDescent="0.35">
      <c r="A193" t="s">
        <v>197</v>
      </c>
      <c r="B193">
        <v>2019</v>
      </c>
      <c r="C193">
        <v>27</v>
      </c>
      <c r="D193" s="1">
        <v>11083217</v>
      </c>
      <c r="E193" s="1">
        <v>410490</v>
      </c>
      <c r="F193" s="1">
        <v>205000</v>
      </c>
      <c r="G193" s="1">
        <v>569777</v>
      </c>
    </row>
    <row r="194" spans="1:7" x14ac:dyDescent="0.35">
      <c r="A194" t="s">
        <v>197</v>
      </c>
      <c r="B194">
        <v>2020</v>
      </c>
      <c r="C194">
        <v>30</v>
      </c>
      <c r="D194" s="1">
        <v>12651645</v>
      </c>
      <c r="E194" s="1">
        <v>421722</v>
      </c>
      <c r="F194" s="1">
        <v>207948</v>
      </c>
      <c r="G194" s="1">
        <v>582237</v>
      </c>
    </row>
    <row r="195" spans="1:7" x14ac:dyDescent="0.35">
      <c r="A195" t="s">
        <v>197</v>
      </c>
      <c r="B195">
        <v>2021</v>
      </c>
      <c r="C195">
        <v>27</v>
      </c>
      <c r="D195" s="1">
        <v>11681240</v>
      </c>
      <c r="E195" s="1">
        <v>432639</v>
      </c>
      <c r="F195" s="1">
        <v>215896</v>
      </c>
      <c r="G195" s="1">
        <v>670839</v>
      </c>
    </row>
    <row r="196" spans="1:7" x14ac:dyDescent="0.35">
      <c r="A196" t="s">
        <v>197</v>
      </c>
      <c r="B196">
        <v>2022</v>
      </c>
      <c r="C196">
        <v>36</v>
      </c>
      <c r="D196" s="1">
        <v>21652958</v>
      </c>
      <c r="E196" s="1">
        <v>601471</v>
      </c>
      <c r="F196" s="1">
        <v>232500</v>
      </c>
      <c r="G196" s="1">
        <v>970845</v>
      </c>
    </row>
    <row r="197" spans="1:7" x14ac:dyDescent="0.35">
      <c r="A197" t="s">
        <v>197</v>
      </c>
      <c r="B197">
        <v>2023</v>
      </c>
      <c r="C197">
        <v>36</v>
      </c>
      <c r="D197" s="1">
        <v>21068550</v>
      </c>
      <c r="E197" s="1">
        <v>585238</v>
      </c>
      <c r="F197" s="1">
        <v>381907</v>
      </c>
      <c r="G197" s="1">
        <v>833079</v>
      </c>
    </row>
    <row r="198" spans="1:7" x14ac:dyDescent="0.35">
      <c r="A198" t="s">
        <v>96</v>
      </c>
      <c r="B198">
        <v>2019</v>
      </c>
      <c r="C198">
        <v>2</v>
      </c>
      <c r="D198" s="1">
        <v>169691</v>
      </c>
      <c r="E198" s="1">
        <v>84845</v>
      </c>
      <c r="F198" s="1">
        <v>84845</v>
      </c>
      <c r="G198" s="1">
        <v>9588</v>
      </c>
    </row>
    <row r="199" spans="1:7" x14ac:dyDescent="0.35">
      <c r="A199" t="s">
        <v>96</v>
      </c>
      <c r="B199">
        <v>2020</v>
      </c>
      <c r="C199">
        <v>33</v>
      </c>
      <c r="D199" s="1">
        <v>9977537</v>
      </c>
      <c r="E199" s="1">
        <v>302350</v>
      </c>
      <c r="F199" s="1">
        <v>147969</v>
      </c>
      <c r="G199" s="1">
        <v>335391</v>
      </c>
    </row>
    <row r="200" spans="1:7" x14ac:dyDescent="0.35">
      <c r="A200" t="s">
        <v>96</v>
      </c>
      <c r="B200">
        <v>2021</v>
      </c>
      <c r="C200">
        <v>35</v>
      </c>
      <c r="D200" s="1">
        <v>13072494</v>
      </c>
      <c r="E200" s="1">
        <v>373500</v>
      </c>
      <c r="F200" s="1">
        <v>200000</v>
      </c>
      <c r="G200" s="1">
        <v>403439</v>
      </c>
    </row>
    <row r="201" spans="1:7" x14ac:dyDescent="0.35">
      <c r="A201" t="s">
        <v>96</v>
      </c>
      <c r="B201">
        <v>2022</v>
      </c>
      <c r="C201">
        <v>30</v>
      </c>
      <c r="D201" s="1">
        <v>14145780</v>
      </c>
      <c r="E201" s="1">
        <v>471526</v>
      </c>
      <c r="F201" s="1">
        <v>246125</v>
      </c>
      <c r="G201" s="1">
        <v>565028</v>
      </c>
    </row>
    <row r="202" spans="1:7" x14ac:dyDescent="0.35">
      <c r="A202" t="s">
        <v>96</v>
      </c>
      <c r="B202">
        <v>2023</v>
      </c>
      <c r="C202">
        <v>31</v>
      </c>
      <c r="D202" s="1">
        <v>17257138</v>
      </c>
      <c r="E202" s="1">
        <v>556682</v>
      </c>
      <c r="F202" s="1">
        <v>266750</v>
      </c>
      <c r="G202" s="1">
        <v>788607</v>
      </c>
    </row>
    <row r="203" spans="1:7" x14ac:dyDescent="0.35">
      <c r="A203" t="s">
        <v>195</v>
      </c>
      <c r="B203">
        <v>2014</v>
      </c>
      <c r="C203">
        <v>5</v>
      </c>
      <c r="D203" s="1">
        <v>464171</v>
      </c>
      <c r="E203" s="1">
        <v>92834</v>
      </c>
      <c r="F203" s="1">
        <v>60000</v>
      </c>
      <c r="G203" s="1">
        <v>56200</v>
      </c>
    </row>
    <row r="204" spans="1:7" x14ac:dyDescent="0.35">
      <c r="A204" t="s">
        <v>195</v>
      </c>
      <c r="B204">
        <v>2015</v>
      </c>
      <c r="C204">
        <v>30</v>
      </c>
      <c r="D204" s="1">
        <v>17871768</v>
      </c>
      <c r="E204" s="1">
        <v>595726</v>
      </c>
      <c r="F204" s="1">
        <v>115000</v>
      </c>
      <c r="G204" s="1">
        <v>1477127</v>
      </c>
    </row>
    <row r="205" spans="1:7" x14ac:dyDescent="0.35">
      <c r="A205" t="s">
        <v>195</v>
      </c>
      <c r="B205">
        <v>2016</v>
      </c>
      <c r="C205">
        <v>28</v>
      </c>
      <c r="D205" s="1">
        <v>21510781</v>
      </c>
      <c r="E205" s="1">
        <v>768242</v>
      </c>
      <c r="F205" s="1">
        <v>130625</v>
      </c>
      <c r="G205" s="1">
        <v>1796341</v>
      </c>
    </row>
    <row r="206" spans="1:7" x14ac:dyDescent="0.35">
      <c r="A206" t="s">
        <v>195</v>
      </c>
      <c r="B206">
        <v>2017</v>
      </c>
      <c r="C206">
        <v>30</v>
      </c>
      <c r="D206" s="1">
        <v>18108132</v>
      </c>
      <c r="E206" s="1">
        <v>603604</v>
      </c>
      <c r="F206" s="1">
        <v>119529</v>
      </c>
      <c r="G206" s="1">
        <v>1449691</v>
      </c>
    </row>
    <row r="207" spans="1:7" x14ac:dyDescent="0.35">
      <c r="A207" t="s">
        <v>195</v>
      </c>
      <c r="B207">
        <v>2018</v>
      </c>
      <c r="C207">
        <v>29</v>
      </c>
      <c r="D207" s="1">
        <v>14824391</v>
      </c>
      <c r="E207" s="1">
        <v>511186</v>
      </c>
      <c r="F207" s="1">
        <v>250008</v>
      </c>
      <c r="G207" s="1">
        <v>1053486</v>
      </c>
    </row>
    <row r="208" spans="1:7" x14ac:dyDescent="0.35">
      <c r="A208" t="s">
        <v>195</v>
      </c>
      <c r="B208">
        <v>2019</v>
      </c>
      <c r="C208">
        <v>28</v>
      </c>
      <c r="D208" s="1">
        <v>10415587</v>
      </c>
      <c r="E208" s="1">
        <v>371985</v>
      </c>
      <c r="F208" s="1">
        <v>237403</v>
      </c>
      <c r="G208" s="1">
        <v>419397</v>
      </c>
    </row>
    <row r="209" spans="1:7" x14ac:dyDescent="0.35">
      <c r="A209" t="s">
        <v>195</v>
      </c>
      <c r="B209">
        <v>2020</v>
      </c>
      <c r="C209">
        <v>27</v>
      </c>
      <c r="D209" s="1">
        <v>13014393</v>
      </c>
      <c r="E209" s="1">
        <v>482015</v>
      </c>
      <c r="F209" s="1">
        <v>299806</v>
      </c>
      <c r="G209" s="1">
        <v>679458</v>
      </c>
    </row>
    <row r="210" spans="1:7" x14ac:dyDescent="0.35">
      <c r="A210" t="s">
        <v>195</v>
      </c>
      <c r="B210">
        <v>2021</v>
      </c>
      <c r="C210">
        <v>31</v>
      </c>
      <c r="D210" s="1">
        <v>15341016</v>
      </c>
      <c r="E210" s="1">
        <v>494871</v>
      </c>
      <c r="F210" s="1">
        <v>278700</v>
      </c>
      <c r="G210" s="1">
        <v>616747</v>
      </c>
    </row>
    <row r="211" spans="1:7" x14ac:dyDescent="0.35">
      <c r="A211" t="s">
        <v>195</v>
      </c>
      <c r="B211">
        <v>2022</v>
      </c>
      <c r="C211">
        <v>33</v>
      </c>
      <c r="D211" s="1">
        <v>16504148</v>
      </c>
      <c r="E211" s="1">
        <v>500126</v>
      </c>
      <c r="F211" s="1">
        <v>308700</v>
      </c>
      <c r="G211" s="1">
        <v>472320</v>
      </c>
    </row>
    <row r="212" spans="1:7" x14ac:dyDescent="0.35">
      <c r="A212" t="s">
        <v>195</v>
      </c>
      <c r="B212">
        <v>2023</v>
      </c>
      <c r="C212">
        <v>39</v>
      </c>
      <c r="D212" s="1">
        <v>18704118</v>
      </c>
      <c r="E212" s="1">
        <v>479593</v>
      </c>
      <c r="F212" s="1">
        <v>295700</v>
      </c>
      <c r="G212" s="1">
        <v>473540</v>
      </c>
    </row>
    <row r="213" spans="1:7" x14ac:dyDescent="0.35">
      <c r="A213" t="s">
        <v>17</v>
      </c>
      <c r="B213">
        <v>2007</v>
      </c>
      <c r="C213">
        <v>29</v>
      </c>
      <c r="D213" s="1">
        <v>4928089</v>
      </c>
      <c r="E213" s="3">
        <v>169934.11</v>
      </c>
    </row>
    <row r="214" spans="1:7" x14ac:dyDescent="0.35">
      <c r="A214" t="s">
        <v>17</v>
      </c>
      <c r="B214">
        <v>2008</v>
      </c>
      <c r="C214">
        <v>30</v>
      </c>
      <c r="D214" s="3">
        <v>3367589.2</v>
      </c>
      <c r="E214" s="3">
        <v>112252.97</v>
      </c>
    </row>
    <row r="215" spans="1:7" x14ac:dyDescent="0.35">
      <c r="A215" t="s">
        <v>17</v>
      </c>
      <c r="B215">
        <v>2009</v>
      </c>
      <c r="C215">
        <v>24</v>
      </c>
      <c r="D215" s="3">
        <v>3549338.37</v>
      </c>
      <c r="E215" s="3">
        <v>147889.1</v>
      </c>
    </row>
    <row r="216" spans="1:7" x14ac:dyDescent="0.35">
      <c r="A216" t="s">
        <v>17</v>
      </c>
      <c r="B216">
        <v>2010</v>
      </c>
      <c r="C216">
        <v>28</v>
      </c>
      <c r="D216" s="3">
        <v>15666639.41</v>
      </c>
      <c r="E216" s="3">
        <v>559522.84</v>
      </c>
    </row>
    <row r="217" spans="1:7" x14ac:dyDescent="0.35">
      <c r="A217" t="s">
        <v>17</v>
      </c>
      <c r="B217">
        <v>2011</v>
      </c>
      <c r="C217">
        <v>31</v>
      </c>
      <c r="D217" s="3">
        <v>13367747.369999999</v>
      </c>
      <c r="E217" s="3">
        <v>431217.66</v>
      </c>
    </row>
    <row r="218" spans="1:7" x14ac:dyDescent="0.35">
      <c r="A218" t="s">
        <v>17</v>
      </c>
      <c r="B218">
        <v>2012</v>
      </c>
      <c r="C218">
        <v>28</v>
      </c>
      <c r="D218" s="3">
        <v>16728107.800000001</v>
      </c>
      <c r="E218" s="3">
        <v>597432.42000000004</v>
      </c>
    </row>
    <row r="219" spans="1:7" x14ac:dyDescent="0.35">
      <c r="A219" t="s">
        <v>17</v>
      </c>
      <c r="B219">
        <v>2013</v>
      </c>
      <c r="C219">
        <v>32</v>
      </c>
      <c r="D219" s="1">
        <v>11374456</v>
      </c>
      <c r="E219" s="1">
        <v>355452</v>
      </c>
      <c r="F219" s="1">
        <v>86250</v>
      </c>
      <c r="G219" s="1">
        <v>960543</v>
      </c>
    </row>
    <row r="220" spans="1:7" x14ac:dyDescent="0.35">
      <c r="A220" t="s">
        <v>17</v>
      </c>
      <c r="B220">
        <v>2014</v>
      </c>
      <c r="C220">
        <v>30</v>
      </c>
      <c r="D220" s="1">
        <v>11509474</v>
      </c>
      <c r="E220" s="1">
        <v>383649</v>
      </c>
      <c r="F220" s="1">
        <v>115000</v>
      </c>
      <c r="G220" s="1">
        <v>988724</v>
      </c>
    </row>
    <row r="221" spans="1:7" x14ac:dyDescent="0.35">
      <c r="A221" t="s">
        <v>17</v>
      </c>
      <c r="B221">
        <v>2015</v>
      </c>
      <c r="C221">
        <v>28</v>
      </c>
      <c r="D221" s="1">
        <v>4229936</v>
      </c>
      <c r="E221" s="1">
        <v>151069</v>
      </c>
      <c r="F221" s="1">
        <v>92606</v>
      </c>
      <c r="G221" s="1">
        <v>147261</v>
      </c>
    </row>
    <row r="222" spans="1:7" x14ac:dyDescent="0.35">
      <c r="A222" t="s">
        <v>17</v>
      </c>
      <c r="B222">
        <v>2016</v>
      </c>
      <c r="C222">
        <v>30</v>
      </c>
      <c r="D222" s="1">
        <v>6557204</v>
      </c>
      <c r="E222" s="1">
        <v>218573</v>
      </c>
      <c r="F222" s="1">
        <v>132750</v>
      </c>
      <c r="G222" s="1">
        <v>195007</v>
      </c>
    </row>
    <row r="223" spans="1:7" x14ac:dyDescent="0.35">
      <c r="A223" t="s">
        <v>17</v>
      </c>
      <c r="B223">
        <v>2017</v>
      </c>
      <c r="C223">
        <v>33</v>
      </c>
      <c r="D223" s="1">
        <v>7766762</v>
      </c>
      <c r="E223" s="1">
        <v>235356</v>
      </c>
      <c r="F223" s="1">
        <v>105008</v>
      </c>
      <c r="G223" s="1">
        <v>307455</v>
      </c>
    </row>
    <row r="224" spans="1:7" x14ac:dyDescent="0.35">
      <c r="A224" t="s">
        <v>17</v>
      </c>
      <c r="B224">
        <v>2018</v>
      </c>
      <c r="C224">
        <v>32</v>
      </c>
      <c r="D224" s="1">
        <v>8134914</v>
      </c>
      <c r="E224" s="1">
        <v>254216</v>
      </c>
      <c r="F224" s="1">
        <v>114968</v>
      </c>
      <c r="G224" s="1">
        <v>339124</v>
      </c>
    </row>
    <row r="225" spans="1:7" x14ac:dyDescent="0.35">
      <c r="A225" t="s">
        <v>17</v>
      </c>
      <c r="B225">
        <v>2019</v>
      </c>
      <c r="C225">
        <v>31</v>
      </c>
      <c r="D225" s="1">
        <v>9081597</v>
      </c>
      <c r="E225" s="1">
        <v>292955</v>
      </c>
      <c r="F225" s="1">
        <v>127750</v>
      </c>
      <c r="G225" s="1">
        <v>324959</v>
      </c>
    </row>
    <row r="226" spans="1:7" x14ac:dyDescent="0.35">
      <c r="A226" t="s">
        <v>17</v>
      </c>
      <c r="B226">
        <v>2020</v>
      </c>
      <c r="C226">
        <v>28</v>
      </c>
      <c r="D226" s="1">
        <v>8300262</v>
      </c>
      <c r="E226" s="1">
        <v>296438</v>
      </c>
      <c r="F226" s="1">
        <v>238000</v>
      </c>
      <c r="G226" s="1">
        <v>257150</v>
      </c>
    </row>
    <row r="227" spans="1:7" x14ac:dyDescent="0.35">
      <c r="A227" t="s">
        <v>17</v>
      </c>
      <c r="B227">
        <v>2021</v>
      </c>
      <c r="C227">
        <v>35</v>
      </c>
      <c r="D227" s="1">
        <v>10689793</v>
      </c>
      <c r="E227" s="1">
        <v>305423</v>
      </c>
      <c r="F227" s="1">
        <v>251250</v>
      </c>
      <c r="G227" s="1">
        <v>250980</v>
      </c>
    </row>
    <row r="228" spans="1:7" x14ac:dyDescent="0.35">
      <c r="A228" t="s">
        <v>17</v>
      </c>
      <c r="B228">
        <v>2022</v>
      </c>
      <c r="C228">
        <v>36</v>
      </c>
      <c r="D228" s="1">
        <v>12668919</v>
      </c>
      <c r="E228" s="1">
        <v>351914</v>
      </c>
      <c r="F228" s="1">
        <v>258959</v>
      </c>
      <c r="G228" s="1">
        <v>362516</v>
      </c>
    </row>
    <row r="229" spans="1:7" x14ac:dyDescent="0.35">
      <c r="A229" t="s">
        <v>17</v>
      </c>
      <c r="B229">
        <v>2023</v>
      </c>
      <c r="C229">
        <v>33</v>
      </c>
      <c r="D229" s="1">
        <v>11705027</v>
      </c>
      <c r="E229" s="1">
        <v>354698</v>
      </c>
      <c r="F229" s="1">
        <v>206625</v>
      </c>
      <c r="G229" s="1">
        <v>365893</v>
      </c>
    </row>
    <row r="230" spans="1:7" x14ac:dyDescent="0.35">
      <c r="A230" t="s">
        <v>68</v>
      </c>
      <c r="B230">
        <v>2014</v>
      </c>
      <c r="C230">
        <v>5</v>
      </c>
      <c r="D230" s="1">
        <v>7419338</v>
      </c>
      <c r="E230" s="1">
        <v>1483868</v>
      </c>
      <c r="F230" s="1">
        <v>71400</v>
      </c>
      <c r="G230" s="1">
        <v>3177278</v>
      </c>
    </row>
    <row r="231" spans="1:7" x14ac:dyDescent="0.35">
      <c r="A231" t="s">
        <v>68</v>
      </c>
      <c r="B231">
        <v>2015</v>
      </c>
      <c r="C231">
        <v>35</v>
      </c>
      <c r="D231" s="1">
        <v>12147496</v>
      </c>
      <c r="E231" s="1">
        <v>347071</v>
      </c>
      <c r="F231" s="1">
        <v>108000</v>
      </c>
      <c r="G231" s="1">
        <v>1192941</v>
      </c>
    </row>
    <row r="232" spans="1:7" x14ac:dyDescent="0.35">
      <c r="A232" t="s">
        <v>68</v>
      </c>
      <c r="B232">
        <v>2016</v>
      </c>
      <c r="C232">
        <v>32</v>
      </c>
      <c r="D232" s="1">
        <v>12125975</v>
      </c>
      <c r="E232" s="1">
        <v>378937</v>
      </c>
      <c r="F232" s="1">
        <v>110250</v>
      </c>
      <c r="G232" s="1">
        <v>1247370</v>
      </c>
    </row>
    <row r="233" spans="1:7" x14ac:dyDescent="0.35">
      <c r="A233" t="s">
        <v>68</v>
      </c>
      <c r="B233">
        <v>2017</v>
      </c>
      <c r="C233">
        <v>34</v>
      </c>
      <c r="D233" s="1">
        <v>15041745</v>
      </c>
      <c r="E233" s="1">
        <v>442404</v>
      </c>
      <c r="F233" s="1">
        <v>147000</v>
      </c>
      <c r="G233" s="1">
        <v>1208650</v>
      </c>
    </row>
    <row r="234" spans="1:7" x14ac:dyDescent="0.35">
      <c r="A234" t="s">
        <v>68</v>
      </c>
      <c r="B234">
        <v>2018</v>
      </c>
      <c r="C234">
        <v>31</v>
      </c>
      <c r="D234" s="1">
        <v>9452658</v>
      </c>
      <c r="E234" s="1">
        <v>304924</v>
      </c>
      <c r="F234" s="1">
        <v>164000</v>
      </c>
      <c r="G234" s="1">
        <v>331385</v>
      </c>
    </row>
    <row r="235" spans="1:7" x14ac:dyDescent="0.35">
      <c r="A235" t="s">
        <v>68</v>
      </c>
      <c r="B235">
        <v>2019</v>
      </c>
      <c r="C235">
        <v>31</v>
      </c>
      <c r="D235" s="1">
        <v>12643474</v>
      </c>
      <c r="E235" s="1">
        <v>407854</v>
      </c>
      <c r="F235" s="1">
        <v>160000</v>
      </c>
      <c r="G235" s="1">
        <v>531607</v>
      </c>
    </row>
    <row r="236" spans="1:7" x14ac:dyDescent="0.35">
      <c r="A236" t="s">
        <v>68</v>
      </c>
      <c r="B236">
        <v>2020</v>
      </c>
      <c r="C236">
        <v>31</v>
      </c>
      <c r="D236" s="1">
        <v>11733964</v>
      </c>
      <c r="E236" s="1">
        <v>378515</v>
      </c>
      <c r="F236" s="1">
        <v>180000</v>
      </c>
      <c r="G236" s="1">
        <v>526010</v>
      </c>
    </row>
    <row r="237" spans="1:7" x14ac:dyDescent="0.35">
      <c r="A237" t="s">
        <v>68</v>
      </c>
      <c r="B237">
        <v>2021</v>
      </c>
      <c r="C237">
        <v>34</v>
      </c>
      <c r="D237" s="1">
        <v>11961241</v>
      </c>
      <c r="E237" s="1">
        <v>351801</v>
      </c>
      <c r="F237" s="1">
        <v>189250</v>
      </c>
      <c r="G237" s="1">
        <v>508449</v>
      </c>
    </row>
    <row r="238" spans="1:7" x14ac:dyDescent="0.35">
      <c r="A238" t="s">
        <v>68</v>
      </c>
      <c r="B238">
        <v>2022</v>
      </c>
      <c r="C238">
        <v>33</v>
      </c>
      <c r="D238" s="1">
        <v>13210012</v>
      </c>
      <c r="E238" s="1">
        <v>400303</v>
      </c>
      <c r="F238" s="1">
        <v>318240</v>
      </c>
      <c r="G238" s="1">
        <v>394530</v>
      </c>
    </row>
    <row r="239" spans="1:7" x14ac:dyDescent="0.35">
      <c r="A239" t="s">
        <v>68</v>
      </c>
      <c r="B239">
        <v>2023</v>
      </c>
      <c r="C239">
        <v>31</v>
      </c>
      <c r="D239" s="1">
        <v>11696519</v>
      </c>
      <c r="E239" s="1">
        <v>377307</v>
      </c>
      <c r="F239" s="1">
        <v>265900</v>
      </c>
      <c r="G239" s="1">
        <v>430759</v>
      </c>
    </row>
    <row r="240" spans="1:7" x14ac:dyDescent="0.35">
      <c r="A240" t="s">
        <v>36</v>
      </c>
      <c r="B240">
        <v>2010</v>
      </c>
      <c r="C240">
        <v>23</v>
      </c>
      <c r="D240" s="3">
        <v>2886399.58</v>
      </c>
      <c r="E240" s="1">
        <v>125496</v>
      </c>
    </row>
    <row r="241" spans="1:7" x14ac:dyDescent="0.35">
      <c r="A241" t="s">
        <v>36</v>
      </c>
      <c r="B241">
        <v>2011</v>
      </c>
      <c r="C241">
        <v>24</v>
      </c>
      <c r="D241" s="3">
        <v>3569981.17</v>
      </c>
      <c r="E241" s="1">
        <v>148749</v>
      </c>
    </row>
    <row r="242" spans="1:7" x14ac:dyDescent="0.35">
      <c r="A242" t="s">
        <v>36</v>
      </c>
      <c r="B242">
        <v>2012</v>
      </c>
      <c r="C242">
        <v>28</v>
      </c>
      <c r="D242" s="3">
        <v>3356310.25</v>
      </c>
      <c r="E242" s="1">
        <v>119868</v>
      </c>
    </row>
    <row r="243" spans="1:7" x14ac:dyDescent="0.35">
      <c r="A243" t="s">
        <v>36</v>
      </c>
      <c r="B243">
        <v>2013</v>
      </c>
      <c r="C243">
        <v>33</v>
      </c>
      <c r="D243" s="1">
        <v>4090962</v>
      </c>
      <c r="E243" s="1">
        <v>123969</v>
      </c>
      <c r="F243" s="1">
        <v>82500</v>
      </c>
      <c r="G243" s="1">
        <v>103854</v>
      </c>
    </row>
    <row r="244" spans="1:7" x14ac:dyDescent="0.35">
      <c r="A244" t="s">
        <v>36</v>
      </c>
      <c r="B244">
        <v>2014</v>
      </c>
      <c r="C244">
        <v>32</v>
      </c>
      <c r="D244" s="1">
        <v>4524928</v>
      </c>
      <c r="E244" s="1">
        <v>141404</v>
      </c>
      <c r="F244" s="1">
        <v>101247</v>
      </c>
      <c r="G244" s="1">
        <v>124097</v>
      </c>
    </row>
    <row r="245" spans="1:7" x14ac:dyDescent="0.35">
      <c r="A245" t="s">
        <v>36</v>
      </c>
      <c r="B245">
        <v>2015</v>
      </c>
      <c r="C245">
        <v>34</v>
      </c>
      <c r="D245" s="1">
        <v>6368901</v>
      </c>
      <c r="E245" s="1">
        <v>187321</v>
      </c>
      <c r="F245" s="1">
        <v>124000</v>
      </c>
      <c r="G245" s="1">
        <v>172184</v>
      </c>
    </row>
    <row r="246" spans="1:7" x14ac:dyDescent="0.35">
      <c r="A246" t="s">
        <v>36</v>
      </c>
      <c r="B246">
        <v>2016</v>
      </c>
      <c r="C246">
        <v>32</v>
      </c>
      <c r="D246" s="1">
        <v>7228559</v>
      </c>
      <c r="E246" s="1">
        <v>225892</v>
      </c>
      <c r="F246" s="1">
        <v>126833</v>
      </c>
      <c r="G246" s="1">
        <v>253282</v>
      </c>
    </row>
    <row r="247" spans="1:7" x14ac:dyDescent="0.35">
      <c r="A247" t="s">
        <v>36</v>
      </c>
      <c r="B247">
        <v>2017</v>
      </c>
      <c r="C247">
        <v>32</v>
      </c>
      <c r="D247" s="1">
        <v>7178432</v>
      </c>
      <c r="E247" s="1">
        <v>224326</v>
      </c>
      <c r="F247" s="1">
        <v>132083</v>
      </c>
      <c r="G247" s="1">
        <v>255068</v>
      </c>
    </row>
    <row r="248" spans="1:7" x14ac:dyDescent="0.35">
      <c r="A248" t="s">
        <v>36</v>
      </c>
      <c r="B248">
        <v>2018</v>
      </c>
      <c r="C248">
        <v>30</v>
      </c>
      <c r="D248" s="1">
        <v>8983488</v>
      </c>
      <c r="E248" s="1">
        <v>299450</v>
      </c>
      <c r="F248" s="1">
        <v>114931</v>
      </c>
      <c r="G248" s="1">
        <v>415537</v>
      </c>
    </row>
    <row r="249" spans="1:7" x14ac:dyDescent="0.35">
      <c r="A249" t="s">
        <v>36</v>
      </c>
      <c r="B249">
        <v>2019</v>
      </c>
      <c r="C249">
        <v>30</v>
      </c>
      <c r="D249" s="1">
        <v>10003163</v>
      </c>
      <c r="E249" s="1">
        <v>333439</v>
      </c>
      <c r="F249" s="1">
        <v>161046</v>
      </c>
      <c r="G249" s="1">
        <v>455811</v>
      </c>
    </row>
    <row r="250" spans="1:7" x14ac:dyDescent="0.35">
      <c r="A250" t="s">
        <v>36</v>
      </c>
      <c r="B250">
        <v>2020</v>
      </c>
      <c r="C250">
        <v>26</v>
      </c>
      <c r="D250" s="1">
        <v>9364543</v>
      </c>
      <c r="E250" s="1">
        <v>360175</v>
      </c>
      <c r="F250" s="1">
        <v>200000</v>
      </c>
      <c r="G250" s="1">
        <v>366312</v>
      </c>
    </row>
    <row r="251" spans="1:7" x14ac:dyDescent="0.35">
      <c r="A251" t="s">
        <v>36</v>
      </c>
      <c r="B251">
        <v>2021</v>
      </c>
      <c r="C251">
        <v>34</v>
      </c>
      <c r="D251" s="1">
        <v>10484622</v>
      </c>
      <c r="E251" s="1">
        <v>308371</v>
      </c>
      <c r="F251" s="1">
        <v>167778</v>
      </c>
      <c r="G251" s="1">
        <v>326422</v>
      </c>
    </row>
    <row r="252" spans="1:7" x14ac:dyDescent="0.35">
      <c r="A252" t="s">
        <v>36</v>
      </c>
      <c r="B252">
        <v>2022</v>
      </c>
      <c r="C252">
        <v>32</v>
      </c>
      <c r="D252" s="1">
        <v>12208843</v>
      </c>
      <c r="E252" s="1">
        <v>381526</v>
      </c>
      <c r="F252" s="1">
        <v>207778</v>
      </c>
      <c r="G252" s="1">
        <v>387356</v>
      </c>
    </row>
    <row r="253" spans="1:7" x14ac:dyDescent="0.35">
      <c r="A253" t="s">
        <v>36</v>
      </c>
      <c r="B253">
        <v>2023</v>
      </c>
      <c r="C253">
        <v>30</v>
      </c>
      <c r="D253" s="1">
        <v>14174297</v>
      </c>
      <c r="E253" s="1">
        <v>472477</v>
      </c>
      <c r="F253" s="1">
        <v>243500</v>
      </c>
      <c r="G253" s="1">
        <v>461881</v>
      </c>
    </row>
    <row r="254" spans="1:7" x14ac:dyDescent="0.35">
      <c r="A254" t="s">
        <v>39</v>
      </c>
      <c r="B254">
        <v>2011</v>
      </c>
      <c r="C254">
        <v>29</v>
      </c>
      <c r="D254" s="3">
        <v>2690690.92</v>
      </c>
      <c r="E254" s="1">
        <v>92782</v>
      </c>
    </row>
    <row r="255" spans="1:7" x14ac:dyDescent="0.35">
      <c r="A255" t="s">
        <v>39</v>
      </c>
      <c r="B255">
        <v>2012</v>
      </c>
      <c r="C255">
        <v>32</v>
      </c>
      <c r="D255" s="3">
        <v>4505210.67</v>
      </c>
      <c r="E255" s="1">
        <v>140788</v>
      </c>
    </row>
    <row r="256" spans="1:7" x14ac:dyDescent="0.35">
      <c r="A256" t="s">
        <v>39</v>
      </c>
      <c r="B256">
        <v>2013</v>
      </c>
      <c r="C256">
        <v>33</v>
      </c>
      <c r="D256" s="1">
        <v>3926776</v>
      </c>
      <c r="E256" s="1">
        <v>118993</v>
      </c>
      <c r="F256" s="1">
        <v>76000</v>
      </c>
      <c r="G256" s="1">
        <v>90569</v>
      </c>
    </row>
    <row r="257" spans="1:7" x14ac:dyDescent="0.35">
      <c r="A257" t="s">
        <v>39</v>
      </c>
      <c r="B257">
        <v>2014</v>
      </c>
      <c r="C257">
        <v>33</v>
      </c>
      <c r="D257" s="1">
        <v>5770636</v>
      </c>
      <c r="E257" s="1">
        <v>174868</v>
      </c>
      <c r="F257" s="1">
        <v>113000</v>
      </c>
      <c r="G257" s="1">
        <v>224449</v>
      </c>
    </row>
    <row r="258" spans="1:7" x14ac:dyDescent="0.35">
      <c r="A258" t="s">
        <v>39</v>
      </c>
      <c r="B258">
        <v>2015</v>
      </c>
      <c r="C258">
        <v>29</v>
      </c>
      <c r="D258" s="1">
        <v>6325908</v>
      </c>
      <c r="E258" s="1">
        <v>218135</v>
      </c>
      <c r="F258" s="1">
        <v>123000</v>
      </c>
      <c r="G258" s="1">
        <v>259380</v>
      </c>
    </row>
    <row r="259" spans="1:7" x14ac:dyDescent="0.35">
      <c r="A259" t="s">
        <v>39</v>
      </c>
      <c r="B259">
        <v>2016</v>
      </c>
      <c r="C259">
        <v>32</v>
      </c>
      <c r="D259" s="1">
        <v>7763716</v>
      </c>
      <c r="E259" s="1">
        <v>242616</v>
      </c>
      <c r="F259" s="1">
        <v>136500</v>
      </c>
      <c r="G259" s="1">
        <v>270669</v>
      </c>
    </row>
    <row r="260" spans="1:7" x14ac:dyDescent="0.35">
      <c r="A260" t="s">
        <v>39</v>
      </c>
      <c r="B260">
        <v>2017</v>
      </c>
      <c r="C260">
        <v>29</v>
      </c>
      <c r="D260" s="1">
        <v>11369315</v>
      </c>
      <c r="E260" s="1">
        <v>392045</v>
      </c>
      <c r="F260" s="1">
        <v>155600</v>
      </c>
      <c r="G260" s="1">
        <v>572755</v>
      </c>
    </row>
    <row r="261" spans="1:7" x14ac:dyDescent="0.35">
      <c r="A261" t="s">
        <v>39</v>
      </c>
      <c r="B261">
        <v>2018</v>
      </c>
      <c r="C261">
        <v>33</v>
      </c>
      <c r="D261" s="1">
        <v>13200001</v>
      </c>
      <c r="E261" s="1">
        <v>400000</v>
      </c>
      <c r="F261" s="1">
        <v>166667</v>
      </c>
      <c r="G261" s="1">
        <v>545221</v>
      </c>
    </row>
    <row r="262" spans="1:7" x14ac:dyDescent="0.35">
      <c r="A262" t="s">
        <v>39</v>
      </c>
      <c r="B262">
        <v>2019</v>
      </c>
      <c r="C262">
        <v>28</v>
      </c>
      <c r="D262" s="1">
        <v>13253916</v>
      </c>
      <c r="E262" s="1">
        <v>473354</v>
      </c>
      <c r="F262" s="1">
        <v>178627</v>
      </c>
      <c r="G262" s="1">
        <v>679466</v>
      </c>
    </row>
    <row r="263" spans="1:7" x14ac:dyDescent="0.35">
      <c r="A263" t="s">
        <v>39</v>
      </c>
      <c r="B263">
        <v>2020</v>
      </c>
      <c r="C263">
        <v>28</v>
      </c>
      <c r="D263" s="1">
        <v>12157389</v>
      </c>
      <c r="E263" s="1">
        <v>434192</v>
      </c>
      <c r="F263" s="1">
        <v>232063</v>
      </c>
      <c r="G263" s="1">
        <v>496399</v>
      </c>
    </row>
    <row r="264" spans="1:7" x14ac:dyDescent="0.35">
      <c r="A264" t="s">
        <v>39</v>
      </c>
      <c r="B264">
        <v>2021</v>
      </c>
      <c r="C264">
        <v>30</v>
      </c>
      <c r="D264" s="1">
        <v>12671311</v>
      </c>
      <c r="E264" s="1">
        <v>422377</v>
      </c>
      <c r="F264" s="1">
        <v>245000</v>
      </c>
      <c r="G264" s="1">
        <v>495576</v>
      </c>
    </row>
    <row r="265" spans="1:7" x14ac:dyDescent="0.35">
      <c r="A265" t="s">
        <v>39</v>
      </c>
      <c r="B265">
        <v>2022</v>
      </c>
      <c r="C265">
        <v>29</v>
      </c>
      <c r="D265" s="1">
        <v>11377505</v>
      </c>
      <c r="E265" s="1">
        <v>392328</v>
      </c>
      <c r="F265" s="1">
        <v>248333</v>
      </c>
      <c r="G265" s="1">
        <v>455703</v>
      </c>
    </row>
    <row r="266" spans="1:7" x14ac:dyDescent="0.35">
      <c r="A266" t="s">
        <v>39</v>
      </c>
      <c r="B266">
        <v>2023</v>
      </c>
      <c r="C266">
        <v>31</v>
      </c>
      <c r="D266" s="1">
        <v>16363541</v>
      </c>
      <c r="E266" s="1">
        <v>527856</v>
      </c>
      <c r="F266" s="1">
        <v>384993</v>
      </c>
      <c r="G266" s="1">
        <v>538343</v>
      </c>
    </row>
    <row r="267" spans="1:7" x14ac:dyDescent="0.35">
      <c r="A267" t="s">
        <v>60</v>
      </c>
      <c r="B267">
        <v>2007</v>
      </c>
      <c r="C267">
        <v>29</v>
      </c>
      <c r="D267" s="1">
        <v>1974250</v>
      </c>
      <c r="E267" s="3">
        <v>68077.58</v>
      </c>
    </row>
    <row r="268" spans="1:7" x14ac:dyDescent="0.35">
      <c r="A268" t="s">
        <v>60</v>
      </c>
      <c r="B268">
        <v>2008</v>
      </c>
      <c r="C268">
        <v>28</v>
      </c>
      <c r="D268" s="3">
        <v>2418376.3199999998</v>
      </c>
      <c r="E268" s="3">
        <v>86370.58</v>
      </c>
    </row>
    <row r="269" spans="1:7" x14ac:dyDescent="0.35">
      <c r="A269" t="s">
        <v>60</v>
      </c>
      <c r="B269">
        <v>2009</v>
      </c>
      <c r="C269">
        <v>25</v>
      </c>
      <c r="D269" s="3">
        <v>2200041.58</v>
      </c>
      <c r="E269" s="3">
        <v>88001.66</v>
      </c>
    </row>
    <row r="270" spans="1:7" x14ac:dyDescent="0.35">
      <c r="A270" t="s">
        <v>60</v>
      </c>
      <c r="B270">
        <v>2010</v>
      </c>
      <c r="C270">
        <v>25</v>
      </c>
      <c r="D270" s="3">
        <v>2645721.91</v>
      </c>
      <c r="E270" s="3">
        <v>105828.88</v>
      </c>
    </row>
    <row r="271" spans="1:7" x14ac:dyDescent="0.35">
      <c r="A271" t="s">
        <v>60</v>
      </c>
      <c r="B271">
        <v>2011</v>
      </c>
      <c r="C271">
        <v>26</v>
      </c>
      <c r="D271" s="3">
        <v>3321694.76</v>
      </c>
      <c r="E271" s="3">
        <v>127757.49</v>
      </c>
    </row>
    <row r="272" spans="1:7" x14ac:dyDescent="0.35">
      <c r="A272" t="s">
        <v>60</v>
      </c>
      <c r="B272">
        <v>2012</v>
      </c>
      <c r="C272">
        <v>26</v>
      </c>
      <c r="D272" s="3">
        <v>3581445.29</v>
      </c>
      <c r="E272" s="3">
        <v>137747.9</v>
      </c>
    </row>
    <row r="273" spans="1:7" x14ac:dyDescent="0.35">
      <c r="A273" t="s">
        <v>60</v>
      </c>
      <c r="B273">
        <v>2013</v>
      </c>
      <c r="C273">
        <v>32</v>
      </c>
      <c r="D273" s="1">
        <v>3979883</v>
      </c>
      <c r="E273" s="1">
        <v>124371</v>
      </c>
      <c r="F273" s="1">
        <v>78604</v>
      </c>
      <c r="G273" s="1">
        <v>104092</v>
      </c>
    </row>
    <row r="274" spans="1:7" x14ac:dyDescent="0.35">
      <c r="A274" t="s">
        <v>60</v>
      </c>
      <c r="B274">
        <v>2014</v>
      </c>
      <c r="C274">
        <v>29</v>
      </c>
      <c r="D274" s="1">
        <v>4058631</v>
      </c>
      <c r="E274" s="1">
        <v>139953</v>
      </c>
      <c r="F274" s="1">
        <v>72000</v>
      </c>
      <c r="G274" s="1">
        <v>115569</v>
      </c>
    </row>
    <row r="275" spans="1:7" x14ac:dyDescent="0.35">
      <c r="A275" t="s">
        <v>60</v>
      </c>
      <c r="B275">
        <v>2015</v>
      </c>
      <c r="C275">
        <v>28</v>
      </c>
      <c r="D275" s="1">
        <v>5436920</v>
      </c>
      <c r="E275" s="1">
        <v>194176</v>
      </c>
      <c r="F275" s="1">
        <v>106068</v>
      </c>
      <c r="G275" s="1">
        <v>228432</v>
      </c>
    </row>
    <row r="276" spans="1:7" x14ac:dyDescent="0.35">
      <c r="A276" t="s">
        <v>60</v>
      </c>
      <c r="B276">
        <v>2016</v>
      </c>
      <c r="C276">
        <v>29</v>
      </c>
      <c r="D276" s="1">
        <v>6246490</v>
      </c>
      <c r="E276" s="1">
        <v>215396</v>
      </c>
      <c r="F276" s="1">
        <v>111000</v>
      </c>
      <c r="G276" s="1">
        <v>288172</v>
      </c>
    </row>
    <row r="277" spans="1:7" x14ac:dyDescent="0.35">
      <c r="A277" t="s">
        <v>60</v>
      </c>
      <c r="B277">
        <v>2017</v>
      </c>
      <c r="C277">
        <v>32</v>
      </c>
      <c r="D277" s="1">
        <v>9136755</v>
      </c>
      <c r="E277" s="1">
        <v>285524</v>
      </c>
      <c r="F277" s="1">
        <v>154116</v>
      </c>
      <c r="G277" s="1">
        <v>383356</v>
      </c>
    </row>
    <row r="278" spans="1:7" x14ac:dyDescent="0.35">
      <c r="A278" t="s">
        <v>60</v>
      </c>
      <c r="B278">
        <v>2018</v>
      </c>
      <c r="C278">
        <v>32</v>
      </c>
      <c r="D278" s="1">
        <v>9294916</v>
      </c>
      <c r="E278" s="1">
        <v>290466</v>
      </c>
      <c r="F278" s="1">
        <v>187125</v>
      </c>
      <c r="G278" s="1">
        <v>299631</v>
      </c>
    </row>
    <row r="279" spans="1:7" x14ac:dyDescent="0.35">
      <c r="A279" t="s">
        <v>60</v>
      </c>
      <c r="B279">
        <v>2019</v>
      </c>
      <c r="C279">
        <v>32</v>
      </c>
      <c r="D279" s="1">
        <v>11285622</v>
      </c>
      <c r="E279" s="1">
        <v>352676</v>
      </c>
      <c r="F279" s="1">
        <v>187417</v>
      </c>
      <c r="G279" s="1">
        <v>426656</v>
      </c>
    </row>
    <row r="280" spans="1:7" x14ac:dyDescent="0.35">
      <c r="A280" t="s">
        <v>60</v>
      </c>
      <c r="B280">
        <v>2020</v>
      </c>
      <c r="C280">
        <v>30</v>
      </c>
      <c r="D280" s="1">
        <v>10095998</v>
      </c>
      <c r="E280" s="1">
        <v>336533</v>
      </c>
      <c r="F280" s="1">
        <v>170000</v>
      </c>
      <c r="G280" s="1">
        <v>444387</v>
      </c>
    </row>
    <row r="281" spans="1:7" x14ac:dyDescent="0.35">
      <c r="A281" t="s">
        <v>60</v>
      </c>
      <c r="B281">
        <v>2021</v>
      </c>
      <c r="C281">
        <v>33</v>
      </c>
      <c r="D281" s="1">
        <v>12659495</v>
      </c>
      <c r="E281" s="1">
        <v>383621</v>
      </c>
      <c r="F281" s="1">
        <v>153458</v>
      </c>
      <c r="G281" s="1">
        <v>488731</v>
      </c>
    </row>
    <row r="282" spans="1:7" x14ac:dyDescent="0.35">
      <c r="A282" t="s">
        <v>60</v>
      </c>
      <c r="B282">
        <v>2022</v>
      </c>
      <c r="C282">
        <v>41</v>
      </c>
      <c r="D282" s="1">
        <v>15493531</v>
      </c>
      <c r="E282" s="1">
        <v>377891</v>
      </c>
      <c r="F282" s="1">
        <v>168458</v>
      </c>
      <c r="G282" s="1">
        <v>459218</v>
      </c>
    </row>
    <row r="283" spans="1:7" x14ac:dyDescent="0.35">
      <c r="A283" t="s">
        <v>60</v>
      </c>
      <c r="B283">
        <v>2023</v>
      </c>
      <c r="C283">
        <v>38</v>
      </c>
      <c r="D283" s="1">
        <v>14974195</v>
      </c>
      <c r="E283" s="1">
        <v>394058</v>
      </c>
      <c r="F283" s="1">
        <v>195950</v>
      </c>
      <c r="G283" s="1">
        <v>487378</v>
      </c>
    </row>
    <row r="284" spans="1:7" x14ac:dyDescent="0.35">
      <c r="A284" t="s">
        <v>26</v>
      </c>
      <c r="B284">
        <v>2009</v>
      </c>
      <c r="C284">
        <v>26</v>
      </c>
      <c r="D284" s="3">
        <v>3407212</v>
      </c>
      <c r="E284" s="1">
        <v>131047</v>
      </c>
    </row>
    <row r="285" spans="1:7" x14ac:dyDescent="0.35">
      <c r="A285" t="s">
        <v>26</v>
      </c>
      <c r="B285">
        <v>2010</v>
      </c>
      <c r="C285">
        <v>27</v>
      </c>
      <c r="D285" s="3">
        <v>3118103.54</v>
      </c>
      <c r="E285" s="1">
        <v>115485</v>
      </c>
    </row>
    <row r="286" spans="1:7" x14ac:dyDescent="0.35">
      <c r="A286" t="s">
        <v>26</v>
      </c>
      <c r="B286">
        <v>2011</v>
      </c>
      <c r="C286">
        <v>31</v>
      </c>
      <c r="D286" s="3">
        <v>3400133.23</v>
      </c>
      <c r="E286" s="1">
        <v>109682</v>
      </c>
    </row>
    <row r="287" spans="1:7" x14ac:dyDescent="0.35">
      <c r="A287" t="s">
        <v>26</v>
      </c>
      <c r="B287">
        <v>2012</v>
      </c>
      <c r="C287">
        <v>32</v>
      </c>
      <c r="D287" s="3">
        <v>4224310.6500000004</v>
      </c>
      <c r="E287" s="1">
        <v>132010</v>
      </c>
    </row>
    <row r="288" spans="1:7" x14ac:dyDescent="0.35">
      <c r="A288" t="s">
        <v>26</v>
      </c>
      <c r="B288">
        <v>2013</v>
      </c>
      <c r="C288">
        <v>34</v>
      </c>
      <c r="D288" s="1">
        <v>10746779</v>
      </c>
      <c r="E288" s="1">
        <v>316082</v>
      </c>
      <c r="F288" s="1">
        <v>74100</v>
      </c>
      <c r="G288" s="1">
        <v>890510</v>
      </c>
    </row>
    <row r="289" spans="1:7" x14ac:dyDescent="0.35">
      <c r="A289" t="s">
        <v>26</v>
      </c>
      <c r="B289">
        <v>2014</v>
      </c>
      <c r="C289">
        <v>33</v>
      </c>
      <c r="D289" s="1">
        <v>11884091</v>
      </c>
      <c r="E289" s="1">
        <v>360124</v>
      </c>
      <c r="F289" s="1">
        <v>70000</v>
      </c>
      <c r="G289" s="1">
        <v>1176311</v>
      </c>
    </row>
    <row r="290" spans="1:7" x14ac:dyDescent="0.35">
      <c r="A290" t="s">
        <v>26</v>
      </c>
      <c r="B290">
        <v>2015</v>
      </c>
      <c r="C290">
        <v>32</v>
      </c>
      <c r="D290" s="1">
        <v>13288443</v>
      </c>
      <c r="E290" s="1">
        <v>415264</v>
      </c>
      <c r="F290" s="1">
        <v>117563</v>
      </c>
      <c r="G290" s="1">
        <v>943015</v>
      </c>
    </row>
    <row r="291" spans="1:7" x14ac:dyDescent="0.35">
      <c r="A291" t="s">
        <v>26</v>
      </c>
      <c r="B291">
        <v>2016</v>
      </c>
      <c r="C291">
        <v>31</v>
      </c>
      <c r="D291" s="1">
        <v>12507823</v>
      </c>
      <c r="E291" s="1">
        <v>403478</v>
      </c>
      <c r="F291" s="1">
        <v>77413</v>
      </c>
      <c r="G291" s="1">
        <v>877402</v>
      </c>
    </row>
    <row r="292" spans="1:7" x14ac:dyDescent="0.35">
      <c r="A292" t="s">
        <v>26</v>
      </c>
      <c r="B292">
        <v>2017</v>
      </c>
      <c r="C292">
        <v>30</v>
      </c>
      <c r="D292" s="1">
        <v>12249524</v>
      </c>
      <c r="E292" s="1">
        <v>408317</v>
      </c>
      <c r="F292" s="1">
        <v>141000</v>
      </c>
      <c r="G292" s="1">
        <v>763140</v>
      </c>
    </row>
    <row r="293" spans="1:7" x14ac:dyDescent="0.35">
      <c r="A293" t="s">
        <v>26</v>
      </c>
      <c r="B293">
        <v>2018</v>
      </c>
      <c r="C293">
        <v>30</v>
      </c>
      <c r="D293" s="1">
        <v>14029965</v>
      </c>
      <c r="E293" s="1">
        <v>467666</v>
      </c>
      <c r="F293" s="1">
        <v>215271</v>
      </c>
      <c r="G293" s="1">
        <v>597912</v>
      </c>
    </row>
    <row r="294" spans="1:7" x14ac:dyDescent="0.35">
      <c r="A294" t="s">
        <v>26</v>
      </c>
      <c r="B294">
        <v>2019</v>
      </c>
      <c r="C294">
        <v>29</v>
      </c>
      <c r="D294" s="1">
        <v>13748664</v>
      </c>
      <c r="E294" s="1">
        <v>474092</v>
      </c>
      <c r="F294" s="1">
        <v>337500</v>
      </c>
      <c r="G294" s="1">
        <v>577874</v>
      </c>
    </row>
    <row r="295" spans="1:7" x14ac:dyDescent="0.35">
      <c r="A295" t="s">
        <v>26</v>
      </c>
      <c r="B295">
        <v>2020</v>
      </c>
      <c r="C295">
        <v>29</v>
      </c>
      <c r="D295" s="1">
        <v>13591129</v>
      </c>
      <c r="E295" s="1">
        <v>468660</v>
      </c>
      <c r="F295" s="1">
        <v>210000</v>
      </c>
      <c r="G295" s="1">
        <v>600642</v>
      </c>
    </row>
    <row r="296" spans="1:7" x14ac:dyDescent="0.35">
      <c r="A296" t="s">
        <v>26</v>
      </c>
      <c r="B296">
        <v>2021</v>
      </c>
      <c r="C296">
        <v>30</v>
      </c>
      <c r="D296" s="1">
        <v>13588370</v>
      </c>
      <c r="E296" s="1">
        <v>452946</v>
      </c>
      <c r="F296" s="1">
        <v>174637</v>
      </c>
      <c r="G296" s="1">
        <v>626298</v>
      </c>
    </row>
    <row r="297" spans="1:7" x14ac:dyDescent="0.35">
      <c r="A297" t="s">
        <v>26</v>
      </c>
      <c r="B297">
        <v>2022</v>
      </c>
      <c r="C297">
        <v>28</v>
      </c>
      <c r="D297" s="1">
        <v>16983746</v>
      </c>
      <c r="E297" s="1">
        <v>606562</v>
      </c>
      <c r="F297" s="1">
        <v>221250</v>
      </c>
      <c r="G297" s="1">
        <v>873238</v>
      </c>
    </row>
    <row r="298" spans="1:7" x14ac:dyDescent="0.35">
      <c r="A298" t="s">
        <v>26</v>
      </c>
      <c r="B298">
        <v>2023</v>
      </c>
      <c r="C298">
        <v>29</v>
      </c>
      <c r="D298" s="1">
        <v>19185352</v>
      </c>
      <c r="E298" s="1">
        <v>661564</v>
      </c>
      <c r="F298" s="1">
        <v>217500</v>
      </c>
      <c r="G298" s="1">
        <v>879978</v>
      </c>
    </row>
    <row r="299" spans="1:7" x14ac:dyDescent="0.35">
      <c r="A299" t="s">
        <v>19</v>
      </c>
      <c r="B299">
        <v>2008</v>
      </c>
      <c r="C299">
        <v>27</v>
      </c>
      <c r="D299" s="3">
        <v>2503382.38</v>
      </c>
      <c r="E299" s="1">
        <v>92718</v>
      </c>
    </row>
    <row r="300" spans="1:7" x14ac:dyDescent="0.35">
      <c r="A300" t="s">
        <v>19</v>
      </c>
      <c r="B300">
        <v>2009</v>
      </c>
      <c r="C300">
        <v>23</v>
      </c>
      <c r="D300" s="3">
        <v>2116203.75</v>
      </c>
      <c r="E300" s="1">
        <v>92009</v>
      </c>
    </row>
    <row r="301" spans="1:7" x14ac:dyDescent="0.35">
      <c r="A301" t="s">
        <v>19</v>
      </c>
      <c r="B301">
        <v>2010</v>
      </c>
      <c r="C301">
        <v>24</v>
      </c>
      <c r="D301" s="3">
        <v>2518590.08</v>
      </c>
      <c r="E301" s="1">
        <v>104941</v>
      </c>
    </row>
    <row r="302" spans="1:7" x14ac:dyDescent="0.35">
      <c r="A302" t="s">
        <v>19</v>
      </c>
      <c r="B302">
        <v>2011</v>
      </c>
      <c r="C302">
        <v>29</v>
      </c>
      <c r="D302" s="3">
        <v>2853603.71</v>
      </c>
      <c r="E302" s="1">
        <v>98400</v>
      </c>
    </row>
    <row r="303" spans="1:7" x14ac:dyDescent="0.35">
      <c r="A303" t="s">
        <v>19</v>
      </c>
      <c r="B303">
        <v>2012</v>
      </c>
      <c r="C303">
        <v>30</v>
      </c>
      <c r="D303" s="3">
        <v>3174895.53</v>
      </c>
      <c r="E303" s="1">
        <v>105830</v>
      </c>
    </row>
    <row r="304" spans="1:7" x14ac:dyDescent="0.35">
      <c r="A304" t="s">
        <v>19</v>
      </c>
      <c r="B304">
        <v>2013</v>
      </c>
      <c r="C304">
        <v>33</v>
      </c>
      <c r="D304" s="1">
        <v>3913166</v>
      </c>
      <c r="E304" s="1">
        <v>118581</v>
      </c>
      <c r="F304" s="1">
        <v>90000</v>
      </c>
      <c r="G304" s="1">
        <v>111206</v>
      </c>
    </row>
    <row r="305" spans="1:7" x14ac:dyDescent="0.35">
      <c r="A305" t="s">
        <v>19</v>
      </c>
      <c r="B305">
        <v>2014</v>
      </c>
      <c r="C305">
        <v>32</v>
      </c>
      <c r="D305" s="1">
        <v>4641172</v>
      </c>
      <c r="E305" s="1">
        <v>145037</v>
      </c>
      <c r="F305" s="1">
        <v>126393</v>
      </c>
      <c r="G305" s="1">
        <v>124637</v>
      </c>
    </row>
    <row r="306" spans="1:7" x14ac:dyDescent="0.35">
      <c r="A306" t="s">
        <v>19</v>
      </c>
      <c r="B306">
        <v>2015</v>
      </c>
      <c r="C306">
        <v>29</v>
      </c>
      <c r="D306" s="1">
        <v>5332506</v>
      </c>
      <c r="E306" s="1">
        <v>183880</v>
      </c>
      <c r="F306" s="1">
        <v>100000</v>
      </c>
      <c r="G306" s="1">
        <v>249518</v>
      </c>
    </row>
    <row r="307" spans="1:7" x14ac:dyDescent="0.35">
      <c r="A307" t="s">
        <v>19</v>
      </c>
      <c r="B307">
        <v>2016</v>
      </c>
      <c r="C307">
        <v>32</v>
      </c>
      <c r="D307" s="1">
        <v>7479325</v>
      </c>
      <c r="E307" s="1">
        <v>233729</v>
      </c>
      <c r="F307" s="1">
        <v>147000</v>
      </c>
      <c r="G307" s="1">
        <v>273979</v>
      </c>
    </row>
    <row r="308" spans="1:7" x14ac:dyDescent="0.35">
      <c r="A308" t="s">
        <v>19</v>
      </c>
      <c r="B308">
        <v>2017</v>
      </c>
      <c r="C308">
        <v>31</v>
      </c>
      <c r="D308" s="1">
        <v>8567579</v>
      </c>
      <c r="E308" s="1">
        <v>276374</v>
      </c>
      <c r="F308" s="1">
        <v>175992</v>
      </c>
      <c r="G308" s="1">
        <v>294727</v>
      </c>
    </row>
    <row r="309" spans="1:7" x14ac:dyDescent="0.35">
      <c r="A309" t="s">
        <v>19</v>
      </c>
      <c r="B309">
        <v>2018</v>
      </c>
      <c r="C309">
        <v>32</v>
      </c>
      <c r="D309" s="1">
        <v>8721753</v>
      </c>
      <c r="E309" s="1">
        <v>272555</v>
      </c>
      <c r="F309" s="1">
        <v>169000</v>
      </c>
      <c r="G309" s="1">
        <v>291774</v>
      </c>
    </row>
    <row r="310" spans="1:7" x14ac:dyDescent="0.35">
      <c r="A310" t="s">
        <v>19</v>
      </c>
      <c r="B310">
        <v>2019</v>
      </c>
      <c r="C310">
        <v>31</v>
      </c>
      <c r="D310" s="1">
        <v>10619981</v>
      </c>
      <c r="E310" s="1">
        <v>342580</v>
      </c>
      <c r="F310" s="1">
        <v>235000</v>
      </c>
      <c r="G310" s="1">
        <v>326542</v>
      </c>
    </row>
    <row r="311" spans="1:7" x14ac:dyDescent="0.35">
      <c r="A311" t="s">
        <v>19</v>
      </c>
      <c r="B311">
        <v>2020</v>
      </c>
      <c r="C311">
        <v>29</v>
      </c>
      <c r="D311" s="1">
        <v>10936092</v>
      </c>
      <c r="E311" s="1">
        <v>377107</v>
      </c>
      <c r="F311" s="1">
        <v>225000</v>
      </c>
      <c r="G311" s="1">
        <v>407948</v>
      </c>
    </row>
    <row r="312" spans="1:7" x14ac:dyDescent="0.35">
      <c r="A312" t="s">
        <v>19</v>
      </c>
      <c r="B312">
        <v>2021</v>
      </c>
      <c r="C312">
        <v>32</v>
      </c>
      <c r="D312" s="1">
        <v>11604595</v>
      </c>
      <c r="E312" s="1">
        <v>362644</v>
      </c>
      <c r="F312" s="1">
        <v>245000</v>
      </c>
      <c r="G312" s="1">
        <v>320097</v>
      </c>
    </row>
    <row r="313" spans="1:7" x14ac:dyDescent="0.35">
      <c r="A313" t="s">
        <v>19</v>
      </c>
      <c r="B313">
        <v>2022</v>
      </c>
      <c r="C313">
        <v>33</v>
      </c>
      <c r="D313" s="1">
        <v>12928459</v>
      </c>
      <c r="E313" s="1">
        <v>391771</v>
      </c>
      <c r="F313" s="1">
        <v>280000</v>
      </c>
      <c r="G313" s="1">
        <v>351988</v>
      </c>
    </row>
    <row r="314" spans="1:7" x14ac:dyDescent="0.35">
      <c r="A314" t="s">
        <v>19</v>
      </c>
      <c r="B314">
        <v>2023</v>
      </c>
      <c r="C314">
        <v>33</v>
      </c>
      <c r="D314" s="1">
        <v>14600008</v>
      </c>
      <c r="E314" s="1">
        <v>442424</v>
      </c>
      <c r="F314" s="1">
        <v>250000</v>
      </c>
      <c r="G314" s="1">
        <v>429132</v>
      </c>
    </row>
    <row r="315" spans="1:7" x14ac:dyDescent="0.35">
      <c r="A315" t="s">
        <v>24</v>
      </c>
      <c r="B315">
        <v>2008</v>
      </c>
      <c r="C315">
        <v>26</v>
      </c>
      <c r="D315" s="3">
        <v>2551054</v>
      </c>
      <c r="E315" s="1">
        <v>98117</v>
      </c>
    </row>
    <row r="316" spans="1:7" x14ac:dyDescent="0.35">
      <c r="A316" t="s">
        <v>24</v>
      </c>
      <c r="B316">
        <v>2009</v>
      </c>
      <c r="C316">
        <v>26</v>
      </c>
      <c r="D316" s="3">
        <v>2246548.38</v>
      </c>
      <c r="E316" s="1">
        <v>86406</v>
      </c>
    </row>
    <row r="317" spans="1:7" x14ac:dyDescent="0.35">
      <c r="A317" t="s">
        <v>24</v>
      </c>
      <c r="B317">
        <v>2010</v>
      </c>
      <c r="C317">
        <v>25</v>
      </c>
      <c r="D317" s="3">
        <v>2945107.17</v>
      </c>
      <c r="E317" s="1">
        <v>117804</v>
      </c>
    </row>
    <row r="318" spans="1:7" x14ac:dyDescent="0.35">
      <c r="A318" t="s">
        <v>24</v>
      </c>
      <c r="B318">
        <v>2011</v>
      </c>
      <c r="C318">
        <v>30</v>
      </c>
      <c r="D318" s="3">
        <v>3515259.06</v>
      </c>
      <c r="E318" s="1">
        <v>117175</v>
      </c>
    </row>
    <row r="319" spans="1:7" x14ac:dyDescent="0.35">
      <c r="A319" t="s">
        <v>24</v>
      </c>
      <c r="B319">
        <v>2012</v>
      </c>
      <c r="C319">
        <v>29</v>
      </c>
      <c r="D319" s="3">
        <v>3226599.37</v>
      </c>
      <c r="E319" s="1">
        <v>111262</v>
      </c>
    </row>
    <row r="320" spans="1:7" x14ac:dyDescent="0.35">
      <c r="A320" t="s">
        <v>24</v>
      </c>
      <c r="B320">
        <v>2013</v>
      </c>
      <c r="C320">
        <v>34</v>
      </c>
      <c r="D320" s="1">
        <v>4145694</v>
      </c>
      <c r="E320" s="1">
        <v>121932</v>
      </c>
      <c r="F320" s="1">
        <v>84750</v>
      </c>
      <c r="G320" s="1">
        <v>97091</v>
      </c>
    </row>
    <row r="321" spans="1:7" x14ac:dyDescent="0.35">
      <c r="A321" t="s">
        <v>24</v>
      </c>
      <c r="B321">
        <v>2014</v>
      </c>
      <c r="C321">
        <v>32</v>
      </c>
      <c r="D321" s="1">
        <v>4644505</v>
      </c>
      <c r="E321" s="1">
        <v>145141</v>
      </c>
      <c r="F321" s="1">
        <v>98125</v>
      </c>
      <c r="G321" s="1">
        <v>147992</v>
      </c>
    </row>
    <row r="322" spans="1:7" x14ac:dyDescent="0.35">
      <c r="A322" t="s">
        <v>24</v>
      </c>
      <c r="B322">
        <v>2015</v>
      </c>
      <c r="C322">
        <v>27</v>
      </c>
      <c r="D322" s="1">
        <v>5970501</v>
      </c>
      <c r="E322" s="1">
        <v>221130</v>
      </c>
      <c r="F322" s="1">
        <v>146750</v>
      </c>
      <c r="G322" s="1">
        <v>204919</v>
      </c>
    </row>
    <row r="323" spans="1:7" x14ac:dyDescent="0.35">
      <c r="A323" t="s">
        <v>24</v>
      </c>
      <c r="B323">
        <v>2016</v>
      </c>
      <c r="C323">
        <v>32</v>
      </c>
      <c r="D323" s="1">
        <v>6901746</v>
      </c>
      <c r="E323" s="1">
        <v>215680</v>
      </c>
      <c r="F323" s="1">
        <v>123125</v>
      </c>
      <c r="G323" s="1">
        <v>218919</v>
      </c>
    </row>
    <row r="324" spans="1:7" x14ac:dyDescent="0.35">
      <c r="A324" t="s">
        <v>24</v>
      </c>
      <c r="B324">
        <v>2017</v>
      </c>
      <c r="C324">
        <v>34</v>
      </c>
      <c r="D324" s="1">
        <v>7229212</v>
      </c>
      <c r="E324" s="1">
        <v>212624</v>
      </c>
      <c r="F324" s="1">
        <v>112779</v>
      </c>
      <c r="G324" s="1">
        <v>241069</v>
      </c>
    </row>
    <row r="325" spans="1:7" x14ac:dyDescent="0.35">
      <c r="A325" t="s">
        <v>24</v>
      </c>
      <c r="B325">
        <v>2018</v>
      </c>
      <c r="C325">
        <v>31</v>
      </c>
      <c r="D325" s="1">
        <v>11883112</v>
      </c>
      <c r="E325" s="1">
        <v>383326</v>
      </c>
      <c r="F325" s="1">
        <v>200000</v>
      </c>
      <c r="G325" s="1">
        <v>427517</v>
      </c>
    </row>
    <row r="326" spans="1:7" x14ac:dyDescent="0.35">
      <c r="A326" t="s">
        <v>24</v>
      </c>
      <c r="B326">
        <v>2019</v>
      </c>
      <c r="C326">
        <v>31</v>
      </c>
      <c r="D326" s="1">
        <v>13127084</v>
      </c>
      <c r="E326" s="1">
        <v>423454</v>
      </c>
      <c r="F326" s="1">
        <v>240000</v>
      </c>
      <c r="G326" s="1">
        <v>432629</v>
      </c>
    </row>
    <row r="327" spans="1:7" x14ac:dyDescent="0.35">
      <c r="A327" t="s">
        <v>24</v>
      </c>
      <c r="B327">
        <v>2020</v>
      </c>
      <c r="C327">
        <v>29</v>
      </c>
      <c r="D327" s="1">
        <v>13671015</v>
      </c>
      <c r="E327" s="1">
        <v>471414</v>
      </c>
      <c r="F327" s="1">
        <v>200000</v>
      </c>
      <c r="G327" s="1">
        <v>539897</v>
      </c>
    </row>
    <row r="328" spans="1:7" x14ac:dyDescent="0.35">
      <c r="A328" t="s">
        <v>24</v>
      </c>
      <c r="B328">
        <v>2021</v>
      </c>
      <c r="C328">
        <v>32</v>
      </c>
      <c r="D328" s="1">
        <v>14320162</v>
      </c>
      <c r="E328" s="1">
        <v>447505</v>
      </c>
      <c r="F328" s="1">
        <v>131252</v>
      </c>
      <c r="G328" s="1">
        <v>515203</v>
      </c>
    </row>
    <row r="329" spans="1:7" x14ac:dyDescent="0.35">
      <c r="A329" t="s">
        <v>24</v>
      </c>
      <c r="B329">
        <v>2022</v>
      </c>
      <c r="C329">
        <v>28</v>
      </c>
      <c r="D329" s="1">
        <v>15217909</v>
      </c>
      <c r="E329" s="1">
        <v>543497</v>
      </c>
      <c r="F329" s="1">
        <v>411993</v>
      </c>
      <c r="G329" s="1">
        <v>557642</v>
      </c>
    </row>
    <row r="330" spans="1:7" x14ac:dyDescent="0.35">
      <c r="A330" t="s">
        <v>24</v>
      </c>
      <c r="B330">
        <v>2023</v>
      </c>
      <c r="C330">
        <v>32</v>
      </c>
      <c r="D330" s="1">
        <v>15064779</v>
      </c>
      <c r="E330" s="1">
        <v>470774</v>
      </c>
      <c r="F330" s="1">
        <v>298438</v>
      </c>
      <c r="G330" s="1">
        <v>497537</v>
      </c>
    </row>
    <row r="331" spans="1:7" x14ac:dyDescent="0.35">
      <c r="A331" t="s">
        <v>107</v>
      </c>
      <c r="B331">
        <v>2023</v>
      </c>
      <c r="C331">
        <v>31</v>
      </c>
      <c r="D331" s="1">
        <v>11186787</v>
      </c>
      <c r="E331" s="1">
        <v>360864</v>
      </c>
      <c r="F331" s="1">
        <v>112833</v>
      </c>
      <c r="G331" s="1">
        <v>457249</v>
      </c>
    </row>
    <row r="332" spans="1:7" x14ac:dyDescent="0.35">
      <c r="A332" t="s">
        <v>21</v>
      </c>
      <c r="B332">
        <v>2007</v>
      </c>
      <c r="C332">
        <v>27</v>
      </c>
      <c r="D332" s="3">
        <v>2653987.5</v>
      </c>
      <c r="E332" s="3">
        <v>98295.83</v>
      </c>
    </row>
    <row r="333" spans="1:7" x14ac:dyDescent="0.35">
      <c r="A333" t="s">
        <v>21</v>
      </c>
      <c r="B333">
        <v>2008</v>
      </c>
      <c r="C333">
        <v>25</v>
      </c>
      <c r="D333" s="3">
        <v>2726478.8</v>
      </c>
      <c r="E333" s="3">
        <v>109059.15</v>
      </c>
    </row>
    <row r="334" spans="1:7" x14ac:dyDescent="0.35">
      <c r="A334" t="s">
        <v>21</v>
      </c>
      <c r="B334">
        <v>2009</v>
      </c>
      <c r="C334">
        <v>22</v>
      </c>
      <c r="D334" s="3">
        <v>4152167.05</v>
      </c>
      <c r="E334" s="3">
        <v>188734.87</v>
      </c>
    </row>
    <row r="335" spans="1:7" x14ac:dyDescent="0.35">
      <c r="A335" t="s">
        <v>21</v>
      </c>
      <c r="B335">
        <v>2010</v>
      </c>
      <c r="C335">
        <v>25</v>
      </c>
      <c r="D335" s="3">
        <v>5214381.05</v>
      </c>
      <c r="E335" s="3">
        <v>208575.24</v>
      </c>
    </row>
    <row r="336" spans="1:7" x14ac:dyDescent="0.35">
      <c r="A336" t="s">
        <v>21</v>
      </c>
      <c r="B336">
        <v>2011</v>
      </c>
      <c r="C336">
        <v>33</v>
      </c>
      <c r="D336" s="3">
        <v>6659618.8399999999</v>
      </c>
      <c r="E336" s="3">
        <v>201806.63</v>
      </c>
    </row>
    <row r="337" spans="1:7" x14ac:dyDescent="0.35">
      <c r="A337" t="s">
        <v>21</v>
      </c>
      <c r="B337">
        <v>2012</v>
      </c>
      <c r="C337">
        <v>28</v>
      </c>
      <c r="D337" s="3">
        <v>7402623.6699999999</v>
      </c>
      <c r="E337" s="3">
        <v>264379.42</v>
      </c>
    </row>
    <row r="338" spans="1:7" x14ac:dyDescent="0.35">
      <c r="A338" t="s">
        <v>21</v>
      </c>
      <c r="B338">
        <v>2013</v>
      </c>
      <c r="C338">
        <v>38</v>
      </c>
      <c r="D338" s="1">
        <v>5781508</v>
      </c>
      <c r="E338" s="1">
        <v>152145</v>
      </c>
      <c r="F338" s="1">
        <v>81375</v>
      </c>
      <c r="G338" s="1">
        <v>266243</v>
      </c>
    </row>
    <row r="339" spans="1:7" x14ac:dyDescent="0.35">
      <c r="A339" t="s">
        <v>21</v>
      </c>
      <c r="B339">
        <v>2014</v>
      </c>
      <c r="C339">
        <v>33</v>
      </c>
      <c r="D339" s="1">
        <v>17284545</v>
      </c>
      <c r="E339" s="1">
        <v>523774</v>
      </c>
      <c r="F339" s="1">
        <v>100500</v>
      </c>
      <c r="G339" s="1">
        <v>1514461</v>
      </c>
    </row>
    <row r="340" spans="1:7" x14ac:dyDescent="0.35">
      <c r="A340" t="s">
        <v>21</v>
      </c>
      <c r="B340">
        <v>2015</v>
      </c>
      <c r="C340">
        <v>32</v>
      </c>
      <c r="D340" s="1">
        <v>23524900</v>
      </c>
      <c r="E340" s="1">
        <v>735153</v>
      </c>
      <c r="F340" s="1">
        <v>122000</v>
      </c>
      <c r="G340" s="1">
        <v>1799456</v>
      </c>
    </row>
    <row r="341" spans="1:7" x14ac:dyDescent="0.35">
      <c r="A341" t="s">
        <v>21</v>
      </c>
      <c r="B341">
        <v>2016</v>
      </c>
      <c r="C341">
        <v>28</v>
      </c>
      <c r="D341" s="1">
        <v>21957300</v>
      </c>
      <c r="E341" s="1">
        <v>784189</v>
      </c>
      <c r="F341" s="1">
        <v>115863</v>
      </c>
      <c r="G341" s="1">
        <v>1921427</v>
      </c>
    </row>
    <row r="342" spans="1:7" x14ac:dyDescent="0.35">
      <c r="A342" t="s">
        <v>21</v>
      </c>
      <c r="B342">
        <v>2017</v>
      </c>
      <c r="C342">
        <v>30</v>
      </c>
      <c r="D342" s="1">
        <v>22630790</v>
      </c>
      <c r="E342" s="1">
        <v>754360</v>
      </c>
      <c r="F342" s="1">
        <v>109067</v>
      </c>
      <c r="G342" s="1">
        <v>1863172</v>
      </c>
    </row>
    <row r="343" spans="1:7" x14ac:dyDescent="0.35">
      <c r="A343" t="s">
        <v>21</v>
      </c>
      <c r="B343">
        <v>2018</v>
      </c>
      <c r="C343">
        <v>32</v>
      </c>
      <c r="D343" s="1">
        <v>26834174</v>
      </c>
      <c r="E343" s="1">
        <v>838568</v>
      </c>
      <c r="F343" s="1">
        <v>183587</v>
      </c>
      <c r="G343" s="1">
        <v>1807087</v>
      </c>
    </row>
    <row r="344" spans="1:7" x14ac:dyDescent="0.35">
      <c r="A344" t="s">
        <v>21</v>
      </c>
      <c r="B344">
        <v>2019</v>
      </c>
      <c r="C344">
        <v>34</v>
      </c>
      <c r="D344" s="1">
        <v>24618558</v>
      </c>
      <c r="E344" s="1">
        <v>724075</v>
      </c>
      <c r="F344" s="1">
        <v>194551</v>
      </c>
      <c r="G344" s="1">
        <v>1585820</v>
      </c>
    </row>
    <row r="345" spans="1:7" x14ac:dyDescent="0.35">
      <c r="A345" t="s">
        <v>21</v>
      </c>
      <c r="B345">
        <v>2020</v>
      </c>
      <c r="C345">
        <v>32</v>
      </c>
      <c r="D345" s="1">
        <v>19723478</v>
      </c>
      <c r="E345" s="1">
        <v>616359</v>
      </c>
      <c r="F345" s="1">
        <v>216038</v>
      </c>
      <c r="G345" s="1">
        <v>1078589</v>
      </c>
    </row>
    <row r="346" spans="1:7" x14ac:dyDescent="0.35">
      <c r="A346" t="s">
        <v>21</v>
      </c>
      <c r="B346">
        <v>2021</v>
      </c>
      <c r="C346">
        <v>34</v>
      </c>
      <c r="D346" s="1">
        <v>19494805</v>
      </c>
      <c r="E346" s="1">
        <v>573377</v>
      </c>
      <c r="F346" s="1">
        <v>143257</v>
      </c>
      <c r="G346" s="1">
        <v>1015060</v>
      </c>
    </row>
    <row r="347" spans="1:7" x14ac:dyDescent="0.35">
      <c r="A347" t="s">
        <v>21</v>
      </c>
      <c r="B347">
        <v>2022</v>
      </c>
      <c r="C347">
        <v>33</v>
      </c>
      <c r="D347" s="1">
        <v>39504423</v>
      </c>
      <c r="E347" s="1">
        <v>1197104</v>
      </c>
      <c r="F347" s="1">
        <v>313583</v>
      </c>
      <c r="G347" s="1">
        <v>2660701</v>
      </c>
    </row>
    <row r="348" spans="1:7" x14ac:dyDescent="0.35">
      <c r="A348" t="s">
        <v>21</v>
      </c>
      <c r="B348">
        <v>2023</v>
      </c>
      <c r="C348">
        <v>33</v>
      </c>
      <c r="D348" s="1">
        <v>35380365</v>
      </c>
      <c r="E348" s="1">
        <v>1072132</v>
      </c>
      <c r="F348" s="1">
        <v>388000</v>
      </c>
      <c r="G348" s="1">
        <v>2790066</v>
      </c>
    </row>
    <row r="349" spans="1:7" x14ac:dyDescent="0.35">
      <c r="A349" t="s">
        <v>42</v>
      </c>
      <c r="B349">
        <v>2011</v>
      </c>
      <c r="C349">
        <v>30</v>
      </c>
      <c r="D349" s="3">
        <v>4004986.38</v>
      </c>
      <c r="E349" s="3">
        <v>133499.54999999999</v>
      </c>
    </row>
    <row r="350" spans="1:7" x14ac:dyDescent="0.35">
      <c r="A350" t="s">
        <v>42</v>
      </c>
      <c r="B350">
        <v>2012</v>
      </c>
      <c r="C350">
        <v>28</v>
      </c>
      <c r="D350" s="3">
        <v>5216754.95</v>
      </c>
      <c r="E350" s="3">
        <v>186312.68</v>
      </c>
    </row>
    <row r="351" spans="1:7" x14ac:dyDescent="0.35">
      <c r="A351" t="s">
        <v>42</v>
      </c>
      <c r="B351">
        <v>2013</v>
      </c>
      <c r="C351">
        <v>32</v>
      </c>
      <c r="D351" s="1">
        <v>5017296</v>
      </c>
      <c r="E351" s="1">
        <v>156791</v>
      </c>
      <c r="F351" s="1">
        <v>83000</v>
      </c>
      <c r="G351" s="1">
        <v>195826</v>
      </c>
    </row>
    <row r="352" spans="1:7" x14ac:dyDescent="0.35">
      <c r="A352" t="s">
        <v>42</v>
      </c>
      <c r="B352">
        <v>2014</v>
      </c>
      <c r="C352">
        <v>33</v>
      </c>
      <c r="D352" s="1">
        <v>6851433</v>
      </c>
      <c r="E352" s="1">
        <v>207619</v>
      </c>
      <c r="F352" s="1">
        <v>115000</v>
      </c>
      <c r="G352" s="1">
        <v>278808</v>
      </c>
    </row>
    <row r="353" spans="1:7" x14ac:dyDescent="0.35">
      <c r="A353" t="s">
        <v>42</v>
      </c>
      <c r="B353">
        <v>2015</v>
      </c>
      <c r="C353">
        <v>31</v>
      </c>
      <c r="D353" s="1">
        <v>6261095</v>
      </c>
      <c r="E353" s="1">
        <v>201971</v>
      </c>
      <c r="F353" s="1">
        <v>112000</v>
      </c>
      <c r="G353" s="1">
        <v>274056</v>
      </c>
    </row>
    <row r="354" spans="1:7" x14ac:dyDescent="0.35">
      <c r="A354" t="s">
        <v>42</v>
      </c>
      <c r="B354">
        <v>2016</v>
      </c>
      <c r="C354">
        <v>33</v>
      </c>
      <c r="D354" s="1">
        <v>7904519</v>
      </c>
      <c r="E354" s="1">
        <v>239531</v>
      </c>
      <c r="F354" s="1">
        <v>113417</v>
      </c>
      <c r="G354" s="1">
        <v>307104</v>
      </c>
    </row>
    <row r="355" spans="1:7" x14ac:dyDescent="0.35">
      <c r="A355" t="s">
        <v>42</v>
      </c>
      <c r="B355">
        <v>2017</v>
      </c>
      <c r="C355">
        <v>37</v>
      </c>
      <c r="D355" s="1">
        <v>8797186</v>
      </c>
      <c r="E355" s="1">
        <v>237762</v>
      </c>
      <c r="F355" s="1">
        <v>140000</v>
      </c>
      <c r="G355" s="1">
        <v>320523</v>
      </c>
    </row>
    <row r="356" spans="1:7" x14ac:dyDescent="0.35">
      <c r="A356" t="s">
        <v>42</v>
      </c>
      <c r="B356">
        <v>2018</v>
      </c>
      <c r="C356">
        <v>35</v>
      </c>
      <c r="D356" s="1">
        <v>8575278</v>
      </c>
      <c r="E356" s="1">
        <v>245008</v>
      </c>
      <c r="F356" s="1">
        <v>156250</v>
      </c>
      <c r="G356" s="1">
        <v>239638</v>
      </c>
    </row>
    <row r="357" spans="1:7" x14ac:dyDescent="0.35">
      <c r="A357" t="s">
        <v>42</v>
      </c>
      <c r="B357">
        <v>2019</v>
      </c>
      <c r="C357">
        <v>32</v>
      </c>
      <c r="D357" s="1">
        <v>9252130</v>
      </c>
      <c r="E357" s="1">
        <v>289129</v>
      </c>
      <c r="F357" s="1">
        <v>175089</v>
      </c>
      <c r="G357" s="1">
        <v>303535</v>
      </c>
    </row>
    <row r="358" spans="1:7" x14ac:dyDescent="0.35">
      <c r="A358" t="s">
        <v>42</v>
      </c>
      <c r="B358">
        <v>2020</v>
      </c>
      <c r="C358">
        <v>29</v>
      </c>
      <c r="D358" s="1">
        <v>8532573</v>
      </c>
      <c r="E358" s="1">
        <v>294227</v>
      </c>
      <c r="F358" s="1">
        <v>162525</v>
      </c>
      <c r="G358" s="1">
        <v>351231</v>
      </c>
    </row>
    <row r="359" spans="1:7" x14ac:dyDescent="0.35">
      <c r="A359" t="s">
        <v>42</v>
      </c>
      <c r="B359">
        <v>2021</v>
      </c>
      <c r="C359">
        <v>37</v>
      </c>
      <c r="D359" s="1">
        <v>12190317</v>
      </c>
      <c r="E359" s="1">
        <v>329468</v>
      </c>
      <c r="F359" s="1">
        <v>167500</v>
      </c>
      <c r="G359" s="1">
        <v>411598</v>
      </c>
    </row>
    <row r="360" spans="1:7" x14ac:dyDescent="0.35">
      <c r="A360" t="s">
        <v>42</v>
      </c>
      <c r="B360">
        <v>2022</v>
      </c>
      <c r="C360">
        <v>36</v>
      </c>
      <c r="D360" s="1">
        <v>15072487</v>
      </c>
      <c r="E360" s="1">
        <v>418680</v>
      </c>
      <c r="F360" s="1">
        <v>304500</v>
      </c>
      <c r="G360" s="1">
        <v>454167</v>
      </c>
    </row>
    <row r="361" spans="1:7" x14ac:dyDescent="0.35">
      <c r="A361" t="s">
        <v>42</v>
      </c>
      <c r="B361">
        <v>2023</v>
      </c>
      <c r="C361">
        <v>31</v>
      </c>
      <c r="D361" s="1">
        <v>15617214</v>
      </c>
      <c r="E361" s="1">
        <v>503781</v>
      </c>
      <c r="F361" s="1">
        <v>300000</v>
      </c>
      <c r="G361" s="1">
        <v>533379</v>
      </c>
    </row>
    <row r="362" spans="1:7" x14ac:dyDescent="0.35">
      <c r="B362">
        <v>2013</v>
      </c>
      <c r="C362">
        <v>7</v>
      </c>
      <c r="D362" s="1">
        <v>389750</v>
      </c>
      <c r="E362" s="1">
        <v>55679</v>
      </c>
      <c r="F362" s="1">
        <v>46500</v>
      </c>
      <c r="G362" s="1">
        <v>29590</v>
      </c>
    </row>
    <row r="363" spans="1:7" x14ac:dyDescent="0.35">
      <c r="B363">
        <v>2014</v>
      </c>
      <c r="C363">
        <v>4</v>
      </c>
      <c r="D363" s="1">
        <v>233817</v>
      </c>
      <c r="E363" s="1">
        <v>58454</v>
      </c>
      <c r="F363" s="1">
        <v>61157</v>
      </c>
      <c r="G363" s="1">
        <v>17575</v>
      </c>
    </row>
    <row r="364" spans="1:7" x14ac:dyDescent="0.35">
      <c r="B364">
        <v>2015</v>
      </c>
      <c r="C364">
        <v>1</v>
      </c>
      <c r="D364" s="1">
        <v>50000</v>
      </c>
      <c r="E364" s="1">
        <v>50000</v>
      </c>
      <c r="F364" s="1">
        <v>50000</v>
      </c>
    </row>
    <row r="365" spans="1:7" x14ac:dyDescent="0.35">
      <c r="B365">
        <v>2016</v>
      </c>
      <c r="C365">
        <v>1</v>
      </c>
      <c r="D365" s="1">
        <v>62500</v>
      </c>
      <c r="E365" s="1">
        <v>62500</v>
      </c>
      <c r="F365" s="1">
        <v>62500</v>
      </c>
    </row>
    <row r="366" spans="1:7" x14ac:dyDescent="0.35">
      <c r="B366">
        <v>2017</v>
      </c>
      <c r="C366">
        <v>1</v>
      </c>
      <c r="D366" s="1">
        <v>53004</v>
      </c>
      <c r="E366" s="1">
        <v>53004</v>
      </c>
      <c r="F366" s="1">
        <v>53004</v>
      </c>
    </row>
    <row r="367" spans="1:7" x14ac:dyDescent="0.35">
      <c r="B367">
        <v>2018</v>
      </c>
      <c r="C367">
        <v>9</v>
      </c>
      <c r="D367" s="1">
        <v>4789368</v>
      </c>
      <c r="E367" s="1">
        <v>532152</v>
      </c>
      <c r="F367" s="1">
        <v>175008</v>
      </c>
      <c r="G367" s="1">
        <v>766769</v>
      </c>
    </row>
    <row r="368" spans="1:7" x14ac:dyDescent="0.35">
      <c r="B368">
        <v>2019</v>
      </c>
      <c r="C368">
        <v>9</v>
      </c>
      <c r="D368" s="1">
        <v>11832965</v>
      </c>
      <c r="E368" s="1">
        <v>1314774</v>
      </c>
      <c r="F368" s="1">
        <v>396990</v>
      </c>
      <c r="G368" s="1">
        <v>2094619</v>
      </c>
    </row>
    <row r="369" spans="2:7" x14ac:dyDescent="0.35">
      <c r="B369">
        <v>2020</v>
      </c>
      <c r="C369">
        <v>5</v>
      </c>
      <c r="D369" s="1">
        <v>787125</v>
      </c>
      <c r="E369" s="1">
        <v>157425</v>
      </c>
      <c r="F369" s="1">
        <v>81375</v>
      </c>
      <c r="G369" s="1">
        <v>122598</v>
      </c>
    </row>
    <row r="370" spans="2:7" x14ac:dyDescent="0.35">
      <c r="B370">
        <v>2021</v>
      </c>
      <c r="C370">
        <v>10</v>
      </c>
      <c r="D370" s="1">
        <v>2771367</v>
      </c>
      <c r="E370" s="1">
        <v>277137</v>
      </c>
      <c r="F370" s="1">
        <v>140125</v>
      </c>
      <c r="G370" s="1">
        <v>294837</v>
      </c>
    </row>
    <row r="371" spans="2:7" x14ac:dyDescent="0.35">
      <c r="B371">
        <v>2022</v>
      </c>
      <c r="C371">
        <v>50</v>
      </c>
      <c r="D371" s="1">
        <v>22728742</v>
      </c>
      <c r="E371" s="1">
        <v>454575</v>
      </c>
      <c r="F371" s="1">
        <v>191448</v>
      </c>
      <c r="G371" s="1">
        <v>575197</v>
      </c>
    </row>
    <row r="372" spans="2:7" x14ac:dyDescent="0.35">
      <c r="B372">
        <v>2023</v>
      </c>
      <c r="C372">
        <v>10</v>
      </c>
      <c r="D372" s="1">
        <v>5195542</v>
      </c>
      <c r="E372" s="1">
        <v>519554</v>
      </c>
      <c r="F372" s="1">
        <v>203834</v>
      </c>
      <c r="G372" s="1">
        <v>870979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541D-0B43-4A7F-ABB7-334BF90EA03D}">
  <dimension ref="A1:G346"/>
  <sheetViews>
    <sheetView topLeftCell="XEB115" workbookViewId="0">
      <selection activeCell="XFD152" sqref="XFD152"/>
    </sheetView>
  </sheetViews>
  <sheetFormatPr defaultRowHeight="14.5" x14ac:dyDescent="0.35"/>
  <cols>
    <col min="1" max="1" width="24" bestFit="1" customWidth="1"/>
    <col min="2" max="3" width="13.08984375" customWidth="1"/>
    <col min="6" max="6" width="14" bestFit="1" customWidth="1"/>
    <col min="7" max="7" width="11.453125" bestFit="1" customWidth="1"/>
  </cols>
  <sheetData>
    <row r="1" spans="1:7" x14ac:dyDescent="0.35">
      <c r="A1" t="s">
        <v>225</v>
      </c>
      <c r="B1" t="s">
        <v>1</v>
      </c>
      <c r="C1" t="s">
        <v>130</v>
      </c>
      <c r="D1" t="s">
        <v>0</v>
      </c>
      <c r="E1" t="s">
        <v>224</v>
      </c>
      <c r="F1" t="s">
        <v>222</v>
      </c>
      <c r="G1" t="s">
        <v>221</v>
      </c>
    </row>
    <row r="2" spans="1:7" x14ac:dyDescent="0.35">
      <c r="A2" t="s">
        <v>4</v>
      </c>
      <c r="B2" t="s">
        <v>6</v>
      </c>
      <c r="C2" t="s">
        <v>131</v>
      </c>
      <c r="D2" t="s">
        <v>5</v>
      </c>
      <c r="E2">
        <v>2008</v>
      </c>
      <c r="F2" s="1">
        <v>4808167</v>
      </c>
      <c r="G2" s="1">
        <v>171720</v>
      </c>
    </row>
    <row r="3" spans="1:7" x14ac:dyDescent="0.35">
      <c r="A3" t="s">
        <v>34</v>
      </c>
      <c r="B3" t="s">
        <v>10</v>
      </c>
      <c r="C3" t="s">
        <v>10</v>
      </c>
      <c r="D3" t="s">
        <v>218</v>
      </c>
      <c r="E3">
        <v>2008</v>
      </c>
      <c r="F3" s="1">
        <v>2487846</v>
      </c>
      <c r="G3" s="1">
        <v>77745</v>
      </c>
    </row>
    <row r="4" spans="1:7" x14ac:dyDescent="0.35">
      <c r="A4" t="s">
        <v>25</v>
      </c>
      <c r="B4" t="s">
        <v>10</v>
      </c>
      <c r="C4" t="s">
        <v>10</v>
      </c>
      <c r="D4" t="s">
        <v>23</v>
      </c>
      <c r="E4">
        <v>2008</v>
      </c>
      <c r="F4" s="1">
        <v>2372681</v>
      </c>
      <c r="G4" s="1">
        <v>76538</v>
      </c>
    </row>
    <row r="5" spans="1:7" x14ac:dyDescent="0.35">
      <c r="A5" t="s">
        <v>8</v>
      </c>
      <c r="B5" t="s">
        <v>10</v>
      </c>
      <c r="C5" t="s">
        <v>10</v>
      </c>
      <c r="D5" t="s">
        <v>9</v>
      </c>
      <c r="E5">
        <v>2008</v>
      </c>
      <c r="F5" s="3">
        <v>2515949.54</v>
      </c>
      <c r="G5" s="1">
        <v>86757</v>
      </c>
    </row>
    <row r="6" spans="1:7" x14ac:dyDescent="0.35">
      <c r="A6" t="s">
        <v>226</v>
      </c>
      <c r="B6" t="s">
        <v>10</v>
      </c>
      <c r="C6" t="s">
        <v>10</v>
      </c>
      <c r="D6" t="s">
        <v>198</v>
      </c>
      <c r="E6">
        <v>2008</v>
      </c>
      <c r="F6" s="3">
        <v>4881668.8499999996</v>
      </c>
      <c r="G6" s="3">
        <v>157473.19</v>
      </c>
    </row>
    <row r="7" spans="1:7" x14ac:dyDescent="0.35">
      <c r="A7" t="s">
        <v>12</v>
      </c>
      <c r="B7" t="s">
        <v>10</v>
      </c>
      <c r="C7" t="s">
        <v>10</v>
      </c>
      <c r="D7" t="s">
        <v>11</v>
      </c>
      <c r="E7">
        <v>2008</v>
      </c>
      <c r="F7" s="1">
        <v>2553060</v>
      </c>
      <c r="G7" s="3">
        <v>88036.56</v>
      </c>
    </row>
    <row r="8" spans="1:7" x14ac:dyDescent="0.35">
      <c r="A8" t="s">
        <v>69</v>
      </c>
      <c r="B8" t="s">
        <v>10</v>
      </c>
      <c r="C8" t="s">
        <v>10</v>
      </c>
      <c r="D8" t="s">
        <v>64</v>
      </c>
      <c r="E8">
        <v>2008</v>
      </c>
      <c r="F8" s="3">
        <v>2457094.46</v>
      </c>
      <c r="G8" s="3">
        <v>87753.37</v>
      </c>
    </row>
    <row r="9" spans="1:7" x14ac:dyDescent="0.35">
      <c r="A9" t="s">
        <v>13</v>
      </c>
      <c r="B9" t="s">
        <v>6</v>
      </c>
      <c r="C9" t="s">
        <v>131</v>
      </c>
      <c r="D9" t="s">
        <v>14</v>
      </c>
      <c r="E9">
        <v>2008</v>
      </c>
      <c r="F9" s="1">
        <v>9177666</v>
      </c>
      <c r="G9" s="3">
        <v>296053.73</v>
      </c>
    </row>
    <row r="10" spans="1:7" x14ac:dyDescent="0.35">
      <c r="A10" t="s">
        <v>15</v>
      </c>
      <c r="B10" t="s">
        <v>10</v>
      </c>
      <c r="C10" t="s">
        <v>10</v>
      </c>
      <c r="D10" t="s">
        <v>14</v>
      </c>
      <c r="E10">
        <v>2008</v>
      </c>
      <c r="F10" s="1">
        <v>9177666</v>
      </c>
      <c r="G10" s="3">
        <v>296053.73</v>
      </c>
    </row>
    <row r="11" spans="1:7" x14ac:dyDescent="0.35">
      <c r="A11" t="s">
        <v>227</v>
      </c>
      <c r="B11" t="s">
        <v>10</v>
      </c>
      <c r="C11" t="s">
        <v>10</v>
      </c>
      <c r="D11" t="s">
        <v>197</v>
      </c>
      <c r="E11">
        <v>2008</v>
      </c>
      <c r="F11" s="1">
        <v>2215296</v>
      </c>
      <c r="G11" s="3">
        <v>82047.98</v>
      </c>
    </row>
    <row r="12" spans="1:7" x14ac:dyDescent="0.35">
      <c r="A12" t="s">
        <v>16</v>
      </c>
      <c r="B12" t="s">
        <v>6</v>
      </c>
      <c r="C12" t="s">
        <v>132</v>
      </c>
      <c r="D12" t="s">
        <v>17</v>
      </c>
      <c r="E12">
        <v>2008</v>
      </c>
      <c r="F12" s="3">
        <v>3367589.2</v>
      </c>
      <c r="G12" s="3">
        <v>112252.97</v>
      </c>
    </row>
    <row r="13" spans="1:7" x14ac:dyDescent="0.35">
      <c r="A13" t="s">
        <v>66</v>
      </c>
      <c r="B13" t="s">
        <v>10</v>
      </c>
      <c r="C13" t="s">
        <v>10</v>
      </c>
      <c r="D13" t="s">
        <v>60</v>
      </c>
      <c r="E13">
        <v>2008</v>
      </c>
      <c r="F13" s="3">
        <v>2418376.3199999998</v>
      </c>
      <c r="G13" s="3">
        <v>86370.58</v>
      </c>
    </row>
    <row r="14" spans="1:7" x14ac:dyDescent="0.35">
      <c r="A14" t="s">
        <v>18</v>
      </c>
      <c r="B14" t="s">
        <v>10</v>
      </c>
      <c r="C14" t="s">
        <v>10</v>
      </c>
      <c r="D14" t="s">
        <v>19</v>
      </c>
      <c r="E14">
        <v>2008</v>
      </c>
      <c r="F14" s="3">
        <v>2503382.38</v>
      </c>
      <c r="G14" s="1">
        <v>92718</v>
      </c>
    </row>
    <row r="15" spans="1:7" x14ac:dyDescent="0.35">
      <c r="A15" t="s">
        <v>30</v>
      </c>
      <c r="B15" t="s">
        <v>10</v>
      </c>
      <c r="C15" t="s">
        <v>10</v>
      </c>
      <c r="D15" t="s">
        <v>24</v>
      </c>
      <c r="E15">
        <v>2008</v>
      </c>
      <c r="F15" s="3">
        <v>2551054</v>
      </c>
      <c r="G15" s="1">
        <v>98117</v>
      </c>
    </row>
    <row r="16" spans="1:7" x14ac:dyDescent="0.35">
      <c r="A16" t="s">
        <v>20</v>
      </c>
      <c r="B16" t="s">
        <v>10</v>
      </c>
      <c r="C16" t="s">
        <v>10</v>
      </c>
      <c r="D16" t="s">
        <v>21</v>
      </c>
      <c r="E16">
        <v>2008</v>
      </c>
      <c r="F16" s="3">
        <v>2726478.8</v>
      </c>
      <c r="G16" s="3">
        <v>109059.15</v>
      </c>
    </row>
    <row r="17" spans="1:7" x14ac:dyDescent="0.35">
      <c r="A17" t="s">
        <v>4</v>
      </c>
      <c r="B17" t="s">
        <v>6</v>
      </c>
      <c r="C17" t="s">
        <v>131</v>
      </c>
      <c r="D17" t="s">
        <v>5</v>
      </c>
      <c r="E17">
        <v>2009</v>
      </c>
      <c r="F17" s="1">
        <v>5134229</v>
      </c>
      <c r="G17" s="1">
        <v>213926</v>
      </c>
    </row>
    <row r="18" spans="1:7" x14ac:dyDescent="0.35">
      <c r="A18" t="s">
        <v>34</v>
      </c>
      <c r="B18" t="s">
        <v>10</v>
      </c>
      <c r="C18" t="s">
        <v>10</v>
      </c>
      <c r="D18" t="s">
        <v>218</v>
      </c>
      <c r="E18">
        <v>2009</v>
      </c>
      <c r="F18" s="1">
        <v>2449694</v>
      </c>
      <c r="G18" s="1">
        <v>81656</v>
      </c>
    </row>
    <row r="19" spans="1:7" x14ac:dyDescent="0.35">
      <c r="A19" t="s">
        <v>22</v>
      </c>
      <c r="B19" t="s">
        <v>10</v>
      </c>
      <c r="C19" t="s">
        <v>10</v>
      </c>
      <c r="D19" t="s">
        <v>23</v>
      </c>
      <c r="E19">
        <v>2009</v>
      </c>
      <c r="F19" s="1">
        <v>2903551</v>
      </c>
      <c r="G19" s="1">
        <v>116142</v>
      </c>
    </row>
    <row r="20" spans="1:7" x14ac:dyDescent="0.35">
      <c r="A20" t="s">
        <v>8</v>
      </c>
      <c r="B20" t="s">
        <v>10</v>
      </c>
      <c r="C20" t="s">
        <v>10</v>
      </c>
      <c r="D20" t="s">
        <v>9</v>
      </c>
      <c r="E20">
        <v>2009</v>
      </c>
      <c r="F20" s="3">
        <v>2430119.7000000002</v>
      </c>
      <c r="G20" s="1">
        <v>97205</v>
      </c>
    </row>
    <row r="21" spans="1:7" x14ac:dyDescent="0.35">
      <c r="A21" t="s">
        <v>226</v>
      </c>
      <c r="B21" t="s">
        <v>10</v>
      </c>
      <c r="C21" t="s">
        <v>10</v>
      </c>
      <c r="D21" t="s">
        <v>198</v>
      </c>
      <c r="E21">
        <v>2009</v>
      </c>
      <c r="F21" s="3">
        <v>3278865.3</v>
      </c>
      <c r="G21" s="3">
        <v>113064.32000000001</v>
      </c>
    </row>
    <row r="22" spans="1:7" x14ac:dyDescent="0.35">
      <c r="A22" t="s">
        <v>12</v>
      </c>
      <c r="B22" t="s">
        <v>10</v>
      </c>
      <c r="C22" t="s">
        <v>10</v>
      </c>
      <c r="D22" t="s">
        <v>11</v>
      </c>
      <c r="E22">
        <v>2009</v>
      </c>
      <c r="F22" s="1">
        <v>2695827</v>
      </c>
      <c r="G22" s="3">
        <v>103685.67</v>
      </c>
    </row>
    <row r="23" spans="1:7" x14ac:dyDescent="0.35">
      <c r="A23" t="s">
        <v>69</v>
      </c>
      <c r="B23" t="s">
        <v>10</v>
      </c>
      <c r="C23" t="s">
        <v>10</v>
      </c>
      <c r="D23" t="s">
        <v>64</v>
      </c>
      <c r="E23">
        <v>2009</v>
      </c>
      <c r="F23" s="3">
        <v>2614142.5499999998</v>
      </c>
      <c r="G23" s="3">
        <v>100543.94</v>
      </c>
    </row>
    <row r="24" spans="1:7" x14ac:dyDescent="0.35">
      <c r="A24" t="s">
        <v>15</v>
      </c>
      <c r="B24" t="s">
        <v>10</v>
      </c>
      <c r="C24" t="s">
        <v>10</v>
      </c>
      <c r="D24" t="s">
        <v>14</v>
      </c>
      <c r="E24">
        <v>2009</v>
      </c>
      <c r="F24" s="1">
        <v>9766007</v>
      </c>
      <c r="G24" s="3">
        <v>361703.95</v>
      </c>
    </row>
    <row r="25" spans="1:7" x14ac:dyDescent="0.35">
      <c r="A25" t="s">
        <v>227</v>
      </c>
      <c r="B25" t="s">
        <v>10</v>
      </c>
      <c r="C25" t="s">
        <v>10</v>
      </c>
      <c r="D25" t="s">
        <v>197</v>
      </c>
      <c r="E25">
        <v>2009</v>
      </c>
      <c r="F25" s="1">
        <v>2778004</v>
      </c>
      <c r="G25" s="3">
        <v>111120.15</v>
      </c>
    </row>
    <row r="26" spans="1:7" x14ac:dyDescent="0.35">
      <c r="A26" t="s">
        <v>16</v>
      </c>
      <c r="B26" t="s">
        <v>6</v>
      </c>
      <c r="C26" t="s">
        <v>132</v>
      </c>
      <c r="D26" t="s">
        <v>17</v>
      </c>
      <c r="E26">
        <v>2009</v>
      </c>
      <c r="F26" s="3">
        <v>3549338.37</v>
      </c>
      <c r="G26" s="3">
        <v>147889.1</v>
      </c>
    </row>
    <row r="27" spans="1:7" x14ac:dyDescent="0.35">
      <c r="A27" t="s">
        <v>66</v>
      </c>
      <c r="B27" t="s">
        <v>10</v>
      </c>
      <c r="C27" t="s">
        <v>10</v>
      </c>
      <c r="D27" t="s">
        <v>60</v>
      </c>
      <c r="E27">
        <v>2009</v>
      </c>
      <c r="F27" s="3">
        <v>2200041.58</v>
      </c>
      <c r="G27" s="3">
        <v>88001.66</v>
      </c>
    </row>
    <row r="28" spans="1:7" x14ac:dyDescent="0.35">
      <c r="A28" t="s">
        <v>25</v>
      </c>
      <c r="B28" t="s">
        <v>10</v>
      </c>
      <c r="C28" t="s">
        <v>10</v>
      </c>
      <c r="D28" t="s">
        <v>26</v>
      </c>
      <c r="E28">
        <v>2009</v>
      </c>
      <c r="F28" s="3">
        <v>3407212</v>
      </c>
      <c r="G28" s="1">
        <v>131047</v>
      </c>
    </row>
    <row r="29" spans="1:7" x14ac:dyDescent="0.35">
      <c r="A29" t="s">
        <v>18</v>
      </c>
      <c r="B29" t="s">
        <v>10</v>
      </c>
      <c r="C29" t="s">
        <v>10</v>
      </c>
      <c r="D29" t="s">
        <v>19</v>
      </c>
      <c r="E29">
        <v>2009</v>
      </c>
      <c r="F29" s="3">
        <v>2116203.75</v>
      </c>
      <c r="G29" s="1">
        <v>92009</v>
      </c>
    </row>
    <row r="30" spans="1:7" x14ac:dyDescent="0.35">
      <c r="A30" t="s">
        <v>109</v>
      </c>
      <c r="B30" t="s">
        <v>10</v>
      </c>
      <c r="C30" t="s">
        <v>10</v>
      </c>
      <c r="D30" t="s">
        <v>24</v>
      </c>
      <c r="E30">
        <v>2009</v>
      </c>
      <c r="F30" s="3">
        <v>2246548.38</v>
      </c>
      <c r="G30" s="1">
        <v>86406</v>
      </c>
    </row>
    <row r="31" spans="1:7" x14ac:dyDescent="0.35">
      <c r="A31" t="s">
        <v>20</v>
      </c>
      <c r="B31" t="s">
        <v>10</v>
      </c>
      <c r="C31" t="s">
        <v>10</v>
      </c>
      <c r="D31" t="s">
        <v>21</v>
      </c>
      <c r="E31">
        <v>2009</v>
      </c>
      <c r="F31" s="3">
        <v>4152167.05</v>
      </c>
      <c r="G31" s="3">
        <v>188734.87</v>
      </c>
    </row>
    <row r="32" spans="1:7" x14ac:dyDescent="0.35">
      <c r="A32" t="s">
        <v>27</v>
      </c>
      <c r="B32" t="s">
        <v>6</v>
      </c>
      <c r="C32" t="s">
        <v>132</v>
      </c>
      <c r="D32" t="s">
        <v>5</v>
      </c>
      <c r="E32">
        <v>2010</v>
      </c>
      <c r="F32" s="1">
        <v>5559104</v>
      </c>
      <c r="G32" s="1">
        <v>231629</v>
      </c>
    </row>
    <row r="33" spans="1:7" x14ac:dyDescent="0.35">
      <c r="A33" t="s">
        <v>28</v>
      </c>
      <c r="B33" t="s">
        <v>6</v>
      </c>
      <c r="C33" t="s">
        <v>132</v>
      </c>
      <c r="D33" t="s">
        <v>218</v>
      </c>
      <c r="E33">
        <v>2010</v>
      </c>
      <c r="F33" s="1">
        <v>2477548</v>
      </c>
      <c r="G33" s="1">
        <v>88484</v>
      </c>
    </row>
    <row r="34" spans="1:7" x14ac:dyDescent="0.35">
      <c r="A34" t="s">
        <v>22</v>
      </c>
      <c r="B34" t="s">
        <v>10</v>
      </c>
      <c r="C34" t="s">
        <v>10</v>
      </c>
      <c r="D34" t="s">
        <v>23</v>
      </c>
      <c r="E34">
        <v>2010</v>
      </c>
      <c r="F34" s="1">
        <v>2808204</v>
      </c>
      <c r="G34" s="1">
        <v>122096</v>
      </c>
    </row>
    <row r="35" spans="1:7" x14ac:dyDescent="0.35">
      <c r="A35" t="s">
        <v>8</v>
      </c>
      <c r="B35" t="s">
        <v>10</v>
      </c>
      <c r="C35" t="s">
        <v>10</v>
      </c>
      <c r="D35" t="s">
        <v>9</v>
      </c>
      <c r="E35">
        <v>2010</v>
      </c>
      <c r="F35" s="3">
        <v>2710113.89</v>
      </c>
      <c r="G35" s="1">
        <v>108405</v>
      </c>
    </row>
    <row r="36" spans="1:7" x14ac:dyDescent="0.35">
      <c r="A36" t="s">
        <v>30</v>
      </c>
      <c r="B36" t="s">
        <v>10</v>
      </c>
      <c r="C36" t="s">
        <v>10</v>
      </c>
      <c r="D36" t="s">
        <v>198</v>
      </c>
      <c r="E36">
        <v>2010</v>
      </c>
      <c r="F36" s="3">
        <v>2881530.44</v>
      </c>
      <c r="G36" s="3">
        <v>110828.09</v>
      </c>
    </row>
    <row r="37" spans="1:7" x14ac:dyDescent="0.35">
      <c r="A37" t="s">
        <v>31</v>
      </c>
      <c r="B37" t="s">
        <v>10</v>
      </c>
      <c r="C37" t="s">
        <v>10</v>
      </c>
      <c r="D37" t="s">
        <v>198</v>
      </c>
      <c r="E37">
        <v>2010</v>
      </c>
      <c r="F37" s="3">
        <v>2881530.44</v>
      </c>
      <c r="G37" s="3">
        <v>110828.09</v>
      </c>
    </row>
    <row r="38" spans="1:7" x14ac:dyDescent="0.35">
      <c r="A38" t="s">
        <v>12</v>
      </c>
      <c r="B38" t="s">
        <v>10</v>
      </c>
      <c r="C38" t="s">
        <v>10</v>
      </c>
      <c r="D38" t="s">
        <v>11</v>
      </c>
      <c r="E38">
        <v>2010</v>
      </c>
      <c r="F38" s="1">
        <v>2924318</v>
      </c>
      <c r="G38" s="3">
        <v>100838.56</v>
      </c>
    </row>
    <row r="39" spans="1:7" x14ac:dyDescent="0.35">
      <c r="A39" t="s">
        <v>69</v>
      </c>
      <c r="B39" t="s">
        <v>10</v>
      </c>
      <c r="C39" t="s">
        <v>10</v>
      </c>
      <c r="D39" t="s">
        <v>64</v>
      </c>
      <c r="E39">
        <v>2010</v>
      </c>
      <c r="F39" s="3">
        <v>2565875.04</v>
      </c>
      <c r="G39" s="3">
        <v>111559.78</v>
      </c>
    </row>
    <row r="40" spans="1:7" x14ac:dyDescent="0.35">
      <c r="A40" t="s">
        <v>15</v>
      </c>
      <c r="B40" t="s">
        <v>10</v>
      </c>
      <c r="C40" t="s">
        <v>10</v>
      </c>
      <c r="D40" t="s">
        <v>14</v>
      </c>
      <c r="E40">
        <v>2010</v>
      </c>
      <c r="F40" s="1">
        <v>10978594</v>
      </c>
      <c r="G40" s="3">
        <v>439143.74</v>
      </c>
    </row>
    <row r="41" spans="1:7" x14ac:dyDescent="0.35">
      <c r="A41" t="s">
        <v>227</v>
      </c>
      <c r="B41" t="s">
        <v>10</v>
      </c>
      <c r="C41" t="s">
        <v>10</v>
      </c>
      <c r="D41" t="s">
        <v>197</v>
      </c>
      <c r="E41">
        <v>2010</v>
      </c>
      <c r="F41" s="1">
        <v>2983033</v>
      </c>
      <c r="G41" s="3">
        <v>119321.32</v>
      </c>
    </row>
    <row r="42" spans="1:7" x14ac:dyDescent="0.35">
      <c r="A42" t="s">
        <v>32</v>
      </c>
      <c r="B42" t="s">
        <v>10</v>
      </c>
      <c r="C42" t="s">
        <v>10</v>
      </c>
      <c r="D42" t="s">
        <v>17</v>
      </c>
      <c r="E42">
        <v>2010</v>
      </c>
      <c r="F42" s="3">
        <v>15666639.41</v>
      </c>
      <c r="G42" s="3">
        <v>559522.84</v>
      </c>
    </row>
    <row r="43" spans="1:7" x14ac:dyDescent="0.35">
      <c r="A43" t="s">
        <v>33</v>
      </c>
      <c r="B43" t="s">
        <v>10</v>
      </c>
      <c r="C43" t="s">
        <v>10</v>
      </c>
      <c r="D43" t="s">
        <v>36</v>
      </c>
      <c r="E43">
        <v>2010</v>
      </c>
      <c r="F43" s="3">
        <v>2886399.58</v>
      </c>
      <c r="G43" s="1">
        <v>125496</v>
      </c>
    </row>
    <row r="44" spans="1:7" x14ac:dyDescent="0.35">
      <c r="A44" t="s">
        <v>66</v>
      </c>
      <c r="B44" t="s">
        <v>10</v>
      </c>
      <c r="C44" t="s">
        <v>10</v>
      </c>
      <c r="D44" t="s">
        <v>60</v>
      </c>
      <c r="E44">
        <v>2010</v>
      </c>
      <c r="F44" s="3">
        <v>2645721.91</v>
      </c>
      <c r="G44" s="3">
        <v>105828.88</v>
      </c>
    </row>
    <row r="45" spans="1:7" x14ac:dyDescent="0.35">
      <c r="A45" t="s">
        <v>25</v>
      </c>
      <c r="B45" t="s">
        <v>10</v>
      </c>
      <c r="C45" t="s">
        <v>10</v>
      </c>
      <c r="D45" t="s">
        <v>26</v>
      </c>
      <c r="E45">
        <v>2010</v>
      </c>
      <c r="F45" s="3">
        <v>3118103.54</v>
      </c>
      <c r="G45" s="1">
        <v>115485</v>
      </c>
    </row>
    <row r="46" spans="1:7" x14ac:dyDescent="0.35">
      <c r="A46" t="s">
        <v>18</v>
      </c>
      <c r="B46" t="s">
        <v>10</v>
      </c>
      <c r="C46" t="s">
        <v>10</v>
      </c>
      <c r="D46" t="s">
        <v>19</v>
      </c>
      <c r="E46">
        <v>2010</v>
      </c>
      <c r="F46" s="3">
        <v>2518590.08</v>
      </c>
      <c r="G46" s="1">
        <v>104941</v>
      </c>
    </row>
    <row r="47" spans="1:7" x14ac:dyDescent="0.35">
      <c r="A47" t="s">
        <v>109</v>
      </c>
      <c r="B47" t="s">
        <v>10</v>
      </c>
      <c r="C47" t="s">
        <v>10</v>
      </c>
      <c r="D47" t="s">
        <v>24</v>
      </c>
      <c r="E47">
        <v>2010</v>
      </c>
      <c r="F47" s="3">
        <v>2945107.17</v>
      </c>
      <c r="G47" s="1">
        <v>117804</v>
      </c>
    </row>
    <row r="48" spans="1:7" x14ac:dyDescent="0.35">
      <c r="A48" t="s">
        <v>34</v>
      </c>
      <c r="B48" t="s">
        <v>10</v>
      </c>
      <c r="C48" t="s">
        <v>10</v>
      </c>
      <c r="D48" t="s">
        <v>21</v>
      </c>
      <c r="E48">
        <v>2010</v>
      </c>
      <c r="F48" s="3">
        <v>5214381.05</v>
      </c>
      <c r="G48" s="3">
        <v>208575.24</v>
      </c>
    </row>
    <row r="49" spans="1:7" x14ac:dyDescent="0.35">
      <c r="A49" t="s">
        <v>18</v>
      </c>
      <c r="B49" t="s">
        <v>10</v>
      </c>
      <c r="C49" t="s">
        <v>10</v>
      </c>
      <c r="D49" t="s">
        <v>5</v>
      </c>
      <c r="E49">
        <v>2011</v>
      </c>
      <c r="F49" s="1">
        <v>3012683</v>
      </c>
      <c r="G49" s="1">
        <v>100423</v>
      </c>
    </row>
    <row r="50" spans="1:7" x14ac:dyDescent="0.35">
      <c r="A50" t="s">
        <v>37</v>
      </c>
      <c r="B50" t="s">
        <v>6</v>
      </c>
      <c r="C50" t="s">
        <v>131</v>
      </c>
      <c r="D50" t="s">
        <v>218</v>
      </c>
      <c r="E50">
        <v>2011</v>
      </c>
      <c r="F50" s="1">
        <v>3924919</v>
      </c>
      <c r="G50" s="1">
        <v>135342</v>
      </c>
    </row>
    <row r="51" spans="1:7" x14ac:dyDescent="0.35">
      <c r="A51" t="s">
        <v>22</v>
      </c>
      <c r="B51" t="s">
        <v>10</v>
      </c>
      <c r="C51" t="s">
        <v>10</v>
      </c>
      <c r="D51" t="s">
        <v>23</v>
      </c>
      <c r="E51">
        <v>2011</v>
      </c>
      <c r="F51" s="1">
        <v>3551415</v>
      </c>
      <c r="G51" s="1">
        <v>118380</v>
      </c>
    </row>
    <row r="52" spans="1:7" x14ac:dyDescent="0.35">
      <c r="A52" t="s">
        <v>8</v>
      </c>
      <c r="B52" t="s">
        <v>10</v>
      </c>
      <c r="C52" t="s">
        <v>10</v>
      </c>
      <c r="D52" t="s">
        <v>9</v>
      </c>
      <c r="E52">
        <v>2011</v>
      </c>
      <c r="F52" s="3">
        <v>3173078.72</v>
      </c>
      <c r="G52" s="1">
        <v>105769</v>
      </c>
    </row>
    <row r="53" spans="1:7" x14ac:dyDescent="0.35">
      <c r="A53" t="s">
        <v>31</v>
      </c>
      <c r="B53" t="s">
        <v>10</v>
      </c>
      <c r="C53" t="s">
        <v>10</v>
      </c>
      <c r="D53" t="s">
        <v>198</v>
      </c>
      <c r="E53">
        <v>2011</v>
      </c>
      <c r="F53" s="3">
        <v>3475415.17</v>
      </c>
      <c r="G53" s="3">
        <v>128719.08</v>
      </c>
    </row>
    <row r="54" spans="1:7" x14ac:dyDescent="0.35">
      <c r="A54" t="s">
        <v>12</v>
      </c>
      <c r="B54" t="s">
        <v>10</v>
      </c>
      <c r="C54" t="s">
        <v>10</v>
      </c>
      <c r="D54" t="s">
        <v>11</v>
      </c>
      <c r="E54">
        <v>2011</v>
      </c>
      <c r="F54" s="1">
        <v>3330729</v>
      </c>
      <c r="G54" s="3">
        <v>111024.3</v>
      </c>
    </row>
    <row r="55" spans="1:7" x14ac:dyDescent="0.35">
      <c r="A55" t="s">
        <v>69</v>
      </c>
      <c r="B55" t="s">
        <v>10</v>
      </c>
      <c r="C55" t="s">
        <v>10</v>
      </c>
      <c r="D55" t="s">
        <v>64</v>
      </c>
      <c r="E55">
        <v>2011</v>
      </c>
      <c r="F55" s="3">
        <v>3492155.24</v>
      </c>
      <c r="G55" s="3">
        <v>134313.66</v>
      </c>
    </row>
    <row r="56" spans="1:7" x14ac:dyDescent="0.35">
      <c r="A56" t="s">
        <v>15</v>
      </c>
      <c r="B56" t="s">
        <v>10</v>
      </c>
      <c r="C56" t="s">
        <v>10</v>
      </c>
      <c r="D56" t="s">
        <v>14</v>
      </c>
      <c r="E56">
        <v>2011</v>
      </c>
      <c r="F56" s="1">
        <v>14661979</v>
      </c>
      <c r="G56" s="3">
        <v>488732.63</v>
      </c>
    </row>
    <row r="57" spans="1:7" x14ac:dyDescent="0.35">
      <c r="A57" t="s">
        <v>227</v>
      </c>
      <c r="B57" t="s">
        <v>10</v>
      </c>
      <c r="C57" t="s">
        <v>10</v>
      </c>
      <c r="D57" t="s">
        <v>197</v>
      </c>
      <c r="E57">
        <v>2011</v>
      </c>
      <c r="F57" s="1">
        <v>2947386</v>
      </c>
      <c r="G57" s="3">
        <v>109162.46</v>
      </c>
    </row>
    <row r="58" spans="1:7" x14ac:dyDescent="0.35">
      <c r="A58" t="s">
        <v>32</v>
      </c>
      <c r="B58" t="s">
        <v>10</v>
      </c>
      <c r="C58" t="s">
        <v>10</v>
      </c>
      <c r="D58" t="s">
        <v>17</v>
      </c>
      <c r="E58">
        <v>2011</v>
      </c>
      <c r="F58" s="3">
        <v>13367747.369999999</v>
      </c>
      <c r="G58" s="3">
        <v>431217.66</v>
      </c>
    </row>
    <row r="59" spans="1:7" x14ac:dyDescent="0.35">
      <c r="A59" t="s">
        <v>33</v>
      </c>
      <c r="B59" t="s">
        <v>10</v>
      </c>
      <c r="C59" t="s">
        <v>10</v>
      </c>
      <c r="D59" t="s">
        <v>36</v>
      </c>
      <c r="E59">
        <v>2011</v>
      </c>
      <c r="F59" s="3">
        <v>3569981.17</v>
      </c>
      <c r="G59" s="1">
        <v>148749</v>
      </c>
    </row>
    <row r="60" spans="1:7" x14ac:dyDescent="0.35">
      <c r="A60" t="s">
        <v>38</v>
      </c>
      <c r="B60" t="s">
        <v>10</v>
      </c>
      <c r="C60" t="s">
        <v>10</v>
      </c>
      <c r="D60" t="s">
        <v>39</v>
      </c>
      <c r="E60">
        <v>2011</v>
      </c>
      <c r="F60" s="3">
        <v>2690690.92</v>
      </c>
      <c r="G60" s="1">
        <v>92782</v>
      </c>
    </row>
    <row r="61" spans="1:7" x14ac:dyDescent="0.35">
      <c r="A61" t="s">
        <v>66</v>
      </c>
      <c r="B61" t="s">
        <v>10</v>
      </c>
      <c r="C61" t="s">
        <v>10</v>
      </c>
      <c r="D61" t="s">
        <v>60</v>
      </c>
      <c r="E61">
        <v>2011</v>
      </c>
      <c r="F61" s="3">
        <v>3321694.76</v>
      </c>
      <c r="G61" s="3">
        <v>127757.49</v>
      </c>
    </row>
    <row r="62" spans="1:7" x14ac:dyDescent="0.35">
      <c r="A62" t="s">
        <v>25</v>
      </c>
      <c r="B62" t="s">
        <v>10</v>
      </c>
      <c r="C62" t="s">
        <v>10</v>
      </c>
      <c r="D62" t="s">
        <v>26</v>
      </c>
      <c r="E62">
        <v>2011</v>
      </c>
      <c r="F62" s="3">
        <v>3400133.23</v>
      </c>
      <c r="G62" s="1">
        <v>109682</v>
      </c>
    </row>
    <row r="63" spans="1:7" x14ac:dyDescent="0.35">
      <c r="A63" t="s">
        <v>18</v>
      </c>
      <c r="B63" t="s">
        <v>10</v>
      </c>
      <c r="C63" t="s">
        <v>10</v>
      </c>
      <c r="D63" t="s">
        <v>19</v>
      </c>
      <c r="E63">
        <v>2011</v>
      </c>
      <c r="F63" s="3">
        <v>2853603.71</v>
      </c>
      <c r="G63" s="1">
        <v>98400</v>
      </c>
    </row>
    <row r="64" spans="1:7" x14ac:dyDescent="0.35">
      <c r="A64" t="s">
        <v>109</v>
      </c>
      <c r="B64" t="s">
        <v>10</v>
      </c>
      <c r="C64" t="s">
        <v>10</v>
      </c>
      <c r="D64" t="s">
        <v>24</v>
      </c>
      <c r="E64">
        <v>2011</v>
      </c>
      <c r="F64" s="3">
        <v>3515259.06</v>
      </c>
      <c r="G64" s="1">
        <v>117175</v>
      </c>
    </row>
    <row r="65" spans="1:7" x14ac:dyDescent="0.35">
      <c r="A65" t="s">
        <v>40</v>
      </c>
      <c r="B65" t="s">
        <v>6</v>
      </c>
      <c r="C65" t="s">
        <v>131</v>
      </c>
      <c r="D65" t="s">
        <v>21</v>
      </c>
      <c r="E65">
        <v>2011</v>
      </c>
      <c r="F65" s="3">
        <v>6659618.8399999999</v>
      </c>
      <c r="G65" s="3">
        <v>201806.63</v>
      </c>
    </row>
    <row r="66" spans="1:7" x14ac:dyDescent="0.35">
      <c r="A66" t="s">
        <v>41</v>
      </c>
      <c r="B66" t="s">
        <v>10</v>
      </c>
      <c r="C66" t="s">
        <v>10</v>
      </c>
      <c r="D66" t="s">
        <v>42</v>
      </c>
      <c r="E66">
        <v>2011</v>
      </c>
      <c r="F66" s="3">
        <v>4004986.38</v>
      </c>
      <c r="G66" s="3">
        <v>133499.54999999999</v>
      </c>
    </row>
    <row r="67" spans="1:7" x14ac:dyDescent="0.35">
      <c r="A67" t="s">
        <v>18</v>
      </c>
      <c r="B67" t="s">
        <v>10</v>
      </c>
      <c r="C67" t="s">
        <v>10</v>
      </c>
      <c r="D67" t="s">
        <v>5</v>
      </c>
      <c r="E67">
        <v>2012</v>
      </c>
      <c r="F67" s="1">
        <v>4145876</v>
      </c>
      <c r="G67" s="1">
        <v>133738</v>
      </c>
    </row>
    <row r="68" spans="1:7" x14ac:dyDescent="0.35">
      <c r="A68" t="s">
        <v>37</v>
      </c>
      <c r="B68" t="s">
        <v>6</v>
      </c>
      <c r="C68" t="s">
        <v>131</v>
      </c>
      <c r="D68" t="s">
        <v>218</v>
      </c>
      <c r="E68">
        <v>2012</v>
      </c>
      <c r="F68" s="1">
        <v>3572342</v>
      </c>
      <c r="G68" s="1">
        <v>127584</v>
      </c>
    </row>
    <row r="69" spans="1:7" x14ac:dyDescent="0.35">
      <c r="A69" t="s">
        <v>22</v>
      </c>
      <c r="B69" t="s">
        <v>10</v>
      </c>
      <c r="C69" t="s">
        <v>10</v>
      </c>
      <c r="D69" t="s">
        <v>23</v>
      </c>
      <c r="E69">
        <v>2012</v>
      </c>
      <c r="F69" s="1">
        <v>3717509</v>
      </c>
      <c r="G69" s="1">
        <v>123917</v>
      </c>
    </row>
    <row r="70" spans="1:7" x14ac:dyDescent="0.35">
      <c r="A70" t="s">
        <v>43</v>
      </c>
      <c r="B70" t="s">
        <v>10</v>
      </c>
      <c r="C70" t="s">
        <v>10</v>
      </c>
      <c r="D70" t="s">
        <v>9</v>
      </c>
      <c r="E70">
        <v>2012</v>
      </c>
      <c r="F70" s="3">
        <v>3381885.75</v>
      </c>
      <c r="G70" s="1">
        <v>120782</v>
      </c>
    </row>
    <row r="71" spans="1:7" x14ac:dyDescent="0.35">
      <c r="A71" t="s">
        <v>31</v>
      </c>
      <c r="B71" t="s">
        <v>10</v>
      </c>
      <c r="C71" t="s">
        <v>10</v>
      </c>
      <c r="D71" t="s">
        <v>198</v>
      </c>
      <c r="E71">
        <v>2012</v>
      </c>
      <c r="F71" s="3">
        <v>4050726.99</v>
      </c>
      <c r="G71" s="3">
        <v>144668.82</v>
      </c>
    </row>
    <row r="72" spans="1:7" x14ac:dyDescent="0.35">
      <c r="A72" t="s">
        <v>12</v>
      </c>
      <c r="B72" t="s">
        <v>10</v>
      </c>
      <c r="C72" t="s">
        <v>10</v>
      </c>
      <c r="D72" t="s">
        <v>11</v>
      </c>
      <c r="E72">
        <v>2012</v>
      </c>
      <c r="F72" s="1">
        <v>5286674</v>
      </c>
      <c r="G72" s="3">
        <v>176222.47</v>
      </c>
    </row>
    <row r="73" spans="1:7" x14ac:dyDescent="0.35">
      <c r="A73" t="s">
        <v>69</v>
      </c>
      <c r="B73" t="s">
        <v>10</v>
      </c>
      <c r="C73" t="s">
        <v>10</v>
      </c>
      <c r="D73" t="s">
        <v>64</v>
      </c>
      <c r="E73">
        <v>2012</v>
      </c>
      <c r="F73" s="3">
        <v>3294091.91</v>
      </c>
      <c r="G73" s="3">
        <v>122003.4</v>
      </c>
    </row>
    <row r="74" spans="1:7" x14ac:dyDescent="0.35">
      <c r="A74" t="s">
        <v>15</v>
      </c>
      <c r="B74" t="s">
        <v>10</v>
      </c>
      <c r="C74" t="s">
        <v>10</v>
      </c>
      <c r="D74" t="s">
        <v>14</v>
      </c>
      <c r="E74">
        <v>2012</v>
      </c>
      <c r="F74" s="1">
        <v>12718531</v>
      </c>
      <c r="G74" s="3">
        <v>410275.21</v>
      </c>
    </row>
    <row r="75" spans="1:7" x14ac:dyDescent="0.35">
      <c r="A75" t="s">
        <v>44</v>
      </c>
      <c r="B75" t="s">
        <v>10</v>
      </c>
      <c r="C75" t="s">
        <v>10</v>
      </c>
      <c r="D75" t="s">
        <v>45</v>
      </c>
      <c r="E75">
        <v>2012</v>
      </c>
      <c r="F75" s="3">
        <v>4751369.58</v>
      </c>
      <c r="G75" s="1">
        <v>169692</v>
      </c>
    </row>
    <row r="76" spans="1:7" x14ac:dyDescent="0.35">
      <c r="A76" t="s">
        <v>46</v>
      </c>
      <c r="B76" t="s">
        <v>10</v>
      </c>
      <c r="C76" t="s">
        <v>10</v>
      </c>
      <c r="D76" t="s">
        <v>197</v>
      </c>
      <c r="E76">
        <v>2012</v>
      </c>
      <c r="F76" s="1">
        <v>2639981</v>
      </c>
      <c r="G76" s="3">
        <v>101537.75</v>
      </c>
    </row>
    <row r="77" spans="1:7" x14ac:dyDescent="0.35">
      <c r="A77" t="s">
        <v>32</v>
      </c>
      <c r="B77" t="s">
        <v>10</v>
      </c>
      <c r="C77" t="s">
        <v>10</v>
      </c>
      <c r="D77" t="s">
        <v>17</v>
      </c>
      <c r="E77">
        <v>2012</v>
      </c>
      <c r="F77" s="3">
        <v>16728107.800000001</v>
      </c>
      <c r="G77" s="3">
        <v>597432.42000000004</v>
      </c>
    </row>
    <row r="78" spans="1:7" x14ac:dyDescent="0.35">
      <c r="A78" t="s">
        <v>47</v>
      </c>
      <c r="B78" t="s">
        <v>10</v>
      </c>
      <c r="C78" t="s">
        <v>10</v>
      </c>
      <c r="D78" t="s">
        <v>36</v>
      </c>
      <c r="E78">
        <v>2012</v>
      </c>
      <c r="F78" s="3">
        <v>3356310.25</v>
      </c>
      <c r="G78" s="1">
        <v>119868</v>
      </c>
    </row>
    <row r="79" spans="1:7" x14ac:dyDescent="0.35">
      <c r="A79" t="s">
        <v>38</v>
      </c>
      <c r="B79" t="s">
        <v>10</v>
      </c>
      <c r="C79" t="s">
        <v>10</v>
      </c>
      <c r="D79" t="s">
        <v>39</v>
      </c>
      <c r="E79">
        <v>2012</v>
      </c>
      <c r="F79" s="3">
        <v>4505210.67</v>
      </c>
      <c r="G79" s="1">
        <v>140788</v>
      </c>
    </row>
    <row r="80" spans="1:7" x14ac:dyDescent="0.35">
      <c r="A80" t="s">
        <v>66</v>
      </c>
      <c r="B80" t="s">
        <v>10</v>
      </c>
      <c r="C80" t="s">
        <v>10</v>
      </c>
      <c r="D80" t="s">
        <v>60</v>
      </c>
      <c r="E80">
        <v>2012</v>
      </c>
      <c r="F80" s="3">
        <v>3581445.29</v>
      </c>
      <c r="G80" s="3">
        <v>137747.9</v>
      </c>
    </row>
    <row r="81" spans="1:7" x14ac:dyDescent="0.35">
      <c r="A81" t="s">
        <v>25</v>
      </c>
      <c r="B81" t="s">
        <v>10</v>
      </c>
      <c r="C81" t="s">
        <v>10</v>
      </c>
      <c r="D81" t="s">
        <v>26</v>
      </c>
      <c r="E81">
        <v>2012</v>
      </c>
      <c r="F81" s="3">
        <v>4224310.6500000004</v>
      </c>
      <c r="G81" s="1">
        <v>132010</v>
      </c>
    </row>
    <row r="82" spans="1:7" x14ac:dyDescent="0.35">
      <c r="A82" t="s">
        <v>18</v>
      </c>
      <c r="B82" t="s">
        <v>10</v>
      </c>
      <c r="C82" t="s">
        <v>10</v>
      </c>
      <c r="D82" t="s">
        <v>19</v>
      </c>
      <c r="E82">
        <v>2012</v>
      </c>
      <c r="F82" s="3">
        <v>3174895.53</v>
      </c>
      <c r="G82" s="1">
        <v>105830</v>
      </c>
    </row>
    <row r="83" spans="1:7" x14ac:dyDescent="0.35">
      <c r="A83" t="s">
        <v>109</v>
      </c>
      <c r="B83" t="s">
        <v>10</v>
      </c>
      <c r="C83" t="s">
        <v>10</v>
      </c>
      <c r="D83" t="s">
        <v>24</v>
      </c>
      <c r="E83">
        <v>2012</v>
      </c>
      <c r="F83" s="3">
        <v>3226599.37</v>
      </c>
      <c r="G83" s="1">
        <v>111262</v>
      </c>
    </row>
    <row r="84" spans="1:7" x14ac:dyDescent="0.35">
      <c r="A84" t="s">
        <v>48</v>
      </c>
      <c r="B84" t="s">
        <v>10</v>
      </c>
      <c r="C84" t="s">
        <v>10</v>
      </c>
      <c r="D84" t="s">
        <v>21</v>
      </c>
      <c r="E84">
        <v>2012</v>
      </c>
      <c r="F84" s="3">
        <v>7402623.6699999999</v>
      </c>
      <c r="G84" s="3">
        <v>264379.42</v>
      </c>
    </row>
    <row r="85" spans="1:7" x14ac:dyDescent="0.35">
      <c r="A85" t="s">
        <v>49</v>
      </c>
      <c r="B85" t="s">
        <v>10</v>
      </c>
      <c r="C85" t="s">
        <v>10</v>
      </c>
      <c r="D85" t="s">
        <v>42</v>
      </c>
      <c r="E85">
        <v>2012</v>
      </c>
      <c r="F85" s="3">
        <v>5216754.95</v>
      </c>
      <c r="G85" s="3">
        <v>186312.68</v>
      </c>
    </row>
    <row r="86" spans="1:7" x14ac:dyDescent="0.35">
      <c r="A86" t="s">
        <v>18</v>
      </c>
      <c r="B86" t="s">
        <v>10</v>
      </c>
      <c r="C86" t="s">
        <v>10</v>
      </c>
      <c r="D86" t="s">
        <v>5</v>
      </c>
      <c r="E86">
        <v>2013</v>
      </c>
      <c r="F86" s="1">
        <v>5857982</v>
      </c>
      <c r="G86" s="1">
        <v>167371</v>
      </c>
    </row>
    <row r="87" spans="1:7" x14ac:dyDescent="0.35">
      <c r="A87" t="s">
        <v>50</v>
      </c>
      <c r="B87" t="s">
        <v>6</v>
      </c>
      <c r="C87" t="s">
        <v>132</v>
      </c>
      <c r="D87" t="s">
        <v>218</v>
      </c>
      <c r="E87">
        <v>2013</v>
      </c>
      <c r="F87" s="1">
        <v>3318337</v>
      </c>
      <c r="G87" s="1">
        <v>89685</v>
      </c>
    </row>
    <row r="88" spans="1:7" x14ac:dyDescent="0.35">
      <c r="A88" t="s">
        <v>22</v>
      </c>
      <c r="B88" t="s">
        <v>10</v>
      </c>
      <c r="C88" t="s">
        <v>10</v>
      </c>
      <c r="D88" t="s">
        <v>23</v>
      </c>
      <c r="E88">
        <v>2013</v>
      </c>
      <c r="F88" s="1">
        <v>3642001</v>
      </c>
      <c r="G88" s="1">
        <v>121400</v>
      </c>
    </row>
    <row r="89" spans="1:7" x14ac:dyDescent="0.35">
      <c r="A89" t="s">
        <v>43</v>
      </c>
      <c r="B89" t="s">
        <v>10</v>
      </c>
      <c r="C89" t="s">
        <v>10</v>
      </c>
      <c r="D89" t="s">
        <v>9</v>
      </c>
      <c r="E89">
        <v>2013</v>
      </c>
      <c r="F89" s="1">
        <v>3880513</v>
      </c>
      <c r="G89" s="1">
        <v>121266</v>
      </c>
    </row>
    <row r="90" spans="1:7" x14ac:dyDescent="0.35">
      <c r="A90" t="s">
        <v>31</v>
      </c>
      <c r="B90" t="s">
        <v>10</v>
      </c>
      <c r="C90" t="s">
        <v>10</v>
      </c>
      <c r="D90" t="s">
        <v>198</v>
      </c>
      <c r="E90">
        <v>2013</v>
      </c>
      <c r="F90" s="1">
        <v>4372406</v>
      </c>
      <c r="G90" s="1">
        <v>128600</v>
      </c>
    </row>
    <row r="91" spans="1:7" x14ac:dyDescent="0.35">
      <c r="A91" t="s">
        <v>12</v>
      </c>
      <c r="B91" t="s">
        <v>10</v>
      </c>
      <c r="C91" t="s">
        <v>10</v>
      </c>
      <c r="D91" t="s">
        <v>11</v>
      </c>
      <c r="E91">
        <v>2013</v>
      </c>
      <c r="F91" s="1">
        <v>4792735</v>
      </c>
      <c r="G91" s="1">
        <v>145234</v>
      </c>
    </row>
    <row r="92" spans="1:7" x14ac:dyDescent="0.35">
      <c r="A92" t="s">
        <v>69</v>
      </c>
      <c r="B92" t="s">
        <v>10</v>
      </c>
      <c r="C92" t="s">
        <v>10</v>
      </c>
      <c r="D92" t="s">
        <v>64</v>
      </c>
      <c r="E92">
        <v>2013</v>
      </c>
      <c r="F92" s="1">
        <v>3907140</v>
      </c>
      <c r="G92" s="1">
        <v>134729</v>
      </c>
    </row>
    <row r="93" spans="1:7" x14ac:dyDescent="0.35">
      <c r="A93" t="s">
        <v>15</v>
      </c>
      <c r="B93" t="s">
        <v>10</v>
      </c>
      <c r="C93" t="s">
        <v>10</v>
      </c>
      <c r="D93" t="s">
        <v>14</v>
      </c>
      <c r="E93">
        <v>2013</v>
      </c>
      <c r="F93" s="1">
        <v>10103326</v>
      </c>
      <c r="G93" s="1">
        <v>315729</v>
      </c>
    </row>
    <row r="94" spans="1:7" x14ac:dyDescent="0.35">
      <c r="A94" t="s">
        <v>51</v>
      </c>
      <c r="B94" t="s">
        <v>10</v>
      </c>
      <c r="C94" t="s">
        <v>10</v>
      </c>
      <c r="D94" t="s">
        <v>45</v>
      </c>
      <c r="E94">
        <v>2013</v>
      </c>
      <c r="F94" s="1">
        <v>5828958</v>
      </c>
      <c r="G94" s="1">
        <v>182155</v>
      </c>
    </row>
    <row r="95" spans="1:7" x14ac:dyDescent="0.35">
      <c r="A95" t="s">
        <v>46</v>
      </c>
      <c r="B95" t="s">
        <v>10</v>
      </c>
      <c r="C95" t="s">
        <v>10</v>
      </c>
      <c r="D95" t="s">
        <v>197</v>
      </c>
      <c r="E95">
        <v>2013</v>
      </c>
      <c r="F95" s="1">
        <v>3760218</v>
      </c>
      <c r="G95" s="1">
        <v>117507</v>
      </c>
    </row>
    <row r="96" spans="1:7" x14ac:dyDescent="0.35">
      <c r="A96" t="s">
        <v>52</v>
      </c>
      <c r="B96" t="s">
        <v>10</v>
      </c>
      <c r="C96" t="s">
        <v>10</v>
      </c>
      <c r="D96" t="s">
        <v>17</v>
      </c>
      <c r="E96">
        <v>2013</v>
      </c>
      <c r="F96" s="1">
        <v>11374456</v>
      </c>
      <c r="G96" s="1">
        <v>355452</v>
      </c>
    </row>
    <row r="97" spans="1:7" x14ac:dyDescent="0.35">
      <c r="A97" t="s">
        <v>47</v>
      </c>
      <c r="B97" t="s">
        <v>10</v>
      </c>
      <c r="C97" t="s">
        <v>10</v>
      </c>
      <c r="D97" t="s">
        <v>36</v>
      </c>
      <c r="E97">
        <v>2013</v>
      </c>
      <c r="F97" s="1">
        <v>4090962</v>
      </c>
      <c r="G97" s="1">
        <v>123969</v>
      </c>
    </row>
    <row r="98" spans="1:7" x14ac:dyDescent="0.35">
      <c r="A98" t="s">
        <v>53</v>
      </c>
      <c r="B98" t="s">
        <v>10</v>
      </c>
      <c r="C98" t="s">
        <v>10</v>
      </c>
      <c r="D98" t="s">
        <v>39</v>
      </c>
      <c r="E98">
        <v>2013</v>
      </c>
      <c r="F98" s="1">
        <v>3926776</v>
      </c>
      <c r="G98" s="1">
        <v>118993</v>
      </c>
    </row>
    <row r="99" spans="1:7" x14ac:dyDescent="0.35">
      <c r="A99" t="s">
        <v>66</v>
      </c>
      <c r="B99" t="s">
        <v>10</v>
      </c>
      <c r="C99" t="s">
        <v>10</v>
      </c>
      <c r="D99" t="s">
        <v>60</v>
      </c>
      <c r="E99">
        <v>2013</v>
      </c>
      <c r="F99" s="1">
        <v>3979883</v>
      </c>
      <c r="G99" s="1">
        <v>124371</v>
      </c>
    </row>
    <row r="100" spans="1:7" x14ac:dyDescent="0.35">
      <c r="A100" t="s">
        <v>25</v>
      </c>
      <c r="B100" t="s">
        <v>10</v>
      </c>
      <c r="C100" t="s">
        <v>10</v>
      </c>
      <c r="D100" t="s">
        <v>26</v>
      </c>
      <c r="E100">
        <v>2013</v>
      </c>
      <c r="F100" s="1">
        <v>10746779</v>
      </c>
      <c r="G100" s="1">
        <v>316082</v>
      </c>
    </row>
    <row r="101" spans="1:7" x14ac:dyDescent="0.35">
      <c r="A101" t="s">
        <v>54</v>
      </c>
      <c r="B101" t="s">
        <v>10</v>
      </c>
      <c r="C101" t="s">
        <v>10</v>
      </c>
      <c r="D101" t="s">
        <v>19</v>
      </c>
      <c r="E101">
        <v>2013</v>
      </c>
      <c r="F101" s="1">
        <v>3913166</v>
      </c>
      <c r="G101" s="1">
        <v>118581</v>
      </c>
    </row>
    <row r="102" spans="1:7" x14ac:dyDescent="0.35">
      <c r="A102" t="s">
        <v>109</v>
      </c>
      <c r="B102" t="s">
        <v>10</v>
      </c>
      <c r="C102" t="s">
        <v>10</v>
      </c>
      <c r="D102" t="s">
        <v>24</v>
      </c>
      <c r="E102">
        <v>2013</v>
      </c>
      <c r="F102" s="1">
        <v>4145694</v>
      </c>
      <c r="G102" s="1">
        <v>121932</v>
      </c>
    </row>
    <row r="103" spans="1:7" x14ac:dyDescent="0.35">
      <c r="A103" t="s">
        <v>55</v>
      </c>
      <c r="B103" t="s">
        <v>10</v>
      </c>
      <c r="C103" t="s">
        <v>10</v>
      </c>
      <c r="D103" t="s">
        <v>21</v>
      </c>
      <c r="E103">
        <v>2013</v>
      </c>
      <c r="F103" s="1">
        <v>5781508</v>
      </c>
      <c r="G103" s="1">
        <v>152145</v>
      </c>
    </row>
    <row r="104" spans="1:7" x14ac:dyDescent="0.35">
      <c r="A104" t="s">
        <v>49</v>
      </c>
      <c r="B104" t="s">
        <v>10</v>
      </c>
      <c r="C104" t="s">
        <v>10</v>
      </c>
      <c r="D104" t="s">
        <v>42</v>
      </c>
      <c r="E104">
        <v>2013</v>
      </c>
      <c r="F104" s="1">
        <v>5017296</v>
      </c>
      <c r="G104" s="1">
        <v>156791</v>
      </c>
    </row>
    <row r="105" spans="1:7" x14ac:dyDescent="0.35">
      <c r="A105" t="s">
        <v>18</v>
      </c>
      <c r="B105" t="s">
        <v>10</v>
      </c>
      <c r="C105" t="s">
        <v>10</v>
      </c>
      <c r="D105" t="s">
        <v>5</v>
      </c>
      <c r="E105">
        <v>2014</v>
      </c>
      <c r="F105" s="1">
        <v>4268457</v>
      </c>
      <c r="G105" s="1">
        <v>129347</v>
      </c>
    </row>
    <row r="106" spans="1:7" x14ac:dyDescent="0.35">
      <c r="A106" t="s">
        <v>56</v>
      </c>
      <c r="B106" t="s">
        <v>6</v>
      </c>
      <c r="C106" t="s">
        <v>132</v>
      </c>
      <c r="D106" t="s">
        <v>218</v>
      </c>
      <c r="E106">
        <v>2014</v>
      </c>
      <c r="F106" s="1">
        <v>4542924</v>
      </c>
      <c r="G106" s="1">
        <v>119551</v>
      </c>
    </row>
    <row r="107" spans="1:7" x14ac:dyDescent="0.35">
      <c r="A107" t="s">
        <v>58</v>
      </c>
      <c r="B107" t="s">
        <v>10</v>
      </c>
      <c r="C107" t="s">
        <v>10</v>
      </c>
      <c r="D107" t="s">
        <v>23</v>
      </c>
      <c r="E107">
        <v>2014</v>
      </c>
      <c r="F107" s="1">
        <v>4111893</v>
      </c>
      <c r="G107" s="1">
        <v>124603</v>
      </c>
    </row>
    <row r="108" spans="1:7" x14ac:dyDescent="0.35">
      <c r="A108" t="s">
        <v>57</v>
      </c>
      <c r="B108" t="s">
        <v>6</v>
      </c>
      <c r="C108" t="s">
        <v>132</v>
      </c>
      <c r="D108" t="s">
        <v>9</v>
      </c>
      <c r="E108">
        <v>2014</v>
      </c>
      <c r="F108" s="1">
        <v>3871134</v>
      </c>
      <c r="G108" s="1">
        <v>120973</v>
      </c>
    </row>
    <row r="109" spans="1:7" x14ac:dyDescent="0.35">
      <c r="A109" t="s">
        <v>31</v>
      </c>
      <c r="B109" t="s">
        <v>10</v>
      </c>
      <c r="C109" t="s">
        <v>10</v>
      </c>
      <c r="D109" t="s">
        <v>198</v>
      </c>
      <c r="E109">
        <v>2014</v>
      </c>
      <c r="F109" s="1">
        <v>4178583</v>
      </c>
      <c r="G109" s="1">
        <v>130581</v>
      </c>
    </row>
    <row r="110" spans="1:7" x14ac:dyDescent="0.35">
      <c r="A110" t="s">
        <v>43</v>
      </c>
      <c r="B110" t="s">
        <v>10</v>
      </c>
      <c r="C110" t="s">
        <v>10</v>
      </c>
      <c r="D110" t="s">
        <v>11</v>
      </c>
      <c r="E110">
        <v>2014</v>
      </c>
      <c r="F110" s="1">
        <v>4856662</v>
      </c>
      <c r="G110" s="1">
        <v>147172</v>
      </c>
    </row>
    <row r="111" spans="1:7" x14ac:dyDescent="0.35">
      <c r="A111" t="s">
        <v>69</v>
      </c>
      <c r="B111" t="s">
        <v>10</v>
      </c>
      <c r="C111" t="s">
        <v>10</v>
      </c>
      <c r="D111" t="s">
        <v>64</v>
      </c>
      <c r="E111">
        <v>2014</v>
      </c>
      <c r="F111" s="1">
        <v>4582382</v>
      </c>
      <c r="G111" s="1">
        <v>169718</v>
      </c>
    </row>
    <row r="112" spans="1:7" x14ac:dyDescent="0.35">
      <c r="A112" t="s">
        <v>15</v>
      </c>
      <c r="B112" t="s">
        <v>10</v>
      </c>
      <c r="C112" t="s">
        <v>10</v>
      </c>
      <c r="D112" t="s">
        <v>14</v>
      </c>
      <c r="E112">
        <v>2014</v>
      </c>
      <c r="F112" s="1">
        <v>13258411</v>
      </c>
      <c r="G112" s="1">
        <v>414325</v>
      </c>
    </row>
    <row r="113" spans="1:7" x14ac:dyDescent="0.35">
      <c r="A113" t="s">
        <v>35</v>
      </c>
      <c r="B113" t="s">
        <v>10</v>
      </c>
      <c r="C113" t="s">
        <v>10</v>
      </c>
      <c r="D113" t="s">
        <v>45</v>
      </c>
      <c r="E113">
        <v>2014</v>
      </c>
      <c r="F113" s="1">
        <v>7325651</v>
      </c>
      <c r="G113" s="1">
        <v>197991</v>
      </c>
    </row>
    <row r="114" spans="1:7" x14ac:dyDescent="0.35">
      <c r="A114" t="s">
        <v>46</v>
      </c>
      <c r="B114" t="s">
        <v>10</v>
      </c>
      <c r="C114" t="s">
        <v>10</v>
      </c>
      <c r="D114" t="s">
        <v>197</v>
      </c>
      <c r="E114">
        <v>2014</v>
      </c>
      <c r="F114" s="1">
        <v>7473824</v>
      </c>
      <c r="G114" s="1">
        <v>226480</v>
      </c>
    </row>
    <row r="115" spans="1:7" x14ac:dyDescent="0.35">
      <c r="A115" t="s">
        <v>52</v>
      </c>
      <c r="B115" t="s">
        <v>10</v>
      </c>
      <c r="C115" t="s">
        <v>10</v>
      </c>
      <c r="D115" t="s">
        <v>17</v>
      </c>
      <c r="E115">
        <v>2014</v>
      </c>
      <c r="F115" s="1">
        <v>11509474</v>
      </c>
      <c r="G115" s="1">
        <v>383649</v>
      </c>
    </row>
    <row r="116" spans="1:7" x14ac:dyDescent="0.35">
      <c r="A116" t="s">
        <v>228</v>
      </c>
      <c r="B116" t="s">
        <v>10</v>
      </c>
      <c r="C116" t="s">
        <v>10</v>
      </c>
      <c r="D116" t="s">
        <v>36</v>
      </c>
      <c r="E116">
        <v>2014</v>
      </c>
      <c r="F116" s="1">
        <v>4524928</v>
      </c>
      <c r="G116" s="1">
        <v>141404</v>
      </c>
    </row>
    <row r="117" spans="1:7" x14ac:dyDescent="0.35">
      <c r="A117" t="s">
        <v>53</v>
      </c>
      <c r="B117" t="s">
        <v>10</v>
      </c>
      <c r="C117" t="s">
        <v>10</v>
      </c>
      <c r="D117" t="s">
        <v>39</v>
      </c>
      <c r="E117">
        <v>2014</v>
      </c>
      <c r="F117" s="1">
        <v>5770636</v>
      </c>
      <c r="G117" s="1">
        <v>174868</v>
      </c>
    </row>
    <row r="118" spans="1:7" x14ac:dyDescent="0.35">
      <c r="A118" t="s">
        <v>59</v>
      </c>
      <c r="B118" t="s">
        <v>10</v>
      </c>
      <c r="C118" t="s">
        <v>10</v>
      </c>
      <c r="D118" t="s">
        <v>60</v>
      </c>
      <c r="E118">
        <v>2014</v>
      </c>
      <c r="F118" s="1">
        <v>4058631</v>
      </c>
      <c r="G118" s="1">
        <v>139953</v>
      </c>
    </row>
    <row r="119" spans="1:7" x14ac:dyDescent="0.35">
      <c r="A119" t="s">
        <v>25</v>
      </c>
      <c r="B119" t="s">
        <v>10</v>
      </c>
      <c r="C119" t="s">
        <v>10</v>
      </c>
      <c r="D119" t="s">
        <v>26</v>
      </c>
      <c r="E119">
        <v>2014</v>
      </c>
      <c r="F119" s="1">
        <v>11884091</v>
      </c>
      <c r="G119" s="1">
        <v>360124</v>
      </c>
    </row>
    <row r="120" spans="1:7" x14ac:dyDescent="0.35">
      <c r="A120" t="s">
        <v>54</v>
      </c>
      <c r="B120" t="s">
        <v>10</v>
      </c>
      <c r="C120" t="s">
        <v>10</v>
      </c>
      <c r="D120" t="s">
        <v>19</v>
      </c>
      <c r="E120">
        <v>2014</v>
      </c>
      <c r="F120" s="1">
        <v>4641172</v>
      </c>
      <c r="G120" s="1">
        <v>145037</v>
      </c>
    </row>
    <row r="121" spans="1:7" x14ac:dyDescent="0.35">
      <c r="A121" t="s">
        <v>109</v>
      </c>
      <c r="B121" t="s">
        <v>10</v>
      </c>
      <c r="C121" t="s">
        <v>10</v>
      </c>
      <c r="D121" t="s">
        <v>24</v>
      </c>
      <c r="E121">
        <v>2014</v>
      </c>
      <c r="F121" s="1">
        <v>4644505</v>
      </c>
      <c r="G121" s="1">
        <v>145141</v>
      </c>
    </row>
    <row r="122" spans="1:7" x14ac:dyDescent="0.35">
      <c r="A122" t="s">
        <v>61</v>
      </c>
      <c r="B122" t="s">
        <v>10</v>
      </c>
      <c r="C122" t="s">
        <v>10</v>
      </c>
      <c r="D122" t="s">
        <v>21</v>
      </c>
      <c r="E122">
        <v>2014</v>
      </c>
      <c r="F122" s="1">
        <v>17284545</v>
      </c>
      <c r="G122" s="1">
        <v>523774</v>
      </c>
    </row>
    <row r="123" spans="1:7" x14ac:dyDescent="0.35">
      <c r="A123" t="s">
        <v>62</v>
      </c>
      <c r="B123" t="s">
        <v>10</v>
      </c>
      <c r="C123" t="s">
        <v>10</v>
      </c>
      <c r="D123" t="s">
        <v>42</v>
      </c>
      <c r="E123">
        <v>2014</v>
      </c>
      <c r="F123" s="1">
        <v>6851433</v>
      </c>
      <c r="G123" s="1">
        <v>207619</v>
      </c>
    </row>
    <row r="124" spans="1:7" x14ac:dyDescent="0.35">
      <c r="A124" t="s">
        <v>18</v>
      </c>
      <c r="B124" t="s">
        <v>10</v>
      </c>
      <c r="C124" t="s">
        <v>10</v>
      </c>
      <c r="D124" t="s">
        <v>5</v>
      </c>
      <c r="E124">
        <v>2015</v>
      </c>
      <c r="F124" s="1">
        <v>7564614</v>
      </c>
      <c r="G124" s="1">
        <v>270165</v>
      </c>
    </row>
    <row r="125" spans="1:7" x14ac:dyDescent="0.35">
      <c r="A125" t="s">
        <v>58</v>
      </c>
      <c r="B125" t="s">
        <v>10</v>
      </c>
      <c r="C125" t="s">
        <v>10</v>
      </c>
      <c r="D125" t="s">
        <v>23</v>
      </c>
      <c r="E125">
        <v>2015</v>
      </c>
      <c r="F125" s="1">
        <v>5855122</v>
      </c>
      <c r="G125" s="1">
        <v>188875</v>
      </c>
    </row>
    <row r="126" spans="1:7" x14ac:dyDescent="0.35">
      <c r="A126" t="s">
        <v>57</v>
      </c>
      <c r="B126" t="s">
        <v>10</v>
      </c>
      <c r="C126" t="s">
        <v>10</v>
      </c>
      <c r="D126" t="s">
        <v>9</v>
      </c>
      <c r="E126">
        <v>2015</v>
      </c>
      <c r="F126" s="1">
        <v>5187407</v>
      </c>
      <c r="G126" s="1">
        <v>167336</v>
      </c>
    </row>
    <row r="127" spans="1:7" x14ac:dyDescent="0.35">
      <c r="A127" t="s">
        <v>31</v>
      </c>
      <c r="B127" t="s">
        <v>6</v>
      </c>
      <c r="C127" t="s">
        <v>132</v>
      </c>
      <c r="D127" t="s">
        <v>198</v>
      </c>
      <c r="E127">
        <v>2015</v>
      </c>
      <c r="F127" s="1">
        <v>4349764</v>
      </c>
      <c r="G127" s="1">
        <v>161102</v>
      </c>
    </row>
    <row r="128" spans="1:7" x14ac:dyDescent="0.35">
      <c r="A128" t="s">
        <v>43</v>
      </c>
      <c r="B128" t="s">
        <v>10</v>
      </c>
      <c r="C128" t="s">
        <v>10</v>
      </c>
      <c r="D128" t="s">
        <v>11</v>
      </c>
      <c r="E128">
        <v>2015</v>
      </c>
      <c r="F128" s="1">
        <v>4098292</v>
      </c>
      <c r="G128" s="1">
        <v>151789</v>
      </c>
    </row>
    <row r="129" spans="1:7" x14ac:dyDescent="0.35">
      <c r="A129" t="s">
        <v>63</v>
      </c>
      <c r="B129" t="s">
        <v>10</v>
      </c>
      <c r="C129" t="s">
        <v>10</v>
      </c>
      <c r="D129" t="s">
        <v>64</v>
      </c>
      <c r="E129">
        <v>2015</v>
      </c>
      <c r="F129" s="1">
        <v>5121708</v>
      </c>
      <c r="G129" s="1">
        <v>182918</v>
      </c>
    </row>
    <row r="130" spans="1:7" x14ac:dyDescent="0.35">
      <c r="A130" t="s">
        <v>15</v>
      </c>
      <c r="B130" t="s">
        <v>10</v>
      </c>
      <c r="C130" t="s">
        <v>10</v>
      </c>
      <c r="D130" t="s">
        <v>14</v>
      </c>
      <c r="E130">
        <v>2015</v>
      </c>
      <c r="F130" s="1">
        <v>21445700</v>
      </c>
      <c r="G130" s="1">
        <v>691797</v>
      </c>
    </row>
    <row r="131" spans="1:7" x14ac:dyDescent="0.35">
      <c r="A131" t="s">
        <v>65</v>
      </c>
      <c r="B131" t="s">
        <v>10</v>
      </c>
      <c r="C131" t="s">
        <v>10</v>
      </c>
      <c r="D131" t="s">
        <v>45</v>
      </c>
      <c r="E131">
        <v>2015</v>
      </c>
      <c r="F131" s="1">
        <v>6635954</v>
      </c>
      <c r="G131" s="1">
        <v>221198</v>
      </c>
    </row>
    <row r="132" spans="1:7" x14ac:dyDescent="0.35">
      <c r="A132" t="s">
        <v>46</v>
      </c>
      <c r="B132" t="s">
        <v>10</v>
      </c>
      <c r="C132" t="s">
        <v>10</v>
      </c>
      <c r="D132" t="s">
        <v>197</v>
      </c>
      <c r="E132">
        <v>2015</v>
      </c>
      <c r="F132" s="1">
        <v>6566090</v>
      </c>
      <c r="G132" s="1">
        <v>243189</v>
      </c>
    </row>
    <row r="133" spans="1:7" x14ac:dyDescent="0.35">
      <c r="A133" t="s">
        <v>66</v>
      </c>
      <c r="B133" t="s">
        <v>10</v>
      </c>
      <c r="C133" t="s">
        <v>10</v>
      </c>
      <c r="D133" t="s">
        <v>195</v>
      </c>
      <c r="E133">
        <v>2015</v>
      </c>
      <c r="F133" s="1">
        <v>17871768</v>
      </c>
      <c r="G133" s="1">
        <v>595726</v>
      </c>
    </row>
    <row r="134" spans="1:7" x14ac:dyDescent="0.35">
      <c r="A134" t="s">
        <v>44</v>
      </c>
      <c r="B134" t="s">
        <v>10</v>
      </c>
      <c r="C134" t="s">
        <v>10</v>
      </c>
      <c r="D134" t="s">
        <v>17</v>
      </c>
      <c r="E134">
        <v>2015</v>
      </c>
      <c r="F134" s="1">
        <v>4229936</v>
      </c>
      <c r="G134" s="1">
        <v>151069</v>
      </c>
    </row>
    <row r="135" spans="1:7" x14ac:dyDescent="0.35">
      <c r="A135" t="s">
        <v>67</v>
      </c>
      <c r="B135" t="s">
        <v>10</v>
      </c>
      <c r="C135" t="s">
        <v>10</v>
      </c>
      <c r="D135" t="s">
        <v>68</v>
      </c>
      <c r="E135">
        <v>2015</v>
      </c>
      <c r="F135" s="1">
        <v>12147496</v>
      </c>
      <c r="G135" s="1">
        <v>347071</v>
      </c>
    </row>
    <row r="136" spans="1:7" x14ac:dyDescent="0.35">
      <c r="A136" t="s">
        <v>228</v>
      </c>
      <c r="B136" t="s">
        <v>10</v>
      </c>
      <c r="C136" t="s">
        <v>10</v>
      </c>
      <c r="D136" t="s">
        <v>36</v>
      </c>
      <c r="E136">
        <v>2015</v>
      </c>
      <c r="F136" s="1">
        <v>6368901</v>
      </c>
      <c r="G136" s="1">
        <v>187321</v>
      </c>
    </row>
    <row r="137" spans="1:7" x14ac:dyDescent="0.35">
      <c r="A137" t="s">
        <v>53</v>
      </c>
      <c r="B137" t="s">
        <v>10</v>
      </c>
      <c r="C137" t="s">
        <v>10</v>
      </c>
      <c r="D137" t="s">
        <v>39</v>
      </c>
      <c r="E137">
        <v>2015</v>
      </c>
      <c r="F137" s="1">
        <v>6325908</v>
      </c>
      <c r="G137" s="1">
        <v>218135</v>
      </c>
    </row>
    <row r="138" spans="1:7" x14ac:dyDescent="0.35">
      <c r="A138" t="s">
        <v>59</v>
      </c>
      <c r="B138" t="s">
        <v>10</v>
      </c>
      <c r="C138" t="s">
        <v>10</v>
      </c>
      <c r="D138" t="s">
        <v>60</v>
      </c>
      <c r="E138">
        <v>2015</v>
      </c>
      <c r="F138" s="1">
        <v>5436920</v>
      </c>
      <c r="G138" s="1">
        <v>194176</v>
      </c>
    </row>
    <row r="139" spans="1:7" x14ac:dyDescent="0.35">
      <c r="A139" t="s">
        <v>25</v>
      </c>
      <c r="B139" t="s">
        <v>10</v>
      </c>
      <c r="C139" t="s">
        <v>10</v>
      </c>
      <c r="D139" t="s">
        <v>26</v>
      </c>
      <c r="E139">
        <v>2015</v>
      </c>
      <c r="F139" s="1">
        <v>13288443</v>
      </c>
      <c r="G139" s="1">
        <v>415264</v>
      </c>
    </row>
    <row r="140" spans="1:7" x14ac:dyDescent="0.35">
      <c r="A140" t="s">
        <v>69</v>
      </c>
      <c r="B140" t="s">
        <v>10</v>
      </c>
      <c r="C140" t="s">
        <v>10</v>
      </c>
      <c r="D140" t="s">
        <v>19</v>
      </c>
      <c r="E140">
        <v>2015</v>
      </c>
      <c r="F140" s="1">
        <v>5332506</v>
      </c>
      <c r="G140" s="1">
        <v>183880</v>
      </c>
    </row>
    <row r="141" spans="1:7" x14ac:dyDescent="0.35">
      <c r="A141" t="s">
        <v>109</v>
      </c>
      <c r="B141" t="s">
        <v>10</v>
      </c>
      <c r="C141" t="s">
        <v>10</v>
      </c>
      <c r="D141" t="s">
        <v>24</v>
      </c>
      <c r="E141">
        <v>2015</v>
      </c>
      <c r="F141" s="1">
        <v>5970501</v>
      </c>
      <c r="G141" s="1">
        <v>221130</v>
      </c>
    </row>
    <row r="142" spans="1:7" x14ac:dyDescent="0.35">
      <c r="A142" t="s">
        <v>61</v>
      </c>
      <c r="B142" t="s">
        <v>10</v>
      </c>
      <c r="C142" t="s">
        <v>10</v>
      </c>
      <c r="D142" t="s">
        <v>21</v>
      </c>
      <c r="E142">
        <v>2015</v>
      </c>
      <c r="F142" s="1">
        <v>23524900</v>
      </c>
      <c r="G142" s="1">
        <v>735153</v>
      </c>
    </row>
    <row r="143" spans="1:7" x14ac:dyDescent="0.35">
      <c r="A143" t="s">
        <v>62</v>
      </c>
      <c r="B143" t="s">
        <v>10</v>
      </c>
      <c r="C143" t="s">
        <v>10</v>
      </c>
      <c r="D143" t="s">
        <v>42</v>
      </c>
      <c r="E143">
        <v>2015</v>
      </c>
      <c r="F143" s="1">
        <v>6261095</v>
      </c>
      <c r="G143" s="1">
        <v>201971</v>
      </c>
    </row>
    <row r="144" spans="1:7" x14ac:dyDescent="0.35">
      <c r="A144" t="s">
        <v>111</v>
      </c>
      <c r="B144" t="s">
        <v>10</v>
      </c>
      <c r="C144" t="s">
        <v>10</v>
      </c>
      <c r="D144" t="s">
        <v>5</v>
      </c>
      <c r="E144">
        <v>2016</v>
      </c>
      <c r="F144" s="1">
        <v>6350568</v>
      </c>
      <c r="G144" s="1">
        <v>226806</v>
      </c>
    </row>
    <row r="145" spans="1:7" x14ac:dyDescent="0.35">
      <c r="A145" t="s">
        <v>58</v>
      </c>
      <c r="B145" t="s">
        <v>10</v>
      </c>
      <c r="C145" t="s">
        <v>10</v>
      </c>
      <c r="D145" t="s">
        <v>23</v>
      </c>
      <c r="E145">
        <v>2016</v>
      </c>
      <c r="F145" s="1">
        <v>6049069</v>
      </c>
      <c r="G145" s="1">
        <v>208589</v>
      </c>
    </row>
    <row r="146" spans="1:7" x14ac:dyDescent="0.35">
      <c r="A146" t="s">
        <v>57</v>
      </c>
      <c r="B146" t="s">
        <v>6</v>
      </c>
      <c r="C146" t="s">
        <v>132</v>
      </c>
      <c r="D146" t="s">
        <v>9</v>
      </c>
      <c r="E146">
        <v>2016</v>
      </c>
      <c r="F146" s="1">
        <v>8861788</v>
      </c>
      <c r="G146" s="1">
        <v>295393</v>
      </c>
    </row>
    <row r="147" spans="1:7" x14ac:dyDescent="0.35">
      <c r="A147" t="s">
        <v>31</v>
      </c>
      <c r="B147" t="s">
        <v>10</v>
      </c>
      <c r="C147" t="s">
        <v>10</v>
      </c>
      <c r="D147" t="s">
        <v>198</v>
      </c>
      <c r="E147">
        <v>2016</v>
      </c>
      <c r="F147" s="1">
        <v>6751749</v>
      </c>
      <c r="G147" s="1">
        <v>198581</v>
      </c>
    </row>
    <row r="148" spans="1:7" x14ac:dyDescent="0.35">
      <c r="A148" t="s">
        <v>43</v>
      </c>
      <c r="B148" t="s">
        <v>10</v>
      </c>
      <c r="C148" t="s">
        <v>10</v>
      </c>
      <c r="D148" t="s">
        <v>11</v>
      </c>
      <c r="E148">
        <v>2016</v>
      </c>
      <c r="F148" s="1">
        <v>4893901</v>
      </c>
      <c r="G148" s="1">
        <v>152934</v>
      </c>
    </row>
    <row r="149" spans="1:7" x14ac:dyDescent="0.35">
      <c r="A149" t="s">
        <v>63</v>
      </c>
      <c r="B149" t="s">
        <v>10</v>
      </c>
      <c r="C149" t="s">
        <v>10</v>
      </c>
      <c r="D149" t="s">
        <v>64</v>
      </c>
      <c r="E149">
        <v>2016</v>
      </c>
      <c r="F149" s="1">
        <v>6074419</v>
      </c>
      <c r="G149" s="1">
        <v>189826</v>
      </c>
    </row>
    <row r="150" spans="1:7" x14ac:dyDescent="0.35">
      <c r="A150" t="s">
        <v>15</v>
      </c>
      <c r="B150" t="s">
        <v>10</v>
      </c>
      <c r="C150" t="s">
        <v>10</v>
      </c>
      <c r="D150" t="s">
        <v>14</v>
      </c>
      <c r="E150">
        <v>2016</v>
      </c>
      <c r="F150" s="1">
        <v>18624236</v>
      </c>
      <c r="G150" s="1">
        <v>642215</v>
      </c>
    </row>
    <row r="151" spans="1:7" x14ac:dyDescent="0.35">
      <c r="A151" t="s">
        <v>65</v>
      </c>
      <c r="B151" t="s">
        <v>10</v>
      </c>
      <c r="C151" t="s">
        <v>10</v>
      </c>
      <c r="D151" t="s">
        <v>45</v>
      </c>
      <c r="E151">
        <v>2016</v>
      </c>
      <c r="F151" s="1">
        <v>7274009</v>
      </c>
      <c r="G151" s="1">
        <v>227313</v>
      </c>
    </row>
    <row r="152" spans="1:7" x14ac:dyDescent="0.35">
      <c r="A152" t="s">
        <v>46</v>
      </c>
      <c r="B152" t="s">
        <v>10</v>
      </c>
      <c r="C152" t="s">
        <v>10</v>
      </c>
      <c r="D152" t="s">
        <v>197</v>
      </c>
      <c r="E152">
        <v>2016</v>
      </c>
      <c r="F152" s="1">
        <v>6043179</v>
      </c>
      <c r="G152" s="1">
        <v>215828</v>
      </c>
    </row>
    <row r="153" spans="1:7" x14ac:dyDescent="0.35">
      <c r="A153" t="s">
        <v>70</v>
      </c>
      <c r="B153" t="s">
        <v>6</v>
      </c>
      <c r="C153" t="s">
        <v>131</v>
      </c>
      <c r="D153" t="s">
        <v>195</v>
      </c>
      <c r="E153">
        <v>2016</v>
      </c>
      <c r="F153" s="1">
        <v>21510781</v>
      </c>
      <c r="G153" s="1">
        <v>768242</v>
      </c>
    </row>
    <row r="154" spans="1:7" x14ac:dyDescent="0.35">
      <c r="A154" t="s">
        <v>44</v>
      </c>
      <c r="B154" t="s">
        <v>10</v>
      </c>
      <c r="C154" t="s">
        <v>10</v>
      </c>
      <c r="D154" t="s">
        <v>17</v>
      </c>
      <c r="E154">
        <v>2016</v>
      </c>
      <c r="F154" s="1">
        <v>6557204</v>
      </c>
      <c r="G154" s="1">
        <v>218573</v>
      </c>
    </row>
    <row r="155" spans="1:7" x14ac:dyDescent="0.35">
      <c r="A155" t="s">
        <v>66</v>
      </c>
      <c r="B155" t="s">
        <v>10</v>
      </c>
      <c r="C155" t="s">
        <v>10</v>
      </c>
      <c r="D155" t="s">
        <v>68</v>
      </c>
      <c r="E155">
        <v>2016</v>
      </c>
      <c r="F155" s="1">
        <v>12125975</v>
      </c>
      <c r="G155" s="1">
        <v>378937</v>
      </c>
    </row>
    <row r="156" spans="1:7" x14ac:dyDescent="0.35">
      <c r="A156" t="s">
        <v>228</v>
      </c>
      <c r="B156" t="s">
        <v>10</v>
      </c>
      <c r="C156" t="s">
        <v>10</v>
      </c>
      <c r="D156" t="s">
        <v>36</v>
      </c>
      <c r="E156">
        <v>2016</v>
      </c>
      <c r="F156" s="1">
        <v>7228559</v>
      </c>
      <c r="G156" s="1">
        <v>225892</v>
      </c>
    </row>
    <row r="157" spans="1:7" x14ac:dyDescent="0.35">
      <c r="A157" t="s">
        <v>53</v>
      </c>
      <c r="B157" t="s">
        <v>10</v>
      </c>
      <c r="C157" t="s">
        <v>10</v>
      </c>
      <c r="D157" t="s">
        <v>39</v>
      </c>
      <c r="E157">
        <v>2016</v>
      </c>
      <c r="F157" s="1">
        <v>7763716</v>
      </c>
      <c r="G157" s="1">
        <v>242616</v>
      </c>
    </row>
    <row r="158" spans="1:7" x14ac:dyDescent="0.35">
      <c r="A158" t="s">
        <v>59</v>
      </c>
      <c r="B158" t="s">
        <v>10</v>
      </c>
      <c r="C158" t="s">
        <v>10</v>
      </c>
      <c r="D158" t="s">
        <v>60</v>
      </c>
      <c r="E158">
        <v>2016</v>
      </c>
      <c r="F158" s="1">
        <v>6246490</v>
      </c>
      <c r="G158" s="1">
        <v>215396</v>
      </c>
    </row>
    <row r="159" spans="1:7" x14ac:dyDescent="0.35">
      <c r="A159" t="s">
        <v>110</v>
      </c>
      <c r="B159" t="s">
        <v>10</v>
      </c>
      <c r="C159" t="s">
        <v>10</v>
      </c>
      <c r="D159" t="s">
        <v>26</v>
      </c>
      <c r="E159">
        <v>2016</v>
      </c>
      <c r="F159" s="1">
        <v>12507823</v>
      </c>
      <c r="G159" s="1">
        <v>403478</v>
      </c>
    </row>
    <row r="160" spans="1:7" x14ac:dyDescent="0.35">
      <c r="A160" t="s">
        <v>69</v>
      </c>
      <c r="B160" t="s">
        <v>10</v>
      </c>
      <c r="C160" t="s">
        <v>10</v>
      </c>
      <c r="D160" t="s">
        <v>19</v>
      </c>
      <c r="E160">
        <v>2016</v>
      </c>
      <c r="F160" s="1">
        <v>7479325</v>
      </c>
      <c r="G160" s="1">
        <v>233729</v>
      </c>
    </row>
    <row r="161" spans="1:7" x14ac:dyDescent="0.35">
      <c r="A161" t="s">
        <v>109</v>
      </c>
      <c r="B161" t="s">
        <v>10</v>
      </c>
      <c r="C161" t="s">
        <v>10</v>
      </c>
      <c r="D161" t="s">
        <v>24</v>
      </c>
      <c r="E161">
        <v>2016</v>
      </c>
      <c r="F161" s="1">
        <v>6901746</v>
      </c>
      <c r="G161" s="1">
        <v>215680</v>
      </c>
    </row>
    <row r="162" spans="1:7" x14ac:dyDescent="0.35">
      <c r="A162" t="s">
        <v>61</v>
      </c>
      <c r="B162" t="s">
        <v>10</v>
      </c>
      <c r="C162" t="s">
        <v>10</v>
      </c>
      <c r="D162" t="s">
        <v>21</v>
      </c>
      <c r="E162">
        <v>2016</v>
      </c>
      <c r="F162" s="1">
        <v>21957300</v>
      </c>
      <c r="G162" s="1">
        <v>784189</v>
      </c>
    </row>
    <row r="163" spans="1:7" x14ac:dyDescent="0.35">
      <c r="A163" t="s">
        <v>62</v>
      </c>
      <c r="B163" t="s">
        <v>10</v>
      </c>
      <c r="C163" t="s">
        <v>10</v>
      </c>
      <c r="D163" t="s">
        <v>42</v>
      </c>
      <c r="E163">
        <v>2016</v>
      </c>
      <c r="F163" s="1">
        <v>7904519</v>
      </c>
      <c r="G163" s="1">
        <v>239531</v>
      </c>
    </row>
    <row r="164" spans="1:7" x14ac:dyDescent="0.35">
      <c r="A164" t="s">
        <v>71</v>
      </c>
      <c r="B164" t="s">
        <v>10</v>
      </c>
      <c r="C164" t="s">
        <v>10</v>
      </c>
      <c r="D164" t="s">
        <v>72</v>
      </c>
      <c r="E164">
        <v>2017</v>
      </c>
      <c r="F164" s="1">
        <v>9675016</v>
      </c>
      <c r="G164" s="1">
        <v>293182</v>
      </c>
    </row>
    <row r="165" spans="1:7" x14ac:dyDescent="0.35">
      <c r="A165" t="s">
        <v>111</v>
      </c>
      <c r="B165" t="s">
        <v>10</v>
      </c>
      <c r="C165" t="s">
        <v>10</v>
      </c>
      <c r="D165" t="s">
        <v>5</v>
      </c>
      <c r="E165">
        <v>2017</v>
      </c>
      <c r="F165" s="1">
        <v>13089574</v>
      </c>
      <c r="G165" s="1">
        <v>436319</v>
      </c>
    </row>
    <row r="166" spans="1:7" x14ac:dyDescent="0.35">
      <c r="A166" t="s">
        <v>58</v>
      </c>
      <c r="B166" t="s">
        <v>10</v>
      </c>
      <c r="C166" t="s">
        <v>10</v>
      </c>
      <c r="D166" t="s">
        <v>23</v>
      </c>
      <c r="E166">
        <v>2017</v>
      </c>
      <c r="F166" s="1">
        <v>7478545</v>
      </c>
      <c r="G166" s="1">
        <v>241243</v>
      </c>
    </row>
    <row r="167" spans="1:7" x14ac:dyDescent="0.35">
      <c r="A167" t="s">
        <v>57</v>
      </c>
      <c r="B167" t="s">
        <v>6</v>
      </c>
      <c r="C167" t="s">
        <v>132</v>
      </c>
      <c r="D167" t="s">
        <v>9</v>
      </c>
      <c r="E167">
        <v>2017</v>
      </c>
      <c r="F167" s="1">
        <v>8681505</v>
      </c>
      <c r="G167" s="1">
        <v>310054</v>
      </c>
    </row>
    <row r="168" spans="1:7" x14ac:dyDescent="0.35">
      <c r="A168" t="s">
        <v>31</v>
      </c>
      <c r="B168" t="s">
        <v>10</v>
      </c>
      <c r="C168" t="s">
        <v>10</v>
      </c>
      <c r="D168" t="s">
        <v>198</v>
      </c>
      <c r="E168">
        <v>2017</v>
      </c>
      <c r="F168" s="1">
        <v>6310257</v>
      </c>
      <c r="G168" s="1">
        <v>185596</v>
      </c>
    </row>
    <row r="169" spans="1:7" x14ac:dyDescent="0.35">
      <c r="A169" t="s">
        <v>43</v>
      </c>
      <c r="B169" t="s">
        <v>10</v>
      </c>
      <c r="C169" t="s">
        <v>10</v>
      </c>
      <c r="D169" t="s">
        <v>11</v>
      </c>
      <c r="E169">
        <v>2017</v>
      </c>
      <c r="F169" s="1">
        <v>7345390</v>
      </c>
      <c r="G169" s="1">
        <v>236948</v>
      </c>
    </row>
    <row r="170" spans="1:7" x14ac:dyDescent="0.35">
      <c r="A170" t="s">
        <v>56</v>
      </c>
      <c r="B170" t="s">
        <v>6</v>
      </c>
      <c r="C170" t="s">
        <v>132</v>
      </c>
      <c r="D170" t="s">
        <v>64</v>
      </c>
      <c r="E170">
        <v>2017</v>
      </c>
      <c r="F170" s="1">
        <v>5914646</v>
      </c>
      <c r="G170" s="1">
        <v>190795</v>
      </c>
    </row>
    <row r="171" spans="1:7" x14ac:dyDescent="0.35">
      <c r="A171" t="s">
        <v>30</v>
      </c>
      <c r="B171" t="s">
        <v>10</v>
      </c>
      <c r="C171" t="s">
        <v>10</v>
      </c>
      <c r="D171" t="s">
        <v>14</v>
      </c>
      <c r="E171">
        <v>2017</v>
      </c>
      <c r="F171" s="1">
        <v>15021392</v>
      </c>
      <c r="G171" s="1">
        <v>500713</v>
      </c>
    </row>
    <row r="172" spans="1:7" x14ac:dyDescent="0.35">
      <c r="A172" t="s">
        <v>25</v>
      </c>
      <c r="B172" t="s">
        <v>10</v>
      </c>
      <c r="C172" t="s">
        <v>10</v>
      </c>
      <c r="D172" t="s">
        <v>14</v>
      </c>
      <c r="E172">
        <v>2017</v>
      </c>
      <c r="F172" s="1">
        <v>15021392</v>
      </c>
      <c r="G172" s="1">
        <v>500713</v>
      </c>
    </row>
    <row r="173" spans="1:7" x14ac:dyDescent="0.35">
      <c r="A173" t="s">
        <v>67</v>
      </c>
      <c r="B173" t="s">
        <v>10</v>
      </c>
      <c r="C173" t="s">
        <v>10</v>
      </c>
      <c r="D173" t="s">
        <v>74</v>
      </c>
      <c r="E173">
        <v>2017</v>
      </c>
      <c r="F173" s="1">
        <v>6342287</v>
      </c>
      <c r="G173" s="1">
        <v>192191</v>
      </c>
    </row>
    <row r="174" spans="1:7" x14ac:dyDescent="0.35">
      <c r="A174" t="s">
        <v>65</v>
      </c>
      <c r="B174" t="s">
        <v>10</v>
      </c>
      <c r="C174" t="s">
        <v>10</v>
      </c>
      <c r="D174" t="s">
        <v>45</v>
      </c>
      <c r="E174">
        <v>2017</v>
      </c>
      <c r="F174" s="1">
        <v>6746843</v>
      </c>
      <c r="G174" s="1">
        <v>217640</v>
      </c>
    </row>
    <row r="175" spans="1:7" x14ac:dyDescent="0.35">
      <c r="A175" t="s">
        <v>76</v>
      </c>
      <c r="B175" t="s">
        <v>10</v>
      </c>
      <c r="C175" t="s">
        <v>10</v>
      </c>
      <c r="D175" t="s">
        <v>197</v>
      </c>
      <c r="E175">
        <v>2017</v>
      </c>
      <c r="F175" s="1">
        <v>7496217</v>
      </c>
      <c r="G175" s="1">
        <v>288316</v>
      </c>
    </row>
    <row r="176" spans="1:7" x14ac:dyDescent="0.35">
      <c r="A176" t="s">
        <v>70</v>
      </c>
      <c r="B176" t="s">
        <v>6</v>
      </c>
      <c r="C176" t="s">
        <v>131</v>
      </c>
      <c r="D176" t="s">
        <v>195</v>
      </c>
      <c r="E176">
        <v>2017</v>
      </c>
      <c r="F176" s="1">
        <v>18108132</v>
      </c>
      <c r="G176" s="1">
        <v>603604</v>
      </c>
    </row>
    <row r="177" spans="1:7" x14ac:dyDescent="0.35">
      <c r="A177" t="s">
        <v>44</v>
      </c>
      <c r="B177" t="s">
        <v>10</v>
      </c>
      <c r="C177" t="s">
        <v>10</v>
      </c>
      <c r="D177" t="s">
        <v>17</v>
      </c>
      <c r="E177">
        <v>2017</v>
      </c>
      <c r="F177" s="1">
        <v>7766762</v>
      </c>
      <c r="G177" s="1">
        <v>235356</v>
      </c>
    </row>
    <row r="178" spans="1:7" x14ac:dyDescent="0.35">
      <c r="A178" t="s">
        <v>66</v>
      </c>
      <c r="B178" t="s">
        <v>10</v>
      </c>
      <c r="C178" t="s">
        <v>10</v>
      </c>
      <c r="D178" t="s">
        <v>68</v>
      </c>
      <c r="E178">
        <v>2017</v>
      </c>
      <c r="F178" s="1">
        <v>15041745</v>
      </c>
      <c r="G178" s="1">
        <v>442404</v>
      </c>
    </row>
    <row r="179" spans="1:7" x14ac:dyDescent="0.35">
      <c r="A179" t="s">
        <v>228</v>
      </c>
      <c r="B179" t="s">
        <v>10</v>
      </c>
      <c r="C179" t="s">
        <v>10</v>
      </c>
      <c r="D179" t="s">
        <v>36</v>
      </c>
      <c r="E179">
        <v>2017</v>
      </c>
      <c r="F179" s="1">
        <v>7178432</v>
      </c>
      <c r="G179" s="1">
        <v>224326</v>
      </c>
    </row>
    <row r="180" spans="1:7" x14ac:dyDescent="0.35">
      <c r="A180" t="s">
        <v>53</v>
      </c>
      <c r="B180" t="s">
        <v>10</v>
      </c>
      <c r="C180" t="s">
        <v>10</v>
      </c>
      <c r="D180" t="s">
        <v>39</v>
      </c>
      <c r="E180">
        <v>2017</v>
      </c>
      <c r="F180" s="1">
        <v>11369315</v>
      </c>
      <c r="G180" s="1">
        <v>392045</v>
      </c>
    </row>
    <row r="181" spans="1:7" x14ac:dyDescent="0.35">
      <c r="A181" t="s">
        <v>52</v>
      </c>
      <c r="B181" t="s">
        <v>10</v>
      </c>
      <c r="C181" t="s">
        <v>10</v>
      </c>
      <c r="D181" t="s">
        <v>60</v>
      </c>
      <c r="E181">
        <v>2017</v>
      </c>
      <c r="F181" s="1">
        <v>9136755</v>
      </c>
      <c r="G181" s="1">
        <v>285524</v>
      </c>
    </row>
    <row r="182" spans="1:7" x14ac:dyDescent="0.35">
      <c r="A182" t="s">
        <v>110</v>
      </c>
      <c r="B182" t="s">
        <v>10</v>
      </c>
      <c r="C182" t="s">
        <v>10</v>
      </c>
      <c r="D182" t="s">
        <v>26</v>
      </c>
      <c r="E182">
        <v>2017</v>
      </c>
      <c r="F182" s="1">
        <v>12249524</v>
      </c>
      <c r="G182" s="1">
        <v>408317</v>
      </c>
    </row>
    <row r="183" spans="1:7" x14ac:dyDescent="0.35">
      <c r="A183" t="s">
        <v>77</v>
      </c>
      <c r="B183" t="s">
        <v>10</v>
      </c>
      <c r="C183" t="s">
        <v>10</v>
      </c>
      <c r="D183" t="s">
        <v>19</v>
      </c>
      <c r="E183">
        <v>2017</v>
      </c>
      <c r="F183" s="1">
        <v>8567579</v>
      </c>
      <c r="G183" s="1">
        <v>276374</v>
      </c>
    </row>
    <row r="184" spans="1:7" x14ac:dyDescent="0.35">
      <c r="A184" t="s">
        <v>109</v>
      </c>
      <c r="B184" t="s">
        <v>10</v>
      </c>
      <c r="C184" t="s">
        <v>10</v>
      </c>
      <c r="D184" t="s">
        <v>24</v>
      </c>
      <c r="E184">
        <v>2017</v>
      </c>
      <c r="F184" s="1">
        <v>7229212</v>
      </c>
      <c r="G184" s="1">
        <v>212624</v>
      </c>
    </row>
    <row r="185" spans="1:7" x14ac:dyDescent="0.35">
      <c r="A185" t="s">
        <v>61</v>
      </c>
      <c r="B185" t="s">
        <v>10</v>
      </c>
      <c r="C185" t="s">
        <v>10</v>
      </c>
      <c r="D185" t="s">
        <v>21</v>
      </c>
      <c r="E185">
        <v>2017</v>
      </c>
      <c r="F185" s="1">
        <v>22630790</v>
      </c>
      <c r="G185" s="1">
        <v>754360</v>
      </c>
    </row>
    <row r="186" spans="1:7" x14ac:dyDescent="0.35">
      <c r="A186" t="s">
        <v>62</v>
      </c>
      <c r="B186" t="s">
        <v>10</v>
      </c>
      <c r="C186" t="s">
        <v>10</v>
      </c>
      <c r="D186" t="s">
        <v>42</v>
      </c>
      <c r="E186">
        <v>2017</v>
      </c>
      <c r="F186" s="1">
        <v>8797186</v>
      </c>
      <c r="G186" s="1">
        <v>237762</v>
      </c>
    </row>
    <row r="187" spans="1:7" x14ac:dyDescent="0.35">
      <c r="A187" t="s">
        <v>71</v>
      </c>
      <c r="B187" t="s">
        <v>10</v>
      </c>
      <c r="C187" t="s">
        <v>10</v>
      </c>
      <c r="D187" t="s">
        <v>72</v>
      </c>
      <c r="E187">
        <v>2018</v>
      </c>
      <c r="F187" s="1">
        <v>11606330</v>
      </c>
      <c r="G187" s="1">
        <v>362698</v>
      </c>
    </row>
    <row r="188" spans="1:7" x14ac:dyDescent="0.35">
      <c r="A188" t="s">
        <v>111</v>
      </c>
      <c r="B188" t="s">
        <v>10</v>
      </c>
      <c r="C188" t="s">
        <v>10</v>
      </c>
      <c r="D188" t="s">
        <v>5</v>
      </c>
      <c r="E188">
        <v>2018</v>
      </c>
      <c r="F188" s="1">
        <v>16250404</v>
      </c>
      <c r="G188" s="1">
        <v>507825</v>
      </c>
    </row>
    <row r="189" spans="1:7" x14ac:dyDescent="0.35">
      <c r="A189" t="s">
        <v>58</v>
      </c>
      <c r="B189" t="s">
        <v>10</v>
      </c>
      <c r="C189" t="s">
        <v>10</v>
      </c>
      <c r="D189" t="s">
        <v>23</v>
      </c>
      <c r="E189">
        <v>2018</v>
      </c>
      <c r="F189" s="1">
        <v>7715954</v>
      </c>
      <c r="G189" s="1">
        <v>266067</v>
      </c>
    </row>
    <row r="190" spans="1:7" x14ac:dyDescent="0.35">
      <c r="A190" t="s">
        <v>73</v>
      </c>
      <c r="B190" t="s">
        <v>10</v>
      </c>
      <c r="C190" t="s">
        <v>10</v>
      </c>
      <c r="D190" t="s">
        <v>9</v>
      </c>
      <c r="E190">
        <v>2018</v>
      </c>
      <c r="F190" s="1">
        <v>11570331</v>
      </c>
      <c r="G190" s="1">
        <v>350616</v>
      </c>
    </row>
    <row r="191" spans="1:7" x14ac:dyDescent="0.35">
      <c r="A191" t="s">
        <v>31</v>
      </c>
      <c r="B191" t="s">
        <v>10</v>
      </c>
      <c r="C191" t="s">
        <v>10</v>
      </c>
      <c r="D191" t="s">
        <v>198</v>
      </c>
      <c r="E191">
        <v>2018</v>
      </c>
      <c r="F191" s="1">
        <v>10069534</v>
      </c>
      <c r="G191" s="1">
        <v>335651</v>
      </c>
    </row>
    <row r="192" spans="1:7" x14ac:dyDescent="0.35">
      <c r="A192" t="s">
        <v>43</v>
      </c>
      <c r="B192" t="s">
        <v>10</v>
      </c>
      <c r="C192" t="s">
        <v>10</v>
      </c>
      <c r="D192" t="s">
        <v>11</v>
      </c>
      <c r="E192">
        <v>2018</v>
      </c>
      <c r="F192" s="1">
        <v>10776947</v>
      </c>
      <c r="G192" s="1">
        <v>291269</v>
      </c>
    </row>
    <row r="193" spans="1:7" x14ac:dyDescent="0.35">
      <c r="A193" t="s">
        <v>56</v>
      </c>
      <c r="B193" t="s">
        <v>6</v>
      </c>
      <c r="C193" t="s">
        <v>132</v>
      </c>
      <c r="D193" t="s">
        <v>64</v>
      </c>
      <c r="E193">
        <v>2018</v>
      </c>
      <c r="F193" s="1">
        <v>6020472</v>
      </c>
      <c r="G193" s="1">
        <v>188140</v>
      </c>
    </row>
    <row r="194" spans="1:7" x14ac:dyDescent="0.35">
      <c r="A194" t="s">
        <v>78</v>
      </c>
      <c r="B194" t="s">
        <v>10</v>
      </c>
      <c r="C194" t="s">
        <v>10</v>
      </c>
      <c r="D194" t="s">
        <v>79</v>
      </c>
      <c r="E194">
        <v>2018</v>
      </c>
      <c r="F194" s="1">
        <v>15395803</v>
      </c>
      <c r="G194" s="1">
        <v>481119</v>
      </c>
    </row>
    <row r="195" spans="1:7" x14ac:dyDescent="0.35">
      <c r="A195" t="s">
        <v>25</v>
      </c>
      <c r="B195" t="s">
        <v>10</v>
      </c>
      <c r="C195" t="s">
        <v>10</v>
      </c>
      <c r="D195" t="s">
        <v>14</v>
      </c>
      <c r="E195">
        <v>2018</v>
      </c>
      <c r="F195" s="1">
        <v>17574508</v>
      </c>
      <c r="G195" s="1">
        <v>627661</v>
      </c>
    </row>
    <row r="196" spans="1:7" x14ac:dyDescent="0.35">
      <c r="A196" t="s">
        <v>67</v>
      </c>
      <c r="B196" t="s">
        <v>10</v>
      </c>
      <c r="C196" t="s">
        <v>10</v>
      </c>
      <c r="D196" t="s">
        <v>74</v>
      </c>
      <c r="E196">
        <v>2018</v>
      </c>
      <c r="F196" s="1">
        <v>9377628</v>
      </c>
      <c r="G196" s="1">
        <v>284171</v>
      </c>
    </row>
    <row r="197" spans="1:7" x14ac:dyDescent="0.35">
      <c r="A197" t="s">
        <v>75</v>
      </c>
      <c r="B197" t="s">
        <v>10</v>
      </c>
      <c r="C197" t="s">
        <v>10</v>
      </c>
      <c r="D197" t="s">
        <v>45</v>
      </c>
      <c r="E197">
        <v>2018</v>
      </c>
      <c r="F197" s="1">
        <v>13408773</v>
      </c>
      <c r="G197" s="1">
        <v>383108</v>
      </c>
    </row>
    <row r="198" spans="1:7" x14ac:dyDescent="0.35">
      <c r="A198" t="s">
        <v>76</v>
      </c>
      <c r="B198" t="s">
        <v>10</v>
      </c>
      <c r="C198" t="s">
        <v>10</v>
      </c>
      <c r="D198" t="s">
        <v>197</v>
      </c>
      <c r="E198">
        <v>2018</v>
      </c>
      <c r="F198" s="1">
        <v>8479336</v>
      </c>
      <c r="G198" s="1">
        <v>302833</v>
      </c>
    </row>
    <row r="199" spans="1:7" x14ac:dyDescent="0.35">
      <c r="A199" t="s">
        <v>80</v>
      </c>
      <c r="B199" t="s">
        <v>10</v>
      </c>
      <c r="C199" t="s">
        <v>10</v>
      </c>
      <c r="D199" t="s">
        <v>195</v>
      </c>
      <c r="E199">
        <v>2018</v>
      </c>
      <c r="F199" s="1">
        <v>14824391</v>
      </c>
      <c r="G199" s="1">
        <v>511186</v>
      </c>
    </row>
    <row r="200" spans="1:7" x14ac:dyDescent="0.35">
      <c r="A200" t="s">
        <v>81</v>
      </c>
      <c r="B200" t="s">
        <v>6</v>
      </c>
      <c r="C200" t="s">
        <v>132</v>
      </c>
      <c r="D200" t="s">
        <v>17</v>
      </c>
      <c r="E200">
        <v>2018</v>
      </c>
      <c r="F200" s="1">
        <v>8134914</v>
      </c>
      <c r="G200" s="1">
        <v>254216</v>
      </c>
    </row>
    <row r="201" spans="1:7" x14ac:dyDescent="0.35">
      <c r="A201" t="s">
        <v>82</v>
      </c>
      <c r="B201" t="s">
        <v>10</v>
      </c>
      <c r="C201" t="s">
        <v>10</v>
      </c>
      <c r="D201" t="s">
        <v>68</v>
      </c>
      <c r="E201">
        <v>2018</v>
      </c>
      <c r="F201" s="1">
        <v>9452658</v>
      </c>
      <c r="G201" s="1">
        <v>304924</v>
      </c>
    </row>
    <row r="202" spans="1:7" x14ac:dyDescent="0.35">
      <c r="A202" t="s">
        <v>228</v>
      </c>
      <c r="B202" t="s">
        <v>10</v>
      </c>
      <c r="C202" t="s">
        <v>10</v>
      </c>
      <c r="D202" t="s">
        <v>36</v>
      </c>
      <c r="E202">
        <v>2018</v>
      </c>
      <c r="F202" s="1">
        <v>8983488</v>
      </c>
      <c r="G202" s="1">
        <v>299450</v>
      </c>
    </row>
    <row r="203" spans="1:7" x14ac:dyDescent="0.35">
      <c r="A203" t="s">
        <v>83</v>
      </c>
      <c r="B203" t="s">
        <v>10</v>
      </c>
      <c r="C203" t="s">
        <v>10</v>
      </c>
      <c r="D203" t="s">
        <v>39</v>
      </c>
      <c r="E203">
        <v>2018</v>
      </c>
      <c r="F203" s="1">
        <v>13200001</v>
      </c>
      <c r="G203" s="1">
        <v>400000</v>
      </c>
    </row>
    <row r="204" spans="1:7" x14ac:dyDescent="0.35">
      <c r="A204" t="s">
        <v>52</v>
      </c>
      <c r="B204" t="s">
        <v>10</v>
      </c>
      <c r="C204" t="s">
        <v>10</v>
      </c>
      <c r="D204" t="s">
        <v>60</v>
      </c>
      <c r="E204">
        <v>2018</v>
      </c>
      <c r="F204" s="1">
        <v>9294916</v>
      </c>
      <c r="G204" s="1">
        <v>290466</v>
      </c>
    </row>
    <row r="205" spans="1:7" x14ac:dyDescent="0.35">
      <c r="A205" t="s">
        <v>110</v>
      </c>
      <c r="B205" t="s">
        <v>10</v>
      </c>
      <c r="C205" t="s">
        <v>10</v>
      </c>
      <c r="D205" t="s">
        <v>26</v>
      </c>
      <c r="E205">
        <v>2018</v>
      </c>
      <c r="F205" s="1">
        <v>14029965</v>
      </c>
      <c r="G205" s="1">
        <v>467666</v>
      </c>
    </row>
    <row r="206" spans="1:7" x14ac:dyDescent="0.35">
      <c r="A206" t="s">
        <v>77</v>
      </c>
      <c r="B206" t="s">
        <v>10</v>
      </c>
      <c r="C206" t="s">
        <v>10</v>
      </c>
      <c r="D206" t="s">
        <v>19</v>
      </c>
      <c r="E206">
        <v>2018</v>
      </c>
      <c r="F206" s="1">
        <v>8721753</v>
      </c>
      <c r="G206" s="1">
        <v>272555</v>
      </c>
    </row>
    <row r="207" spans="1:7" x14ac:dyDescent="0.35">
      <c r="A207" t="s">
        <v>109</v>
      </c>
      <c r="B207" t="s">
        <v>10</v>
      </c>
      <c r="C207" t="s">
        <v>10</v>
      </c>
      <c r="D207" t="s">
        <v>24</v>
      </c>
      <c r="E207">
        <v>2018</v>
      </c>
      <c r="F207" s="1">
        <v>11883112</v>
      </c>
      <c r="G207" s="1">
        <v>383326</v>
      </c>
    </row>
    <row r="208" spans="1:7" x14ac:dyDescent="0.35">
      <c r="A208" t="s">
        <v>61</v>
      </c>
      <c r="B208" t="s">
        <v>10</v>
      </c>
      <c r="C208" t="s">
        <v>10</v>
      </c>
      <c r="D208" t="s">
        <v>21</v>
      </c>
      <c r="E208">
        <v>2018</v>
      </c>
      <c r="F208" s="1">
        <v>26834174</v>
      </c>
      <c r="G208" s="1">
        <v>838568</v>
      </c>
    </row>
    <row r="209" spans="1:7" x14ac:dyDescent="0.35">
      <c r="A209" t="s">
        <v>62</v>
      </c>
      <c r="B209" t="s">
        <v>10</v>
      </c>
      <c r="C209" t="s">
        <v>10</v>
      </c>
      <c r="D209" t="s">
        <v>42</v>
      </c>
      <c r="E209">
        <v>2018</v>
      </c>
      <c r="F209" s="1">
        <v>8575278</v>
      </c>
      <c r="G209" s="1">
        <v>245008</v>
      </c>
    </row>
    <row r="210" spans="1:7" x14ac:dyDescent="0.35">
      <c r="A210" t="s">
        <v>84</v>
      </c>
      <c r="B210" t="s">
        <v>10</v>
      </c>
      <c r="C210" t="s">
        <v>10</v>
      </c>
      <c r="D210" t="s">
        <v>72</v>
      </c>
      <c r="E210">
        <v>2019</v>
      </c>
      <c r="F210" s="1">
        <v>13222019</v>
      </c>
      <c r="G210" s="1">
        <v>377772</v>
      </c>
    </row>
    <row r="211" spans="1:7" x14ac:dyDescent="0.35">
      <c r="A211" t="s">
        <v>111</v>
      </c>
      <c r="B211" t="s">
        <v>10</v>
      </c>
      <c r="C211" t="s">
        <v>10</v>
      </c>
      <c r="D211" t="s">
        <v>5</v>
      </c>
      <c r="E211">
        <v>2019</v>
      </c>
      <c r="F211" s="1">
        <v>17320856</v>
      </c>
      <c r="G211" s="1">
        <v>577362</v>
      </c>
    </row>
    <row r="212" spans="1:7" x14ac:dyDescent="0.35">
      <c r="A212" t="s">
        <v>85</v>
      </c>
      <c r="B212" t="s">
        <v>10</v>
      </c>
      <c r="C212" t="s">
        <v>10</v>
      </c>
      <c r="D212" t="s">
        <v>196</v>
      </c>
      <c r="E212">
        <v>2019</v>
      </c>
      <c r="F212" s="1">
        <v>11420531</v>
      </c>
      <c r="G212" s="1">
        <v>317237</v>
      </c>
    </row>
    <row r="213" spans="1:7" x14ac:dyDescent="0.35">
      <c r="A213" t="s">
        <v>162</v>
      </c>
      <c r="B213" t="s">
        <v>10</v>
      </c>
      <c r="C213" t="s">
        <v>10</v>
      </c>
      <c r="D213" t="s">
        <v>196</v>
      </c>
      <c r="E213">
        <v>2019</v>
      </c>
      <c r="F213" s="1">
        <v>11420531</v>
      </c>
      <c r="G213" s="1">
        <v>317237</v>
      </c>
    </row>
    <row r="214" spans="1:7" x14ac:dyDescent="0.35">
      <c r="A214" t="s">
        <v>53</v>
      </c>
      <c r="B214" t="s">
        <v>10</v>
      </c>
      <c r="C214" t="s">
        <v>10</v>
      </c>
      <c r="D214" t="s">
        <v>23</v>
      </c>
      <c r="E214">
        <v>2019</v>
      </c>
      <c r="F214" s="1">
        <v>11915780</v>
      </c>
      <c r="G214" s="1">
        <v>340451</v>
      </c>
    </row>
    <row r="215" spans="1:7" x14ac:dyDescent="0.35">
      <c r="A215" t="s">
        <v>37</v>
      </c>
      <c r="B215" t="s">
        <v>6</v>
      </c>
      <c r="C215" t="s">
        <v>131</v>
      </c>
      <c r="D215" t="s">
        <v>9</v>
      </c>
      <c r="E215">
        <v>2019</v>
      </c>
      <c r="F215" s="1">
        <v>8991244</v>
      </c>
      <c r="G215" s="1">
        <v>310043</v>
      </c>
    </row>
    <row r="216" spans="1:7" x14ac:dyDescent="0.35">
      <c r="A216" t="s">
        <v>31</v>
      </c>
      <c r="B216" t="s">
        <v>10</v>
      </c>
      <c r="C216" t="s">
        <v>10</v>
      </c>
      <c r="D216" t="s">
        <v>198</v>
      </c>
      <c r="E216">
        <v>2019</v>
      </c>
      <c r="F216" s="1">
        <v>11661027</v>
      </c>
      <c r="G216" s="1">
        <v>388701</v>
      </c>
    </row>
    <row r="217" spans="1:7" x14ac:dyDescent="0.35">
      <c r="A217" t="s">
        <v>86</v>
      </c>
      <c r="B217" t="s">
        <v>10</v>
      </c>
      <c r="C217" t="s">
        <v>10</v>
      </c>
      <c r="D217" t="s">
        <v>11</v>
      </c>
      <c r="E217">
        <v>2019</v>
      </c>
      <c r="F217" s="1">
        <v>9833069</v>
      </c>
      <c r="G217" s="1">
        <v>307283</v>
      </c>
    </row>
    <row r="218" spans="1:7" x14ac:dyDescent="0.35">
      <c r="A218" t="s">
        <v>56</v>
      </c>
      <c r="B218" t="s">
        <v>6</v>
      </c>
      <c r="C218" t="s">
        <v>132</v>
      </c>
      <c r="D218" t="s">
        <v>64</v>
      </c>
      <c r="E218">
        <v>2019</v>
      </c>
      <c r="F218" s="1">
        <v>8904849</v>
      </c>
      <c r="G218" s="1">
        <v>296828</v>
      </c>
    </row>
    <row r="219" spans="1:7" x14ac:dyDescent="0.35">
      <c r="A219" t="s">
        <v>78</v>
      </c>
      <c r="B219" t="s">
        <v>10</v>
      </c>
      <c r="C219" t="s">
        <v>10</v>
      </c>
      <c r="D219" t="s">
        <v>79</v>
      </c>
      <c r="E219">
        <v>2019</v>
      </c>
      <c r="F219" s="1">
        <v>15851618</v>
      </c>
      <c r="G219" s="1">
        <v>511343</v>
      </c>
    </row>
    <row r="220" spans="1:7" x14ac:dyDescent="0.35">
      <c r="A220" t="s">
        <v>229</v>
      </c>
      <c r="B220" t="s">
        <v>10</v>
      </c>
      <c r="C220" t="s">
        <v>10</v>
      </c>
      <c r="D220" t="s">
        <v>14</v>
      </c>
      <c r="E220">
        <v>2019</v>
      </c>
      <c r="F220" s="1">
        <v>19821980</v>
      </c>
      <c r="G220" s="1">
        <v>639419</v>
      </c>
    </row>
    <row r="221" spans="1:7" x14ac:dyDescent="0.35">
      <c r="A221" t="s">
        <v>67</v>
      </c>
      <c r="B221" t="s">
        <v>10</v>
      </c>
      <c r="C221" t="s">
        <v>10</v>
      </c>
      <c r="D221" t="s">
        <v>74</v>
      </c>
      <c r="E221">
        <v>2019</v>
      </c>
      <c r="F221" s="1">
        <v>10756911</v>
      </c>
      <c r="G221" s="1">
        <v>370928</v>
      </c>
    </row>
    <row r="222" spans="1:7" x14ac:dyDescent="0.35">
      <c r="A222" t="s">
        <v>75</v>
      </c>
      <c r="B222" t="s">
        <v>10</v>
      </c>
      <c r="C222" t="s">
        <v>10</v>
      </c>
      <c r="D222" t="s">
        <v>45</v>
      </c>
      <c r="E222">
        <v>2019</v>
      </c>
      <c r="F222" s="1">
        <v>14348597</v>
      </c>
      <c r="G222" s="1">
        <v>422018</v>
      </c>
    </row>
    <row r="223" spans="1:7" x14ac:dyDescent="0.35">
      <c r="A223" t="s">
        <v>15</v>
      </c>
      <c r="B223" t="s">
        <v>10</v>
      </c>
      <c r="C223" t="s">
        <v>10</v>
      </c>
      <c r="D223" t="s">
        <v>197</v>
      </c>
      <c r="E223">
        <v>2019</v>
      </c>
      <c r="F223" s="1">
        <v>11083217</v>
      </c>
      <c r="G223" s="1">
        <v>410490</v>
      </c>
    </row>
    <row r="224" spans="1:7" x14ac:dyDescent="0.35">
      <c r="A224" t="s">
        <v>80</v>
      </c>
      <c r="B224" t="s">
        <v>10</v>
      </c>
      <c r="C224" t="s">
        <v>10</v>
      </c>
      <c r="D224" t="s">
        <v>195</v>
      </c>
      <c r="E224">
        <v>2019</v>
      </c>
      <c r="F224" s="1">
        <v>10415587</v>
      </c>
      <c r="G224" s="1">
        <v>371985</v>
      </c>
    </row>
    <row r="225" spans="1:7" x14ac:dyDescent="0.35">
      <c r="A225" t="s">
        <v>81</v>
      </c>
      <c r="B225" t="s">
        <v>6</v>
      </c>
      <c r="C225" t="s">
        <v>132</v>
      </c>
      <c r="D225" t="s">
        <v>17</v>
      </c>
      <c r="E225">
        <v>2019</v>
      </c>
      <c r="F225" s="1">
        <v>9081597</v>
      </c>
      <c r="G225" s="1">
        <v>292955</v>
      </c>
    </row>
    <row r="226" spans="1:7" x14ac:dyDescent="0.35">
      <c r="A226" t="s">
        <v>82</v>
      </c>
      <c r="B226" t="s">
        <v>10</v>
      </c>
      <c r="C226" t="s">
        <v>10</v>
      </c>
      <c r="D226" t="s">
        <v>68</v>
      </c>
      <c r="E226">
        <v>2019</v>
      </c>
      <c r="F226" s="1">
        <v>12643474</v>
      </c>
      <c r="G226" s="1">
        <v>407854</v>
      </c>
    </row>
    <row r="227" spans="1:7" x14ac:dyDescent="0.35">
      <c r="A227" t="s">
        <v>228</v>
      </c>
      <c r="B227" t="s">
        <v>10</v>
      </c>
      <c r="C227" t="s">
        <v>10</v>
      </c>
      <c r="D227" t="s">
        <v>36</v>
      </c>
      <c r="E227">
        <v>2019</v>
      </c>
      <c r="F227" s="1">
        <v>10003163</v>
      </c>
      <c r="G227" s="1">
        <v>333439</v>
      </c>
    </row>
    <row r="228" spans="1:7" x14ac:dyDescent="0.35">
      <c r="A228" t="s">
        <v>83</v>
      </c>
      <c r="B228" t="s">
        <v>10</v>
      </c>
      <c r="C228" t="s">
        <v>10</v>
      </c>
      <c r="D228" t="s">
        <v>39</v>
      </c>
      <c r="E228">
        <v>2019</v>
      </c>
      <c r="F228" s="1">
        <v>13253916</v>
      </c>
      <c r="G228" s="1">
        <v>473354</v>
      </c>
    </row>
    <row r="229" spans="1:7" x14ac:dyDescent="0.35">
      <c r="A229" t="s">
        <v>87</v>
      </c>
      <c r="B229" t="s">
        <v>6</v>
      </c>
      <c r="C229" t="s">
        <v>132</v>
      </c>
      <c r="D229" t="s">
        <v>60</v>
      </c>
      <c r="E229">
        <v>2019</v>
      </c>
      <c r="F229" s="1">
        <v>11285622</v>
      </c>
      <c r="G229" s="1">
        <v>352676</v>
      </c>
    </row>
    <row r="230" spans="1:7" x14ac:dyDescent="0.35">
      <c r="A230" t="s">
        <v>110</v>
      </c>
      <c r="B230" t="s">
        <v>10</v>
      </c>
      <c r="C230" t="s">
        <v>10</v>
      </c>
      <c r="D230" t="s">
        <v>26</v>
      </c>
      <c r="E230">
        <v>2019</v>
      </c>
      <c r="F230" s="1">
        <v>13748664</v>
      </c>
      <c r="G230" s="1">
        <v>474092</v>
      </c>
    </row>
    <row r="231" spans="1:7" x14ac:dyDescent="0.35">
      <c r="A231" t="s">
        <v>88</v>
      </c>
      <c r="B231" t="s">
        <v>10</v>
      </c>
      <c r="C231" t="s">
        <v>10</v>
      </c>
      <c r="D231" t="s">
        <v>19</v>
      </c>
      <c r="E231">
        <v>2019</v>
      </c>
      <c r="F231" s="1">
        <v>10619981</v>
      </c>
      <c r="G231" s="1">
        <v>342580</v>
      </c>
    </row>
    <row r="232" spans="1:7" x14ac:dyDescent="0.35">
      <c r="A232" t="s">
        <v>109</v>
      </c>
      <c r="B232" t="s">
        <v>10</v>
      </c>
      <c r="C232" t="s">
        <v>10</v>
      </c>
      <c r="D232" t="s">
        <v>24</v>
      </c>
      <c r="E232">
        <v>2019</v>
      </c>
      <c r="F232" s="1">
        <v>13127084</v>
      </c>
      <c r="G232" s="1">
        <v>423454</v>
      </c>
    </row>
    <row r="233" spans="1:7" x14ac:dyDescent="0.35">
      <c r="A233" t="s">
        <v>61</v>
      </c>
      <c r="B233" t="s">
        <v>10</v>
      </c>
      <c r="C233" t="s">
        <v>10</v>
      </c>
      <c r="D233" t="s">
        <v>21</v>
      </c>
      <c r="E233">
        <v>2019</v>
      </c>
      <c r="F233" s="1">
        <v>24618558</v>
      </c>
      <c r="G233" s="1">
        <v>724075</v>
      </c>
    </row>
    <row r="234" spans="1:7" x14ac:dyDescent="0.35">
      <c r="A234" t="s">
        <v>89</v>
      </c>
      <c r="B234" t="s">
        <v>10</v>
      </c>
      <c r="C234" t="s">
        <v>10</v>
      </c>
      <c r="D234" t="s">
        <v>42</v>
      </c>
      <c r="E234">
        <v>2019</v>
      </c>
      <c r="F234" s="1">
        <v>9252130</v>
      </c>
      <c r="G234" s="1">
        <v>289129</v>
      </c>
    </row>
    <row r="235" spans="1:7" x14ac:dyDescent="0.35">
      <c r="A235" t="s">
        <v>84</v>
      </c>
      <c r="B235" t="s">
        <v>10</v>
      </c>
      <c r="C235" t="s">
        <v>10</v>
      </c>
      <c r="D235" t="s">
        <v>72</v>
      </c>
      <c r="E235">
        <v>2020</v>
      </c>
      <c r="F235" s="1">
        <v>14047996</v>
      </c>
      <c r="G235" s="1">
        <v>453161</v>
      </c>
    </row>
    <row r="236" spans="1:7" x14ac:dyDescent="0.35">
      <c r="A236" t="s">
        <v>90</v>
      </c>
      <c r="B236" t="s">
        <v>10</v>
      </c>
      <c r="C236" t="s">
        <v>10</v>
      </c>
      <c r="D236" t="s">
        <v>5</v>
      </c>
      <c r="E236">
        <v>2020</v>
      </c>
      <c r="F236" s="1">
        <v>12631979</v>
      </c>
      <c r="G236" s="1">
        <v>394749</v>
      </c>
    </row>
    <row r="237" spans="1:7" x14ac:dyDescent="0.35">
      <c r="A237" t="s">
        <v>91</v>
      </c>
      <c r="B237" t="s">
        <v>10</v>
      </c>
      <c r="C237" t="s">
        <v>10</v>
      </c>
      <c r="D237" t="s">
        <v>196</v>
      </c>
      <c r="E237">
        <v>2020</v>
      </c>
      <c r="F237" s="1">
        <v>13304603</v>
      </c>
      <c r="G237" s="1">
        <v>415769</v>
      </c>
    </row>
    <row r="238" spans="1:7" x14ac:dyDescent="0.35">
      <c r="A238" t="s">
        <v>53</v>
      </c>
      <c r="B238" t="s">
        <v>10</v>
      </c>
      <c r="C238" t="s">
        <v>10</v>
      </c>
      <c r="D238" t="s">
        <v>23</v>
      </c>
      <c r="E238">
        <v>2020</v>
      </c>
      <c r="F238" s="1">
        <v>14094779</v>
      </c>
      <c r="G238" s="1">
        <v>469826</v>
      </c>
    </row>
    <row r="239" spans="1:7" x14ac:dyDescent="0.35">
      <c r="A239" t="s">
        <v>37</v>
      </c>
      <c r="B239" t="s">
        <v>6</v>
      </c>
      <c r="C239" t="s">
        <v>131</v>
      </c>
      <c r="D239" t="s">
        <v>9</v>
      </c>
      <c r="E239">
        <v>2020</v>
      </c>
      <c r="F239" s="1">
        <v>7659405</v>
      </c>
      <c r="G239" s="1">
        <v>273550</v>
      </c>
    </row>
    <row r="240" spans="1:7" x14ac:dyDescent="0.35">
      <c r="A240" t="s">
        <v>31</v>
      </c>
      <c r="B240" t="s">
        <v>10</v>
      </c>
      <c r="C240" t="s">
        <v>10</v>
      </c>
      <c r="D240" t="s">
        <v>198</v>
      </c>
      <c r="E240">
        <v>2020</v>
      </c>
      <c r="F240" s="1">
        <v>8816842</v>
      </c>
      <c r="G240" s="1">
        <v>339109</v>
      </c>
    </row>
    <row r="241" spans="1:7" x14ac:dyDescent="0.35">
      <c r="A241" t="s">
        <v>86</v>
      </c>
      <c r="B241" t="s">
        <v>10</v>
      </c>
      <c r="C241" t="s">
        <v>10</v>
      </c>
      <c r="D241" t="s">
        <v>11</v>
      </c>
      <c r="E241">
        <v>2020</v>
      </c>
      <c r="F241" s="1">
        <v>12428416</v>
      </c>
      <c r="G241" s="1">
        <v>400917</v>
      </c>
    </row>
    <row r="242" spans="1:7" x14ac:dyDescent="0.35">
      <c r="A242" t="s">
        <v>92</v>
      </c>
      <c r="B242" t="s">
        <v>6</v>
      </c>
      <c r="C242" t="s">
        <v>132</v>
      </c>
      <c r="D242" t="s">
        <v>64</v>
      </c>
      <c r="E242">
        <v>2020</v>
      </c>
      <c r="F242" s="1">
        <v>10116689</v>
      </c>
      <c r="G242" s="1">
        <v>348851</v>
      </c>
    </row>
    <row r="243" spans="1:7" x14ac:dyDescent="0.35">
      <c r="A243" t="s">
        <v>78</v>
      </c>
      <c r="B243" t="s">
        <v>10</v>
      </c>
      <c r="C243" t="s">
        <v>10</v>
      </c>
      <c r="D243" t="s">
        <v>79</v>
      </c>
      <c r="E243">
        <v>2020</v>
      </c>
      <c r="F243" s="1">
        <v>13885165</v>
      </c>
      <c r="G243" s="1">
        <v>478799</v>
      </c>
    </row>
    <row r="244" spans="1:7" x14ac:dyDescent="0.35">
      <c r="A244" t="s">
        <v>229</v>
      </c>
      <c r="B244" t="s">
        <v>10</v>
      </c>
      <c r="C244" t="s">
        <v>10</v>
      </c>
      <c r="D244" t="s">
        <v>14</v>
      </c>
      <c r="E244">
        <v>2020</v>
      </c>
      <c r="F244" s="1">
        <v>18094501</v>
      </c>
      <c r="G244" s="1">
        <v>565453</v>
      </c>
    </row>
    <row r="245" spans="1:7" x14ac:dyDescent="0.35">
      <c r="A245" t="s">
        <v>93</v>
      </c>
      <c r="B245" t="s">
        <v>10</v>
      </c>
      <c r="C245" t="s">
        <v>10</v>
      </c>
      <c r="D245" t="s">
        <v>94</v>
      </c>
      <c r="E245">
        <v>2020</v>
      </c>
      <c r="F245" s="1">
        <v>13894198</v>
      </c>
      <c r="G245" s="1">
        <v>463140</v>
      </c>
    </row>
    <row r="246" spans="1:7" x14ac:dyDescent="0.35">
      <c r="A246" t="s">
        <v>67</v>
      </c>
      <c r="B246" t="s">
        <v>10</v>
      </c>
      <c r="C246" t="s">
        <v>10</v>
      </c>
      <c r="D246" t="s">
        <v>74</v>
      </c>
      <c r="E246">
        <v>2020</v>
      </c>
      <c r="F246" s="1">
        <v>10423433</v>
      </c>
      <c r="G246" s="1">
        <v>336240</v>
      </c>
    </row>
    <row r="247" spans="1:7" x14ac:dyDescent="0.35">
      <c r="A247" t="s">
        <v>95</v>
      </c>
      <c r="B247" t="s">
        <v>6</v>
      </c>
      <c r="C247" t="s">
        <v>131</v>
      </c>
      <c r="D247" t="s">
        <v>45</v>
      </c>
      <c r="E247">
        <v>2020</v>
      </c>
      <c r="F247" s="1">
        <v>11687454</v>
      </c>
      <c r="G247" s="1">
        <v>389582</v>
      </c>
    </row>
    <row r="248" spans="1:7" x14ac:dyDescent="0.35">
      <c r="A248" t="s">
        <v>15</v>
      </c>
      <c r="B248" t="s">
        <v>10</v>
      </c>
      <c r="C248" t="s">
        <v>10</v>
      </c>
      <c r="D248" t="s">
        <v>197</v>
      </c>
      <c r="E248">
        <v>2020</v>
      </c>
      <c r="F248" s="1">
        <v>12651645</v>
      </c>
      <c r="G248" s="1">
        <v>421722</v>
      </c>
    </row>
    <row r="249" spans="1:7" x14ac:dyDescent="0.35">
      <c r="A249" t="s">
        <v>113</v>
      </c>
      <c r="B249" t="s">
        <v>10</v>
      </c>
      <c r="C249" t="s">
        <v>10</v>
      </c>
      <c r="D249" t="s">
        <v>96</v>
      </c>
      <c r="E249">
        <v>2020</v>
      </c>
      <c r="F249" s="1">
        <v>9977537</v>
      </c>
      <c r="G249" s="1">
        <v>302350</v>
      </c>
    </row>
    <row r="250" spans="1:7" x14ac:dyDescent="0.35">
      <c r="A250" t="s">
        <v>97</v>
      </c>
      <c r="B250" t="s">
        <v>10</v>
      </c>
      <c r="C250" t="s">
        <v>10</v>
      </c>
      <c r="D250" t="s">
        <v>195</v>
      </c>
      <c r="E250">
        <v>2020</v>
      </c>
      <c r="F250" s="1">
        <v>13014393</v>
      </c>
      <c r="G250" s="1">
        <v>482015</v>
      </c>
    </row>
    <row r="251" spans="1:7" x14ac:dyDescent="0.35">
      <c r="A251" t="s">
        <v>98</v>
      </c>
      <c r="B251" t="s">
        <v>10</v>
      </c>
      <c r="C251" t="s">
        <v>10</v>
      </c>
      <c r="D251" t="s">
        <v>17</v>
      </c>
      <c r="E251">
        <v>2020</v>
      </c>
      <c r="F251" s="1">
        <v>8300262</v>
      </c>
      <c r="G251" s="1">
        <v>296438</v>
      </c>
    </row>
    <row r="252" spans="1:7" x14ac:dyDescent="0.35">
      <c r="A252" t="s">
        <v>114</v>
      </c>
      <c r="B252" t="s">
        <v>10</v>
      </c>
      <c r="C252" t="s">
        <v>10</v>
      </c>
      <c r="D252" t="s">
        <v>68</v>
      </c>
      <c r="E252">
        <v>2020</v>
      </c>
      <c r="F252" s="1">
        <v>11733964</v>
      </c>
      <c r="G252" s="1">
        <v>378515</v>
      </c>
    </row>
    <row r="253" spans="1:7" x14ac:dyDescent="0.35">
      <c r="A253" t="s">
        <v>228</v>
      </c>
      <c r="B253" t="s">
        <v>10</v>
      </c>
      <c r="C253" t="s">
        <v>10</v>
      </c>
      <c r="D253" t="s">
        <v>36</v>
      </c>
      <c r="E253">
        <v>2020</v>
      </c>
      <c r="F253" s="1">
        <v>9364543</v>
      </c>
      <c r="G253" s="1">
        <v>360175</v>
      </c>
    </row>
    <row r="254" spans="1:7" x14ac:dyDescent="0.35">
      <c r="A254" t="s">
        <v>83</v>
      </c>
      <c r="B254" t="s">
        <v>10</v>
      </c>
      <c r="C254" t="s">
        <v>10</v>
      </c>
      <c r="D254" t="s">
        <v>39</v>
      </c>
      <c r="E254">
        <v>2020</v>
      </c>
      <c r="F254" s="1">
        <v>12157389</v>
      </c>
      <c r="G254" s="1">
        <v>434192</v>
      </c>
    </row>
    <row r="255" spans="1:7" x14ac:dyDescent="0.35">
      <c r="A255" t="s">
        <v>87</v>
      </c>
      <c r="B255" t="s">
        <v>6</v>
      </c>
      <c r="C255" t="s">
        <v>132</v>
      </c>
      <c r="D255" t="s">
        <v>60</v>
      </c>
      <c r="E255">
        <v>2020</v>
      </c>
      <c r="F255" s="1">
        <v>10095998</v>
      </c>
      <c r="G255" s="1">
        <v>336533</v>
      </c>
    </row>
    <row r="256" spans="1:7" x14ac:dyDescent="0.35">
      <c r="A256" t="s">
        <v>110</v>
      </c>
      <c r="B256" t="s">
        <v>10</v>
      </c>
      <c r="C256" t="s">
        <v>10</v>
      </c>
      <c r="D256" t="s">
        <v>26</v>
      </c>
      <c r="E256">
        <v>2020</v>
      </c>
      <c r="F256" s="1">
        <v>13591129</v>
      </c>
      <c r="G256" s="1">
        <v>468660</v>
      </c>
    </row>
    <row r="257" spans="1:7" x14ac:dyDescent="0.35">
      <c r="A257" t="s">
        <v>88</v>
      </c>
      <c r="B257" t="s">
        <v>10</v>
      </c>
      <c r="C257" t="s">
        <v>10</v>
      </c>
      <c r="D257" t="s">
        <v>19</v>
      </c>
      <c r="E257">
        <v>2020</v>
      </c>
      <c r="F257" s="1">
        <v>10936092</v>
      </c>
      <c r="G257" s="1">
        <v>377107</v>
      </c>
    </row>
    <row r="258" spans="1:7" x14ac:dyDescent="0.35">
      <c r="A258" t="s">
        <v>109</v>
      </c>
      <c r="B258" t="s">
        <v>10</v>
      </c>
      <c r="C258" t="s">
        <v>10</v>
      </c>
      <c r="D258" t="s">
        <v>24</v>
      </c>
      <c r="E258">
        <v>2020</v>
      </c>
      <c r="F258" s="1">
        <v>13671015</v>
      </c>
      <c r="G258" s="1">
        <v>471414</v>
      </c>
    </row>
    <row r="259" spans="1:7" x14ac:dyDescent="0.35">
      <c r="A259" t="s">
        <v>61</v>
      </c>
      <c r="B259" t="s">
        <v>10</v>
      </c>
      <c r="C259" t="s">
        <v>10</v>
      </c>
      <c r="D259" t="s">
        <v>21</v>
      </c>
      <c r="E259">
        <v>2020</v>
      </c>
      <c r="F259" s="1">
        <v>19723478</v>
      </c>
      <c r="G259" s="1">
        <v>616359</v>
      </c>
    </row>
    <row r="260" spans="1:7" x14ac:dyDescent="0.35">
      <c r="A260" t="s">
        <v>89</v>
      </c>
      <c r="B260" t="s">
        <v>10</v>
      </c>
      <c r="C260" t="s">
        <v>10</v>
      </c>
      <c r="D260" t="s">
        <v>42</v>
      </c>
      <c r="E260">
        <v>2020</v>
      </c>
      <c r="F260" s="1">
        <v>8532573</v>
      </c>
      <c r="G260" s="1">
        <v>294227</v>
      </c>
    </row>
    <row r="261" spans="1:7" x14ac:dyDescent="0.35">
      <c r="A261" t="s">
        <v>99</v>
      </c>
      <c r="B261" t="s">
        <v>10</v>
      </c>
      <c r="C261" t="s">
        <v>10</v>
      </c>
      <c r="D261" t="s">
        <v>72</v>
      </c>
      <c r="E261">
        <v>2021</v>
      </c>
      <c r="F261" s="1">
        <v>21209400</v>
      </c>
      <c r="G261" s="1">
        <v>589150</v>
      </c>
    </row>
    <row r="262" spans="1:7" x14ac:dyDescent="0.35">
      <c r="A262" t="s">
        <v>115</v>
      </c>
      <c r="B262" t="s">
        <v>6</v>
      </c>
      <c r="C262" t="s">
        <v>132</v>
      </c>
      <c r="D262" t="s">
        <v>72</v>
      </c>
      <c r="E262">
        <v>2021</v>
      </c>
      <c r="F262" s="1">
        <v>21209400</v>
      </c>
      <c r="G262" s="1">
        <v>589150</v>
      </c>
    </row>
    <row r="263" spans="1:7" x14ac:dyDescent="0.35">
      <c r="A263" t="s">
        <v>191</v>
      </c>
      <c r="B263" t="s">
        <v>10</v>
      </c>
      <c r="C263" t="s">
        <v>10</v>
      </c>
      <c r="D263" t="s">
        <v>194</v>
      </c>
      <c r="E263">
        <v>2021</v>
      </c>
      <c r="F263" s="1">
        <v>12576476</v>
      </c>
      <c r="G263" s="1">
        <v>405693</v>
      </c>
    </row>
    <row r="264" spans="1:7" x14ac:dyDescent="0.35">
      <c r="A264" t="s">
        <v>90</v>
      </c>
      <c r="B264" t="s">
        <v>10</v>
      </c>
      <c r="C264" t="s">
        <v>10</v>
      </c>
      <c r="D264" t="s">
        <v>5</v>
      </c>
      <c r="E264">
        <v>2021</v>
      </c>
      <c r="F264" s="1">
        <v>13922256</v>
      </c>
      <c r="G264" s="1">
        <v>464075</v>
      </c>
    </row>
    <row r="265" spans="1:7" x14ac:dyDescent="0.35">
      <c r="A265" t="s">
        <v>91</v>
      </c>
      <c r="B265" t="s">
        <v>10</v>
      </c>
      <c r="C265" t="s">
        <v>10</v>
      </c>
      <c r="D265" t="s">
        <v>196</v>
      </c>
      <c r="E265">
        <v>2021</v>
      </c>
      <c r="F265" s="1">
        <v>16793343</v>
      </c>
      <c r="G265" s="1">
        <v>466482</v>
      </c>
    </row>
    <row r="266" spans="1:7" x14ac:dyDescent="0.35">
      <c r="A266" t="s">
        <v>53</v>
      </c>
      <c r="B266" t="s">
        <v>10</v>
      </c>
      <c r="C266" t="s">
        <v>10</v>
      </c>
      <c r="D266" t="s">
        <v>23</v>
      </c>
      <c r="E266">
        <v>2021</v>
      </c>
      <c r="F266" s="1">
        <v>14404795</v>
      </c>
      <c r="G266" s="1">
        <v>464671</v>
      </c>
    </row>
    <row r="267" spans="1:7" x14ac:dyDescent="0.35">
      <c r="A267" t="s">
        <v>37</v>
      </c>
      <c r="B267" t="s">
        <v>6</v>
      </c>
      <c r="C267" t="s">
        <v>131</v>
      </c>
      <c r="D267" t="s">
        <v>9</v>
      </c>
      <c r="E267">
        <v>2021</v>
      </c>
      <c r="F267" s="1">
        <v>11027762</v>
      </c>
      <c r="G267" s="1">
        <v>306327</v>
      </c>
    </row>
    <row r="268" spans="1:7" x14ac:dyDescent="0.35">
      <c r="A268" t="s">
        <v>100</v>
      </c>
      <c r="B268" t="s">
        <v>10</v>
      </c>
      <c r="C268" t="s">
        <v>10</v>
      </c>
      <c r="D268" t="s">
        <v>198</v>
      </c>
      <c r="E268">
        <v>2021</v>
      </c>
      <c r="F268" s="1">
        <v>11506162</v>
      </c>
      <c r="G268" s="1">
        <v>359568</v>
      </c>
    </row>
    <row r="269" spans="1:7" x14ac:dyDescent="0.35">
      <c r="A269" t="s">
        <v>86</v>
      </c>
      <c r="B269" t="s">
        <v>10</v>
      </c>
      <c r="C269" t="s">
        <v>10</v>
      </c>
      <c r="D269" t="s">
        <v>11</v>
      </c>
      <c r="E269">
        <v>2021</v>
      </c>
      <c r="F269" s="1">
        <v>12334317</v>
      </c>
      <c r="G269" s="1">
        <v>373767</v>
      </c>
    </row>
    <row r="270" spans="1:7" x14ac:dyDescent="0.35">
      <c r="A270" t="s">
        <v>92</v>
      </c>
      <c r="B270" t="s">
        <v>6</v>
      </c>
      <c r="C270" t="s">
        <v>132</v>
      </c>
      <c r="D270" t="s">
        <v>64</v>
      </c>
      <c r="E270">
        <v>2021</v>
      </c>
      <c r="F270" s="1">
        <v>11993701</v>
      </c>
      <c r="G270" s="1">
        <v>352756</v>
      </c>
    </row>
    <row r="271" spans="1:7" x14ac:dyDescent="0.35">
      <c r="A271" t="s">
        <v>78</v>
      </c>
      <c r="B271" t="s">
        <v>10</v>
      </c>
      <c r="C271" t="s">
        <v>10</v>
      </c>
      <c r="D271" t="s">
        <v>79</v>
      </c>
      <c r="E271">
        <v>2021</v>
      </c>
      <c r="F271" s="1">
        <v>17274343</v>
      </c>
      <c r="G271" s="1">
        <v>479843</v>
      </c>
    </row>
    <row r="272" spans="1:7" x14ac:dyDescent="0.35">
      <c r="A272" t="s">
        <v>126</v>
      </c>
      <c r="B272" t="s">
        <v>10</v>
      </c>
      <c r="C272" t="s">
        <v>10</v>
      </c>
      <c r="D272" t="s">
        <v>14</v>
      </c>
      <c r="E272">
        <v>2021</v>
      </c>
      <c r="F272" s="1">
        <v>20322677</v>
      </c>
      <c r="G272" s="1">
        <v>597726</v>
      </c>
    </row>
    <row r="273" spans="1:7" x14ac:dyDescent="0.35">
      <c r="A273" t="s">
        <v>101</v>
      </c>
      <c r="B273" t="s">
        <v>10</v>
      </c>
      <c r="C273" t="s">
        <v>10</v>
      </c>
      <c r="D273" t="s">
        <v>94</v>
      </c>
      <c r="E273">
        <v>2021</v>
      </c>
      <c r="F273" s="1">
        <v>18467664</v>
      </c>
      <c r="G273" s="1">
        <v>559626</v>
      </c>
    </row>
    <row r="274" spans="1:7" x14ac:dyDescent="0.35">
      <c r="A274" t="s">
        <v>67</v>
      </c>
      <c r="B274" t="s">
        <v>10</v>
      </c>
      <c r="C274" t="s">
        <v>10</v>
      </c>
      <c r="D274" t="s">
        <v>74</v>
      </c>
      <c r="E274">
        <v>2021</v>
      </c>
      <c r="F274" s="1">
        <v>13672195</v>
      </c>
      <c r="G274" s="1">
        <v>390634</v>
      </c>
    </row>
    <row r="275" spans="1:7" x14ac:dyDescent="0.35">
      <c r="A275" t="s">
        <v>102</v>
      </c>
      <c r="B275" t="s">
        <v>6</v>
      </c>
      <c r="C275" t="s">
        <v>131</v>
      </c>
      <c r="D275" t="s">
        <v>45</v>
      </c>
      <c r="E275">
        <v>2021</v>
      </c>
      <c r="F275" s="1">
        <v>13500594</v>
      </c>
      <c r="G275" s="1">
        <v>355279</v>
      </c>
    </row>
    <row r="276" spans="1:7" x14ac:dyDescent="0.35">
      <c r="A276" t="s">
        <v>15</v>
      </c>
      <c r="B276" t="s">
        <v>10</v>
      </c>
      <c r="C276" t="s">
        <v>10</v>
      </c>
      <c r="D276" t="s">
        <v>197</v>
      </c>
      <c r="E276">
        <v>2021</v>
      </c>
      <c r="F276" s="1">
        <v>11681240</v>
      </c>
      <c r="G276" s="1">
        <v>432639</v>
      </c>
    </row>
    <row r="277" spans="1:7" x14ac:dyDescent="0.35">
      <c r="A277" t="s">
        <v>113</v>
      </c>
      <c r="B277" t="s">
        <v>10</v>
      </c>
      <c r="C277" t="s">
        <v>10</v>
      </c>
      <c r="D277" t="s">
        <v>96</v>
      </c>
      <c r="E277">
        <v>2021</v>
      </c>
      <c r="F277" s="1">
        <v>13072494</v>
      </c>
      <c r="G277" s="1">
        <v>373500</v>
      </c>
    </row>
    <row r="278" spans="1:7" x14ac:dyDescent="0.35">
      <c r="A278" t="s">
        <v>97</v>
      </c>
      <c r="B278" t="s">
        <v>10</v>
      </c>
      <c r="C278" t="s">
        <v>10</v>
      </c>
      <c r="D278" t="s">
        <v>195</v>
      </c>
      <c r="E278">
        <v>2021</v>
      </c>
      <c r="F278" s="1">
        <v>15341016</v>
      </c>
      <c r="G278" s="1">
        <v>494871</v>
      </c>
    </row>
    <row r="279" spans="1:7" x14ac:dyDescent="0.35">
      <c r="A279" t="s">
        <v>98</v>
      </c>
      <c r="B279" t="s">
        <v>10</v>
      </c>
      <c r="C279" t="s">
        <v>10</v>
      </c>
      <c r="D279" t="s">
        <v>17</v>
      </c>
      <c r="E279">
        <v>2021</v>
      </c>
      <c r="F279" s="1">
        <v>10689793</v>
      </c>
      <c r="G279" s="1">
        <v>305423</v>
      </c>
    </row>
    <row r="280" spans="1:7" x14ac:dyDescent="0.35">
      <c r="A280" t="s">
        <v>114</v>
      </c>
      <c r="B280" t="s">
        <v>10</v>
      </c>
      <c r="C280" t="s">
        <v>10</v>
      </c>
      <c r="D280" t="s">
        <v>68</v>
      </c>
      <c r="E280">
        <v>2021</v>
      </c>
      <c r="F280" s="1">
        <v>11961241</v>
      </c>
      <c r="G280" s="1">
        <v>351801</v>
      </c>
    </row>
    <row r="281" spans="1:7" x14ac:dyDescent="0.35">
      <c r="A281" t="s">
        <v>228</v>
      </c>
      <c r="B281" t="s">
        <v>10</v>
      </c>
      <c r="C281" t="s">
        <v>10</v>
      </c>
      <c r="D281" t="s">
        <v>36</v>
      </c>
      <c r="E281">
        <v>2021</v>
      </c>
      <c r="F281" s="1">
        <v>10484622</v>
      </c>
      <c r="G281" s="1">
        <v>308371</v>
      </c>
    </row>
    <row r="282" spans="1:7" x14ac:dyDescent="0.35">
      <c r="A282" t="s">
        <v>83</v>
      </c>
      <c r="B282" t="s">
        <v>10</v>
      </c>
      <c r="C282" t="s">
        <v>10</v>
      </c>
      <c r="D282" t="s">
        <v>39</v>
      </c>
      <c r="E282">
        <v>2021</v>
      </c>
      <c r="F282" s="1">
        <v>12671311</v>
      </c>
      <c r="G282" s="1">
        <v>422377</v>
      </c>
    </row>
    <row r="283" spans="1:7" x14ac:dyDescent="0.35">
      <c r="A283" t="s">
        <v>125</v>
      </c>
      <c r="B283" t="s">
        <v>6</v>
      </c>
      <c r="C283" t="s">
        <v>132</v>
      </c>
      <c r="D283" t="s">
        <v>60</v>
      </c>
      <c r="E283">
        <v>2021</v>
      </c>
      <c r="F283" s="1">
        <v>12659495</v>
      </c>
      <c r="G283" s="1">
        <v>383621</v>
      </c>
    </row>
    <row r="284" spans="1:7" x14ac:dyDescent="0.35">
      <c r="A284" t="s">
        <v>110</v>
      </c>
      <c r="B284" t="s">
        <v>10</v>
      </c>
      <c r="C284" t="s">
        <v>10</v>
      </c>
      <c r="D284" t="s">
        <v>26</v>
      </c>
      <c r="E284">
        <v>2021</v>
      </c>
      <c r="F284" s="1">
        <v>13588370</v>
      </c>
      <c r="G284" s="1">
        <v>452946</v>
      </c>
    </row>
    <row r="285" spans="1:7" x14ac:dyDescent="0.35">
      <c r="A285" t="s">
        <v>88</v>
      </c>
      <c r="B285" t="s">
        <v>10</v>
      </c>
      <c r="C285" t="s">
        <v>10</v>
      </c>
      <c r="D285" t="s">
        <v>19</v>
      </c>
      <c r="E285">
        <v>2021</v>
      </c>
      <c r="F285" s="1">
        <v>11604595</v>
      </c>
      <c r="G285" s="1">
        <v>362644</v>
      </c>
    </row>
    <row r="286" spans="1:7" x14ac:dyDescent="0.35">
      <c r="A286" t="s">
        <v>109</v>
      </c>
      <c r="B286" t="s">
        <v>10</v>
      </c>
      <c r="C286" t="s">
        <v>10</v>
      </c>
      <c r="D286" t="s">
        <v>24</v>
      </c>
      <c r="E286">
        <v>2021</v>
      </c>
      <c r="F286" s="1">
        <v>14320162</v>
      </c>
      <c r="G286" s="1">
        <v>447505</v>
      </c>
    </row>
    <row r="287" spans="1:7" x14ac:dyDescent="0.35">
      <c r="A287" t="s">
        <v>81</v>
      </c>
      <c r="B287" t="s">
        <v>6</v>
      </c>
      <c r="C287" t="s">
        <v>132</v>
      </c>
      <c r="D287" t="s">
        <v>21</v>
      </c>
      <c r="E287">
        <v>2021</v>
      </c>
      <c r="F287" s="1">
        <v>19494805</v>
      </c>
      <c r="G287" s="1">
        <v>573377</v>
      </c>
    </row>
    <row r="288" spans="1:7" x14ac:dyDescent="0.35">
      <c r="A288" t="s">
        <v>124</v>
      </c>
      <c r="B288" t="s">
        <v>10</v>
      </c>
      <c r="C288" t="s">
        <v>10</v>
      </c>
      <c r="D288" t="s">
        <v>42</v>
      </c>
      <c r="E288">
        <v>2021</v>
      </c>
      <c r="F288" s="1">
        <v>12190317</v>
      </c>
      <c r="G288" s="1">
        <v>329468</v>
      </c>
    </row>
    <row r="289" spans="1:7" x14ac:dyDescent="0.35">
      <c r="A289" t="s">
        <v>115</v>
      </c>
      <c r="B289" t="s">
        <v>6</v>
      </c>
      <c r="C289" t="s">
        <v>132</v>
      </c>
      <c r="D289" t="s">
        <v>72</v>
      </c>
      <c r="E289">
        <v>2022</v>
      </c>
      <c r="F289" s="1">
        <v>22895134</v>
      </c>
      <c r="G289" s="1">
        <v>587055</v>
      </c>
    </row>
    <row r="290" spans="1:7" x14ac:dyDescent="0.35">
      <c r="A290" t="s">
        <v>191</v>
      </c>
      <c r="B290" t="s">
        <v>10</v>
      </c>
      <c r="C290" t="s">
        <v>10</v>
      </c>
      <c r="D290" t="s">
        <v>194</v>
      </c>
      <c r="E290">
        <v>2022</v>
      </c>
      <c r="F290" s="1">
        <v>16375786</v>
      </c>
      <c r="G290" s="1">
        <v>528251</v>
      </c>
    </row>
    <row r="291" spans="1:7" x14ac:dyDescent="0.35">
      <c r="A291" t="s">
        <v>104</v>
      </c>
      <c r="B291" t="s">
        <v>6</v>
      </c>
      <c r="C291" t="s">
        <v>131</v>
      </c>
      <c r="D291" t="s">
        <v>5</v>
      </c>
      <c r="E291">
        <v>2022</v>
      </c>
      <c r="F291" s="1">
        <v>19565159</v>
      </c>
      <c r="G291" s="1">
        <v>652172</v>
      </c>
    </row>
    <row r="292" spans="1:7" x14ac:dyDescent="0.35">
      <c r="A292" t="s">
        <v>127</v>
      </c>
      <c r="B292" t="s">
        <v>10</v>
      </c>
      <c r="C292" t="s">
        <v>10</v>
      </c>
      <c r="D292" t="s">
        <v>196</v>
      </c>
      <c r="E292">
        <v>2022</v>
      </c>
      <c r="F292" s="1">
        <v>16529837</v>
      </c>
      <c r="G292" s="1">
        <v>516557</v>
      </c>
    </row>
    <row r="293" spans="1:7" x14ac:dyDescent="0.35">
      <c r="A293" t="s">
        <v>53</v>
      </c>
      <c r="B293" t="s">
        <v>10</v>
      </c>
      <c r="C293" t="s">
        <v>10</v>
      </c>
      <c r="D293" t="s">
        <v>23</v>
      </c>
      <c r="E293">
        <v>2022</v>
      </c>
      <c r="F293" s="1">
        <v>18012808</v>
      </c>
      <c r="G293" s="1">
        <v>581058</v>
      </c>
    </row>
    <row r="294" spans="1:7" x14ac:dyDescent="0.35">
      <c r="A294" t="s">
        <v>103</v>
      </c>
      <c r="B294" t="s">
        <v>10</v>
      </c>
      <c r="C294" t="s">
        <v>10</v>
      </c>
      <c r="D294" t="s">
        <v>193</v>
      </c>
      <c r="E294">
        <v>2022</v>
      </c>
      <c r="F294" s="1">
        <v>12774661</v>
      </c>
      <c r="G294" s="1">
        <v>364990</v>
      </c>
    </row>
    <row r="295" spans="1:7" x14ac:dyDescent="0.35">
      <c r="A295" t="s">
        <v>186</v>
      </c>
      <c r="B295" t="s">
        <v>10</v>
      </c>
      <c r="C295" t="s">
        <v>10</v>
      </c>
      <c r="D295" t="s">
        <v>193</v>
      </c>
      <c r="E295">
        <v>2022</v>
      </c>
      <c r="F295" s="1">
        <v>12774661</v>
      </c>
      <c r="G295" s="1">
        <v>364990</v>
      </c>
    </row>
    <row r="296" spans="1:7" x14ac:dyDescent="0.35">
      <c r="A296" t="s">
        <v>37</v>
      </c>
      <c r="B296" t="s">
        <v>6</v>
      </c>
      <c r="C296" t="s">
        <v>131</v>
      </c>
      <c r="D296" t="s">
        <v>9</v>
      </c>
      <c r="E296">
        <v>2022</v>
      </c>
      <c r="F296" s="1">
        <v>12395247</v>
      </c>
      <c r="G296" s="1">
        <v>344312</v>
      </c>
    </row>
    <row r="297" spans="1:7" x14ac:dyDescent="0.35">
      <c r="A297" t="s">
        <v>105</v>
      </c>
      <c r="B297" t="s">
        <v>10</v>
      </c>
      <c r="C297" t="s">
        <v>10</v>
      </c>
      <c r="D297" t="s">
        <v>198</v>
      </c>
      <c r="E297">
        <v>2022</v>
      </c>
      <c r="F297" s="1">
        <v>19639453</v>
      </c>
      <c r="G297" s="1">
        <v>490986</v>
      </c>
    </row>
    <row r="298" spans="1:7" x14ac:dyDescent="0.35">
      <c r="A298" t="s">
        <v>123</v>
      </c>
      <c r="B298" t="s">
        <v>10</v>
      </c>
      <c r="C298" t="s">
        <v>10</v>
      </c>
      <c r="D298" t="s">
        <v>11</v>
      </c>
      <c r="E298">
        <v>2022</v>
      </c>
      <c r="F298" s="1">
        <v>16153483</v>
      </c>
      <c r="G298" s="1">
        <v>489499</v>
      </c>
    </row>
    <row r="299" spans="1:7" x14ac:dyDescent="0.35">
      <c r="A299" t="s">
        <v>106</v>
      </c>
      <c r="B299" t="s">
        <v>6</v>
      </c>
      <c r="C299" t="s">
        <v>132</v>
      </c>
      <c r="D299" t="s">
        <v>64</v>
      </c>
      <c r="E299">
        <v>2022</v>
      </c>
      <c r="F299" s="1">
        <v>17032866</v>
      </c>
      <c r="G299" s="1">
        <v>516147</v>
      </c>
    </row>
    <row r="300" spans="1:7" x14ac:dyDescent="0.35">
      <c r="A300" t="s">
        <v>122</v>
      </c>
      <c r="B300" t="s">
        <v>10</v>
      </c>
      <c r="C300" t="s">
        <v>10</v>
      </c>
      <c r="D300" t="s">
        <v>79</v>
      </c>
      <c r="E300">
        <v>2022</v>
      </c>
      <c r="F300" s="1">
        <v>21291536</v>
      </c>
      <c r="G300" s="1">
        <v>608330</v>
      </c>
    </row>
    <row r="301" spans="1:7" x14ac:dyDescent="0.35">
      <c r="A301" t="s">
        <v>126</v>
      </c>
      <c r="B301" t="s">
        <v>10</v>
      </c>
      <c r="C301" t="s">
        <v>10</v>
      </c>
      <c r="D301" t="s">
        <v>14</v>
      </c>
      <c r="E301">
        <v>2022</v>
      </c>
      <c r="F301" s="1">
        <v>26866672</v>
      </c>
      <c r="G301" s="1">
        <v>814142</v>
      </c>
    </row>
    <row r="302" spans="1:7" x14ac:dyDescent="0.35">
      <c r="A302" t="s">
        <v>101</v>
      </c>
      <c r="B302" t="s">
        <v>10</v>
      </c>
      <c r="C302" t="s">
        <v>10</v>
      </c>
      <c r="D302" t="s">
        <v>94</v>
      </c>
      <c r="E302">
        <v>2022</v>
      </c>
      <c r="F302" s="1">
        <v>24565528</v>
      </c>
      <c r="G302" s="1">
        <v>682376</v>
      </c>
    </row>
    <row r="303" spans="1:7" x14ac:dyDescent="0.35">
      <c r="A303" t="s">
        <v>67</v>
      </c>
      <c r="B303" t="s">
        <v>10</v>
      </c>
      <c r="C303" t="s">
        <v>10</v>
      </c>
      <c r="D303" t="s">
        <v>74</v>
      </c>
      <c r="E303">
        <v>2022</v>
      </c>
      <c r="F303" s="1">
        <v>14244858</v>
      </c>
      <c r="G303" s="1">
        <v>406996</v>
      </c>
    </row>
    <row r="304" spans="1:7" x14ac:dyDescent="0.35">
      <c r="A304" t="s">
        <v>102</v>
      </c>
      <c r="B304" t="s">
        <v>6</v>
      </c>
      <c r="C304" t="s">
        <v>131</v>
      </c>
      <c r="D304" t="s">
        <v>45</v>
      </c>
      <c r="E304">
        <v>2022</v>
      </c>
      <c r="F304" s="1">
        <v>12920267</v>
      </c>
      <c r="G304" s="1">
        <v>380008</v>
      </c>
    </row>
    <row r="305" spans="1:7" x14ac:dyDescent="0.35">
      <c r="A305" t="s">
        <v>15</v>
      </c>
      <c r="B305" t="s">
        <v>10</v>
      </c>
      <c r="C305" t="s">
        <v>10</v>
      </c>
      <c r="D305" t="s">
        <v>197</v>
      </c>
      <c r="E305">
        <v>2022</v>
      </c>
      <c r="F305" s="1">
        <v>21652958</v>
      </c>
      <c r="G305" s="1">
        <v>601471</v>
      </c>
    </row>
    <row r="306" spans="1:7" x14ac:dyDescent="0.35">
      <c r="A306" t="s">
        <v>113</v>
      </c>
      <c r="B306" t="s">
        <v>10</v>
      </c>
      <c r="C306" t="s">
        <v>10</v>
      </c>
      <c r="D306" t="s">
        <v>96</v>
      </c>
      <c r="E306">
        <v>2022</v>
      </c>
      <c r="F306" s="1">
        <v>14145780</v>
      </c>
      <c r="G306" s="1">
        <v>471526</v>
      </c>
    </row>
    <row r="307" spans="1:7" x14ac:dyDescent="0.35">
      <c r="A307" t="s">
        <v>121</v>
      </c>
      <c r="B307" t="s">
        <v>10</v>
      </c>
      <c r="C307" t="s">
        <v>10</v>
      </c>
      <c r="D307" t="s">
        <v>195</v>
      </c>
      <c r="E307">
        <v>2022</v>
      </c>
      <c r="F307" s="1">
        <v>16504148</v>
      </c>
      <c r="G307" s="1">
        <v>500126</v>
      </c>
    </row>
    <row r="308" spans="1:7" x14ac:dyDescent="0.35">
      <c r="A308" t="s">
        <v>98</v>
      </c>
      <c r="B308" t="s">
        <v>10</v>
      </c>
      <c r="C308" t="s">
        <v>10</v>
      </c>
      <c r="D308" t="s">
        <v>17</v>
      </c>
      <c r="E308">
        <v>2022</v>
      </c>
      <c r="F308" s="1">
        <v>12668919</v>
      </c>
      <c r="G308" s="1">
        <v>351914</v>
      </c>
    </row>
    <row r="309" spans="1:7" x14ac:dyDescent="0.35">
      <c r="A309" t="s">
        <v>114</v>
      </c>
      <c r="B309" t="s">
        <v>10</v>
      </c>
      <c r="C309" t="s">
        <v>10</v>
      </c>
      <c r="D309" t="s">
        <v>68</v>
      </c>
      <c r="E309">
        <v>2022</v>
      </c>
      <c r="F309" s="1">
        <v>13210012</v>
      </c>
      <c r="G309" s="1">
        <v>400303</v>
      </c>
    </row>
    <row r="310" spans="1:7" x14ac:dyDescent="0.35">
      <c r="A310" t="s">
        <v>228</v>
      </c>
      <c r="B310" t="s">
        <v>10</v>
      </c>
      <c r="C310" t="s">
        <v>10</v>
      </c>
      <c r="D310" t="s">
        <v>36</v>
      </c>
      <c r="E310">
        <v>2022</v>
      </c>
      <c r="F310" s="1">
        <v>12208843</v>
      </c>
      <c r="G310" s="1">
        <v>381526</v>
      </c>
    </row>
    <row r="311" spans="1:7" x14ac:dyDescent="0.35">
      <c r="A311" t="s">
        <v>83</v>
      </c>
      <c r="B311" t="s">
        <v>10</v>
      </c>
      <c r="C311" t="s">
        <v>10</v>
      </c>
      <c r="D311" t="s">
        <v>39</v>
      </c>
      <c r="E311">
        <v>2022</v>
      </c>
      <c r="F311" s="1">
        <v>11377505</v>
      </c>
      <c r="G311" s="1">
        <v>392328</v>
      </c>
    </row>
    <row r="312" spans="1:7" x14ac:dyDescent="0.35">
      <c r="A312" t="s">
        <v>125</v>
      </c>
      <c r="B312" t="s">
        <v>6</v>
      </c>
      <c r="C312" t="s">
        <v>132</v>
      </c>
      <c r="D312" t="s">
        <v>60</v>
      </c>
      <c r="E312">
        <v>2022</v>
      </c>
      <c r="F312" s="1">
        <v>15493531</v>
      </c>
      <c r="G312" s="1">
        <v>377891</v>
      </c>
    </row>
    <row r="313" spans="1:7" x14ac:dyDescent="0.35">
      <c r="A313" t="s">
        <v>110</v>
      </c>
      <c r="B313" t="s">
        <v>10</v>
      </c>
      <c r="C313" t="s">
        <v>10</v>
      </c>
      <c r="D313" t="s">
        <v>26</v>
      </c>
      <c r="E313">
        <v>2022</v>
      </c>
      <c r="F313" s="1">
        <v>16983746</v>
      </c>
      <c r="G313" s="1">
        <v>606562</v>
      </c>
    </row>
    <row r="314" spans="1:7" x14ac:dyDescent="0.35">
      <c r="A314" t="s">
        <v>88</v>
      </c>
      <c r="B314" t="s">
        <v>10</v>
      </c>
      <c r="C314" t="s">
        <v>10</v>
      </c>
      <c r="D314" t="s">
        <v>19</v>
      </c>
      <c r="E314">
        <v>2022</v>
      </c>
      <c r="F314" s="1">
        <v>12928459</v>
      </c>
      <c r="G314" s="1">
        <v>391771</v>
      </c>
    </row>
    <row r="315" spans="1:7" x14ac:dyDescent="0.35">
      <c r="A315" t="s">
        <v>109</v>
      </c>
      <c r="B315" t="s">
        <v>10</v>
      </c>
      <c r="C315" t="s">
        <v>10</v>
      </c>
      <c r="D315" t="s">
        <v>24</v>
      </c>
      <c r="E315">
        <v>2022</v>
      </c>
      <c r="F315" s="1">
        <v>15217909</v>
      </c>
      <c r="G315" s="1">
        <v>543497</v>
      </c>
    </row>
    <row r="316" spans="1:7" x14ac:dyDescent="0.35">
      <c r="A316" t="s">
        <v>78</v>
      </c>
      <c r="B316" t="s">
        <v>10</v>
      </c>
      <c r="C316" t="s">
        <v>10</v>
      </c>
      <c r="D316" t="s">
        <v>21</v>
      </c>
      <c r="E316">
        <v>2022</v>
      </c>
      <c r="F316" s="1">
        <v>39504423</v>
      </c>
      <c r="G316" s="1">
        <v>1197104</v>
      </c>
    </row>
    <row r="317" spans="1:7" x14ac:dyDescent="0.35">
      <c r="A317" t="s">
        <v>124</v>
      </c>
      <c r="B317" t="s">
        <v>10</v>
      </c>
      <c r="C317" t="s">
        <v>10</v>
      </c>
      <c r="D317" t="s">
        <v>42</v>
      </c>
      <c r="E317">
        <v>2022</v>
      </c>
      <c r="F317" s="1">
        <v>15072487</v>
      </c>
      <c r="G317" s="1">
        <v>418680</v>
      </c>
    </row>
    <row r="318" spans="1:7" x14ac:dyDescent="0.35">
      <c r="A318" t="s">
        <v>115</v>
      </c>
      <c r="B318" t="s">
        <v>6</v>
      </c>
      <c r="C318" t="s">
        <v>132</v>
      </c>
      <c r="D318" t="s">
        <v>72</v>
      </c>
      <c r="E318">
        <v>2023</v>
      </c>
      <c r="F318" s="1">
        <v>25908400</v>
      </c>
      <c r="G318" s="1">
        <v>700227</v>
      </c>
    </row>
    <row r="319" spans="1:7" x14ac:dyDescent="0.35">
      <c r="A319" t="s">
        <v>191</v>
      </c>
      <c r="B319" t="s">
        <v>10</v>
      </c>
      <c r="C319" t="s">
        <v>10</v>
      </c>
      <c r="D319" t="s">
        <v>194</v>
      </c>
      <c r="E319">
        <v>2023</v>
      </c>
      <c r="F319" s="1">
        <v>21041047</v>
      </c>
      <c r="G319" s="1">
        <v>637607</v>
      </c>
    </row>
    <row r="320" spans="1:7" x14ac:dyDescent="0.35">
      <c r="A320" t="s">
        <v>104</v>
      </c>
      <c r="B320" t="s">
        <v>6</v>
      </c>
      <c r="C320" t="s">
        <v>131</v>
      </c>
      <c r="D320" t="s">
        <v>5</v>
      </c>
      <c r="E320">
        <v>2023</v>
      </c>
      <c r="F320" s="1">
        <v>20415828</v>
      </c>
      <c r="G320" s="1">
        <v>658575</v>
      </c>
    </row>
    <row r="321" spans="1:7" x14ac:dyDescent="0.35">
      <c r="A321" t="s">
        <v>127</v>
      </c>
      <c r="B321" t="s">
        <v>10</v>
      </c>
      <c r="C321" t="s">
        <v>10</v>
      </c>
      <c r="D321" t="s">
        <v>196</v>
      </c>
      <c r="E321">
        <v>2023</v>
      </c>
      <c r="F321" s="1">
        <v>16567328</v>
      </c>
      <c r="G321" s="1">
        <v>534430</v>
      </c>
    </row>
    <row r="322" spans="1:7" x14ac:dyDescent="0.35">
      <c r="A322" t="s">
        <v>118</v>
      </c>
      <c r="B322" t="s">
        <v>6</v>
      </c>
      <c r="C322" t="s">
        <v>131</v>
      </c>
      <c r="D322" t="s">
        <v>23</v>
      </c>
      <c r="E322">
        <v>2023</v>
      </c>
      <c r="F322" s="1">
        <v>21369147</v>
      </c>
      <c r="G322" s="1">
        <v>667786</v>
      </c>
    </row>
    <row r="323" spans="1:7" x14ac:dyDescent="0.35">
      <c r="A323" t="s">
        <v>186</v>
      </c>
      <c r="B323" t="s">
        <v>10</v>
      </c>
      <c r="C323" t="s">
        <v>10</v>
      </c>
      <c r="D323" t="s">
        <v>193</v>
      </c>
      <c r="E323">
        <v>2023</v>
      </c>
      <c r="F323" s="1">
        <v>15408616</v>
      </c>
      <c r="G323" s="1">
        <v>395093</v>
      </c>
    </row>
    <row r="324" spans="1:7" x14ac:dyDescent="0.35">
      <c r="A324" t="s">
        <v>37</v>
      </c>
      <c r="B324" t="s">
        <v>6</v>
      </c>
      <c r="C324" t="s">
        <v>131</v>
      </c>
      <c r="D324" t="s">
        <v>9</v>
      </c>
      <c r="E324">
        <v>2023</v>
      </c>
      <c r="F324" s="1">
        <v>16431203</v>
      </c>
      <c r="G324" s="1">
        <v>432400</v>
      </c>
    </row>
    <row r="325" spans="1:7" x14ac:dyDescent="0.35">
      <c r="A325" t="s">
        <v>105</v>
      </c>
      <c r="B325" t="s">
        <v>10</v>
      </c>
      <c r="C325" t="s">
        <v>10</v>
      </c>
      <c r="D325" t="s">
        <v>198</v>
      </c>
      <c r="E325">
        <v>2023</v>
      </c>
      <c r="F325" s="1">
        <v>21221507</v>
      </c>
      <c r="G325" s="1">
        <v>606329</v>
      </c>
    </row>
    <row r="326" spans="1:7" x14ac:dyDescent="0.35">
      <c r="A326" t="s">
        <v>123</v>
      </c>
      <c r="B326" t="s">
        <v>10</v>
      </c>
      <c r="C326" t="s">
        <v>10</v>
      </c>
      <c r="D326" t="s">
        <v>11</v>
      </c>
      <c r="E326">
        <v>2023</v>
      </c>
      <c r="F326" s="1">
        <v>15010296</v>
      </c>
      <c r="G326" s="1">
        <v>454857</v>
      </c>
    </row>
    <row r="327" spans="1:7" x14ac:dyDescent="0.35">
      <c r="A327" t="s">
        <v>117</v>
      </c>
      <c r="B327" t="s">
        <v>10</v>
      </c>
      <c r="C327" t="s">
        <v>10</v>
      </c>
      <c r="D327" t="s">
        <v>64</v>
      </c>
      <c r="E327">
        <v>2023</v>
      </c>
      <c r="F327" s="1">
        <v>17879676</v>
      </c>
      <c r="G327" s="1">
        <v>510848</v>
      </c>
    </row>
    <row r="328" spans="1:7" x14ac:dyDescent="0.35">
      <c r="A328" t="s">
        <v>122</v>
      </c>
      <c r="B328" t="s">
        <v>10</v>
      </c>
      <c r="C328" t="s">
        <v>10</v>
      </c>
      <c r="D328" t="s">
        <v>79</v>
      </c>
      <c r="E328">
        <v>2023</v>
      </c>
      <c r="F328" s="1">
        <v>21610901</v>
      </c>
      <c r="G328" s="1">
        <v>617454</v>
      </c>
    </row>
    <row r="329" spans="1:7" x14ac:dyDescent="0.35">
      <c r="A329" t="s">
        <v>126</v>
      </c>
      <c r="B329" t="s">
        <v>10</v>
      </c>
      <c r="C329" t="s">
        <v>10</v>
      </c>
      <c r="D329" t="s">
        <v>14</v>
      </c>
      <c r="E329">
        <v>2023</v>
      </c>
      <c r="F329" s="1">
        <v>26532359</v>
      </c>
      <c r="G329" s="1">
        <v>758067</v>
      </c>
    </row>
    <row r="330" spans="1:7" x14ac:dyDescent="0.35">
      <c r="A330" t="s">
        <v>128</v>
      </c>
      <c r="B330" t="s">
        <v>10</v>
      </c>
      <c r="C330" t="s">
        <v>10</v>
      </c>
      <c r="D330" t="s">
        <v>94</v>
      </c>
      <c r="E330">
        <v>2023</v>
      </c>
      <c r="F330" s="1">
        <v>43356256</v>
      </c>
      <c r="G330" s="1">
        <v>1083906</v>
      </c>
    </row>
    <row r="331" spans="1:7" x14ac:dyDescent="0.35">
      <c r="A331" t="s">
        <v>67</v>
      </c>
      <c r="B331" t="s">
        <v>10</v>
      </c>
      <c r="C331" t="s">
        <v>10</v>
      </c>
      <c r="D331" t="s">
        <v>74</v>
      </c>
      <c r="E331">
        <v>2023</v>
      </c>
      <c r="F331" s="1">
        <v>16405202</v>
      </c>
      <c r="G331" s="1">
        <v>482506</v>
      </c>
    </row>
    <row r="332" spans="1:7" x14ac:dyDescent="0.35">
      <c r="A332" t="s">
        <v>116</v>
      </c>
      <c r="B332" t="s">
        <v>10</v>
      </c>
      <c r="C332" t="s">
        <v>10</v>
      </c>
      <c r="D332" t="s">
        <v>45</v>
      </c>
      <c r="E332">
        <v>2023</v>
      </c>
      <c r="F332" s="1">
        <v>11474537</v>
      </c>
      <c r="G332" s="1">
        <v>358579</v>
      </c>
    </row>
    <row r="333" spans="1:7" x14ac:dyDescent="0.35">
      <c r="A333" t="s">
        <v>15</v>
      </c>
      <c r="B333" t="s">
        <v>10</v>
      </c>
      <c r="C333" t="s">
        <v>10</v>
      </c>
      <c r="D333" t="s">
        <v>197</v>
      </c>
      <c r="E333">
        <v>2023</v>
      </c>
      <c r="F333" s="1">
        <v>21068550</v>
      </c>
      <c r="G333" s="1">
        <v>585238</v>
      </c>
    </row>
    <row r="334" spans="1:7" x14ac:dyDescent="0.35">
      <c r="A334" t="s">
        <v>113</v>
      </c>
      <c r="B334" t="s">
        <v>10</v>
      </c>
      <c r="C334" t="s">
        <v>10</v>
      </c>
      <c r="D334" t="s">
        <v>96</v>
      </c>
      <c r="E334">
        <v>2023</v>
      </c>
      <c r="F334" s="1">
        <v>17257138</v>
      </c>
      <c r="G334" s="1">
        <v>556682</v>
      </c>
    </row>
    <row r="335" spans="1:7" x14ac:dyDescent="0.35">
      <c r="A335" t="s">
        <v>121</v>
      </c>
      <c r="B335" t="s">
        <v>10</v>
      </c>
      <c r="C335" t="s">
        <v>10</v>
      </c>
      <c r="D335" t="s">
        <v>195</v>
      </c>
      <c r="E335">
        <v>2023</v>
      </c>
      <c r="F335" s="1">
        <v>18704118</v>
      </c>
      <c r="G335" s="1">
        <v>479593</v>
      </c>
    </row>
    <row r="336" spans="1:7" x14ac:dyDescent="0.35">
      <c r="A336" t="s">
        <v>120</v>
      </c>
      <c r="B336" t="s">
        <v>10</v>
      </c>
      <c r="C336" t="s">
        <v>10</v>
      </c>
      <c r="D336" t="s">
        <v>17</v>
      </c>
      <c r="E336">
        <v>2023</v>
      </c>
      <c r="F336" s="1">
        <v>11705027</v>
      </c>
      <c r="G336" s="1">
        <v>354698</v>
      </c>
    </row>
    <row r="337" spans="1:7" x14ac:dyDescent="0.35">
      <c r="A337" t="s">
        <v>114</v>
      </c>
      <c r="B337" t="s">
        <v>10</v>
      </c>
      <c r="C337" t="s">
        <v>10</v>
      </c>
      <c r="D337" t="s">
        <v>68</v>
      </c>
      <c r="E337">
        <v>2023</v>
      </c>
      <c r="F337" s="1">
        <v>11696519</v>
      </c>
      <c r="G337" s="1">
        <v>377307</v>
      </c>
    </row>
    <row r="338" spans="1:7" x14ac:dyDescent="0.35">
      <c r="A338" t="s">
        <v>228</v>
      </c>
      <c r="B338" t="s">
        <v>10</v>
      </c>
      <c r="C338" t="s">
        <v>10</v>
      </c>
      <c r="D338" t="s">
        <v>36</v>
      </c>
      <c r="E338">
        <v>2023</v>
      </c>
      <c r="F338" s="1">
        <v>14174297</v>
      </c>
      <c r="G338" s="1">
        <v>472477</v>
      </c>
    </row>
    <row r="339" spans="1:7" x14ac:dyDescent="0.35">
      <c r="A339" t="s">
        <v>83</v>
      </c>
      <c r="B339" t="s">
        <v>10</v>
      </c>
      <c r="C339" t="s">
        <v>10</v>
      </c>
      <c r="D339" t="s">
        <v>39</v>
      </c>
      <c r="E339">
        <v>2023</v>
      </c>
      <c r="F339" s="1">
        <v>16363541</v>
      </c>
      <c r="G339" s="1">
        <v>527856</v>
      </c>
    </row>
    <row r="340" spans="1:7" x14ac:dyDescent="0.35">
      <c r="A340" t="s">
        <v>125</v>
      </c>
      <c r="B340" t="s">
        <v>6</v>
      </c>
      <c r="C340" t="s">
        <v>132</v>
      </c>
      <c r="D340" t="s">
        <v>60</v>
      </c>
      <c r="E340">
        <v>2023</v>
      </c>
      <c r="F340" s="1">
        <v>14974195</v>
      </c>
      <c r="G340" s="1">
        <v>394058</v>
      </c>
    </row>
    <row r="341" spans="1:7" x14ac:dyDescent="0.35">
      <c r="A341" t="s">
        <v>110</v>
      </c>
      <c r="B341" t="s">
        <v>10</v>
      </c>
      <c r="C341" t="s">
        <v>10</v>
      </c>
      <c r="D341" t="s">
        <v>26</v>
      </c>
      <c r="E341">
        <v>2023</v>
      </c>
      <c r="F341" s="1">
        <v>19185352</v>
      </c>
      <c r="G341" s="1">
        <v>661564</v>
      </c>
    </row>
    <row r="342" spans="1:7" x14ac:dyDescent="0.35">
      <c r="A342" t="s">
        <v>112</v>
      </c>
      <c r="B342" t="s">
        <v>10</v>
      </c>
      <c r="C342" t="s">
        <v>10</v>
      </c>
      <c r="D342" t="s">
        <v>19</v>
      </c>
      <c r="E342">
        <v>2023</v>
      </c>
      <c r="F342" s="1">
        <v>14600008</v>
      </c>
      <c r="G342" s="1">
        <v>442424</v>
      </c>
    </row>
    <row r="343" spans="1:7" x14ac:dyDescent="0.35">
      <c r="A343" t="s">
        <v>109</v>
      </c>
      <c r="B343" t="s">
        <v>10</v>
      </c>
      <c r="C343" t="s">
        <v>10</v>
      </c>
      <c r="D343" t="s">
        <v>24</v>
      </c>
      <c r="E343">
        <v>2023</v>
      </c>
      <c r="F343" s="1">
        <v>15064779</v>
      </c>
      <c r="G343" s="1">
        <v>470774</v>
      </c>
    </row>
    <row r="344" spans="1:7" x14ac:dyDescent="0.35">
      <c r="A344" t="s">
        <v>119</v>
      </c>
      <c r="B344" t="s">
        <v>10</v>
      </c>
      <c r="C344" t="s">
        <v>10</v>
      </c>
      <c r="D344" t="s">
        <v>107</v>
      </c>
      <c r="E344">
        <v>2023</v>
      </c>
      <c r="F344" s="1">
        <v>11186787</v>
      </c>
      <c r="G344" s="1">
        <v>360864</v>
      </c>
    </row>
    <row r="345" spans="1:7" x14ac:dyDescent="0.35">
      <c r="A345" t="s">
        <v>78</v>
      </c>
      <c r="B345" t="s">
        <v>10</v>
      </c>
      <c r="C345" t="s">
        <v>10</v>
      </c>
      <c r="D345" t="s">
        <v>21</v>
      </c>
      <c r="E345">
        <v>2023</v>
      </c>
      <c r="F345" s="1">
        <v>35380365</v>
      </c>
      <c r="G345" s="1">
        <v>1072132</v>
      </c>
    </row>
    <row r="346" spans="1:7" x14ac:dyDescent="0.35">
      <c r="A346" t="s">
        <v>124</v>
      </c>
      <c r="B346" t="s">
        <v>10</v>
      </c>
      <c r="C346" t="s">
        <v>10</v>
      </c>
      <c r="D346" t="s">
        <v>42</v>
      </c>
      <c r="E346">
        <v>2023</v>
      </c>
      <c r="F346" s="1">
        <v>15617214</v>
      </c>
      <c r="G346" s="1">
        <v>503781</v>
      </c>
    </row>
  </sheetData>
  <sortState xmlns:xlrd2="http://schemas.microsoft.com/office/spreadsheetml/2017/richdata2" ref="A2:G346">
    <sortCondition ref="E1:E346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CC1B-BDA1-4C52-8B6F-F862F42FC95E}">
  <dimension ref="A1:F257"/>
  <sheetViews>
    <sheetView workbookViewId="0">
      <selection activeCell="E1" sqref="E1:E1048576"/>
    </sheetView>
  </sheetViews>
  <sheetFormatPr defaultRowHeight="14.5" x14ac:dyDescent="0.35"/>
  <cols>
    <col min="2" max="2" width="25.54296875" bestFit="1" customWidth="1"/>
    <col min="3" max="3" width="34" bestFit="1" customWidth="1"/>
    <col min="4" max="4" width="34" customWidth="1"/>
    <col min="7" max="7" width="12.6328125" bestFit="1" customWidth="1"/>
    <col min="8" max="8" width="12.81640625" bestFit="1" customWidth="1"/>
  </cols>
  <sheetData>
    <row r="1" spans="1:6" x14ac:dyDescent="0.35">
      <c r="A1" t="s">
        <v>523</v>
      </c>
      <c r="B1" t="s">
        <v>337</v>
      </c>
      <c r="C1" t="s">
        <v>524</v>
      </c>
      <c r="D1" t="s">
        <v>526</v>
      </c>
      <c r="E1" t="s">
        <v>525</v>
      </c>
      <c r="F1" t="s">
        <v>527</v>
      </c>
    </row>
    <row r="2" spans="1:6" x14ac:dyDescent="0.35">
      <c r="A2">
        <v>1</v>
      </c>
      <c r="B2" t="s">
        <v>230</v>
      </c>
      <c r="C2" t="s">
        <v>397</v>
      </c>
      <c r="D2">
        <f>COUNTIF($C$2:C2, C2)</f>
        <v>1</v>
      </c>
      <c r="E2">
        <v>93.8</v>
      </c>
      <c r="F2" t="s">
        <v>184</v>
      </c>
    </row>
    <row r="3" spans="1:6" x14ac:dyDescent="0.35">
      <c r="A3">
        <v>2</v>
      </c>
      <c r="B3" t="s">
        <v>231</v>
      </c>
      <c r="C3" t="s">
        <v>398</v>
      </c>
      <c r="D3">
        <f>COUNTIF($C$2:C3, C3)</f>
        <v>1</v>
      </c>
      <c r="E3">
        <v>90.8</v>
      </c>
      <c r="F3" t="s">
        <v>528</v>
      </c>
    </row>
    <row r="4" spans="1:6" x14ac:dyDescent="0.35">
      <c r="A4">
        <v>3</v>
      </c>
      <c r="B4" t="s">
        <v>232</v>
      </c>
      <c r="C4" t="s">
        <v>399</v>
      </c>
      <c r="D4">
        <f>COUNTIF($C$2:C4, C4)</f>
        <v>1</v>
      </c>
      <c r="E4">
        <v>90.3</v>
      </c>
      <c r="F4" t="s">
        <v>542</v>
      </c>
    </row>
    <row r="5" spans="1:6" x14ac:dyDescent="0.35">
      <c r="A5">
        <v>4</v>
      </c>
      <c r="B5" t="s">
        <v>233</v>
      </c>
      <c r="C5" t="s">
        <v>400</v>
      </c>
      <c r="D5">
        <f>COUNTIF($C$2:C5, C5)</f>
        <v>1</v>
      </c>
      <c r="E5">
        <v>89.5</v>
      </c>
      <c r="F5" t="s">
        <v>529</v>
      </c>
    </row>
    <row r="6" spans="1:6" x14ac:dyDescent="0.35">
      <c r="A6">
        <v>5</v>
      </c>
      <c r="B6" t="s">
        <v>233</v>
      </c>
      <c r="C6" t="s">
        <v>401</v>
      </c>
      <c r="D6">
        <f>COUNTIF($C$2:C6, C6)</f>
        <v>1</v>
      </c>
      <c r="E6">
        <v>86.2</v>
      </c>
      <c r="F6" t="s">
        <v>530</v>
      </c>
    </row>
    <row r="7" spans="1:6" x14ac:dyDescent="0.35">
      <c r="A7">
        <v>6</v>
      </c>
      <c r="B7" t="s">
        <v>190</v>
      </c>
      <c r="C7" t="s">
        <v>402</v>
      </c>
      <c r="D7">
        <f>COUNTIF($C$2:C7, C7)</f>
        <v>1</v>
      </c>
      <c r="E7">
        <v>85.1</v>
      </c>
      <c r="F7" t="s">
        <v>208</v>
      </c>
    </row>
    <row r="8" spans="1:6" x14ac:dyDescent="0.35">
      <c r="A8">
        <v>7</v>
      </c>
      <c r="B8" t="s">
        <v>234</v>
      </c>
      <c r="C8" t="s">
        <v>403</v>
      </c>
      <c r="D8">
        <f>COUNTIF($C$2:C8, C8)</f>
        <v>1</v>
      </c>
      <c r="E8">
        <v>84.4</v>
      </c>
      <c r="F8" t="s">
        <v>531</v>
      </c>
    </row>
    <row r="9" spans="1:6" x14ac:dyDescent="0.35">
      <c r="A9">
        <v>8</v>
      </c>
      <c r="B9" t="s">
        <v>235</v>
      </c>
      <c r="C9" t="s">
        <v>404</v>
      </c>
      <c r="D9">
        <f>COUNTIF($C$2:C9, C9)</f>
        <v>1</v>
      </c>
      <c r="E9">
        <v>80.8</v>
      </c>
      <c r="F9" t="s">
        <v>532</v>
      </c>
    </row>
    <row r="10" spans="1:6" x14ac:dyDescent="0.35">
      <c r="A10">
        <v>9</v>
      </c>
      <c r="B10" t="s">
        <v>236</v>
      </c>
      <c r="C10" t="s">
        <v>405</v>
      </c>
      <c r="D10">
        <f>COUNTIF($C$2:C10, C10)</f>
        <v>1</v>
      </c>
      <c r="E10">
        <v>80.8</v>
      </c>
      <c r="F10" t="s">
        <v>533</v>
      </c>
    </row>
    <row r="11" spans="1:6" x14ac:dyDescent="0.35">
      <c r="A11">
        <v>10</v>
      </c>
      <c r="B11" t="s">
        <v>237</v>
      </c>
      <c r="C11" t="s">
        <v>406</v>
      </c>
      <c r="D11">
        <f>COUNTIF($C$2:C11, C11)</f>
        <v>1</v>
      </c>
      <c r="E11">
        <v>80.7</v>
      </c>
      <c r="F11" t="s">
        <v>534</v>
      </c>
    </row>
    <row r="12" spans="1:6" x14ac:dyDescent="0.35">
      <c r="A12">
        <v>11</v>
      </c>
      <c r="B12" t="s">
        <v>180</v>
      </c>
      <c r="C12" t="s">
        <v>407</v>
      </c>
      <c r="D12">
        <f>COUNTIF($C$2:C12, C12)</f>
        <v>1</v>
      </c>
      <c r="E12">
        <v>80</v>
      </c>
      <c r="F12" t="s">
        <v>201</v>
      </c>
    </row>
    <row r="13" spans="1:6" x14ac:dyDescent="0.35">
      <c r="A13">
        <v>12</v>
      </c>
      <c r="B13" t="s">
        <v>230</v>
      </c>
      <c r="C13" t="s">
        <v>408</v>
      </c>
      <c r="D13">
        <f>COUNTIF($C$2:C13, C13)</f>
        <v>1</v>
      </c>
      <c r="E13">
        <v>79.8</v>
      </c>
      <c r="F13" t="s">
        <v>535</v>
      </c>
    </row>
    <row r="14" spans="1:6" x14ac:dyDescent="0.35">
      <c r="A14">
        <v>13</v>
      </c>
      <c r="B14" t="s">
        <v>238</v>
      </c>
      <c r="C14" t="s">
        <v>409</v>
      </c>
      <c r="D14">
        <f>COUNTIF($C$2:C14, C14)</f>
        <v>1</v>
      </c>
      <c r="E14">
        <v>78.400000000000006</v>
      </c>
      <c r="F14" t="s">
        <v>652</v>
      </c>
    </row>
    <row r="15" spans="1:6" x14ac:dyDescent="0.35">
      <c r="A15">
        <v>14</v>
      </c>
      <c r="B15" t="s">
        <v>189</v>
      </c>
      <c r="C15" t="s">
        <v>410</v>
      </c>
      <c r="D15">
        <f>COUNTIF($C$2:C15, C15)</f>
        <v>1</v>
      </c>
      <c r="E15">
        <v>78.400000000000006</v>
      </c>
      <c r="F15" t="s">
        <v>197</v>
      </c>
    </row>
    <row r="16" spans="1:6" x14ac:dyDescent="0.35">
      <c r="A16">
        <v>15</v>
      </c>
      <c r="B16" t="s">
        <v>239</v>
      </c>
      <c r="C16" t="s">
        <v>411</v>
      </c>
      <c r="D16">
        <f>COUNTIF($C$2:C16, C16)</f>
        <v>1</v>
      </c>
      <c r="E16">
        <v>78.099999999999994</v>
      </c>
      <c r="F16" t="s">
        <v>536</v>
      </c>
    </row>
    <row r="17" spans="1:6" x14ac:dyDescent="0.35">
      <c r="A17">
        <v>16</v>
      </c>
      <c r="B17" t="s">
        <v>237</v>
      </c>
      <c r="C17" t="s">
        <v>412</v>
      </c>
      <c r="D17">
        <f>COUNTIF($C$2:C17, C17)</f>
        <v>1</v>
      </c>
      <c r="E17">
        <v>77.400000000000006</v>
      </c>
      <c r="F17" t="s">
        <v>539</v>
      </c>
    </row>
    <row r="18" spans="1:6" x14ac:dyDescent="0.35">
      <c r="A18">
        <v>17</v>
      </c>
      <c r="B18" t="s">
        <v>240</v>
      </c>
      <c r="C18" t="s">
        <v>398</v>
      </c>
      <c r="D18">
        <f>COUNTIF($C$2:C18, C18)</f>
        <v>2</v>
      </c>
      <c r="E18">
        <v>77.3</v>
      </c>
      <c r="F18" t="s">
        <v>538</v>
      </c>
    </row>
    <row r="19" spans="1:6" x14ac:dyDescent="0.35">
      <c r="A19">
        <v>18</v>
      </c>
      <c r="B19" t="s">
        <v>241</v>
      </c>
      <c r="C19" t="s">
        <v>399</v>
      </c>
      <c r="D19">
        <f>COUNTIF($C$2:C19, C19)</f>
        <v>2</v>
      </c>
      <c r="E19">
        <v>77.099999999999994</v>
      </c>
      <c r="F19" t="s">
        <v>653</v>
      </c>
    </row>
    <row r="20" spans="1:6" x14ac:dyDescent="0.35">
      <c r="A20">
        <v>19</v>
      </c>
      <c r="B20" t="s">
        <v>242</v>
      </c>
      <c r="C20" t="s">
        <v>413</v>
      </c>
      <c r="D20">
        <f>COUNTIF($C$2:C20, C20)</f>
        <v>1</v>
      </c>
      <c r="E20">
        <v>77.099999999999994</v>
      </c>
      <c r="F20" t="s">
        <v>779</v>
      </c>
    </row>
    <row r="21" spans="1:6" x14ac:dyDescent="0.35">
      <c r="A21">
        <v>20</v>
      </c>
      <c r="B21" t="s">
        <v>243</v>
      </c>
      <c r="C21" t="s">
        <v>414</v>
      </c>
      <c r="D21">
        <f>COUNTIF($C$2:C21, C21)</f>
        <v>1</v>
      </c>
      <c r="E21">
        <v>76.900000000000006</v>
      </c>
      <c r="F21" t="s">
        <v>544</v>
      </c>
    </row>
    <row r="22" spans="1:6" x14ac:dyDescent="0.35">
      <c r="A22">
        <v>20</v>
      </c>
      <c r="B22" t="s">
        <v>784</v>
      </c>
      <c r="C22" t="s">
        <v>785</v>
      </c>
      <c r="D22">
        <v>1</v>
      </c>
      <c r="E22">
        <v>76.8</v>
      </c>
      <c r="F22" t="s">
        <v>756</v>
      </c>
    </row>
    <row r="23" spans="1:6" x14ac:dyDescent="0.35">
      <c r="A23">
        <v>21</v>
      </c>
      <c r="B23" t="s">
        <v>244</v>
      </c>
      <c r="C23" t="s">
        <v>415</v>
      </c>
      <c r="D23">
        <f>COUNTIF($C$2:C23, C23)</f>
        <v>1</v>
      </c>
      <c r="E23">
        <v>76.8</v>
      </c>
      <c r="F23" t="s">
        <v>203</v>
      </c>
    </row>
    <row r="24" spans="1:6" x14ac:dyDescent="0.35">
      <c r="A24">
        <v>22</v>
      </c>
      <c r="B24" t="s">
        <v>245</v>
      </c>
      <c r="C24" t="s">
        <v>416</v>
      </c>
      <c r="D24">
        <f>COUNTIF($C$2:C24, C24)</f>
        <v>1</v>
      </c>
      <c r="E24">
        <v>76.8</v>
      </c>
      <c r="F24" t="s">
        <v>655</v>
      </c>
    </row>
    <row r="25" spans="1:6" x14ac:dyDescent="0.35">
      <c r="A25">
        <v>23</v>
      </c>
      <c r="B25" t="s">
        <v>239</v>
      </c>
      <c r="C25" t="s">
        <v>417</v>
      </c>
      <c r="D25">
        <f>COUNTIF($C$2:C25, C25)</f>
        <v>1</v>
      </c>
      <c r="E25">
        <v>76.599999999999994</v>
      </c>
      <c r="F25" t="s">
        <v>545</v>
      </c>
    </row>
    <row r="26" spans="1:6" x14ac:dyDescent="0.35">
      <c r="A26">
        <v>24</v>
      </c>
      <c r="B26" t="s">
        <v>246</v>
      </c>
      <c r="C26" t="s">
        <v>401</v>
      </c>
      <c r="D26">
        <f>COUNTIF($C$2:C26, C26)</f>
        <v>2</v>
      </c>
      <c r="E26">
        <v>75.5</v>
      </c>
      <c r="F26" t="s">
        <v>546</v>
      </c>
    </row>
    <row r="27" spans="1:6" x14ac:dyDescent="0.35">
      <c r="A27">
        <v>25</v>
      </c>
      <c r="B27" t="s">
        <v>247</v>
      </c>
      <c r="C27" t="s">
        <v>397</v>
      </c>
      <c r="D27">
        <f>COUNTIF($C$2:C27, C27)</f>
        <v>2</v>
      </c>
      <c r="E27">
        <v>75.400000000000006</v>
      </c>
      <c r="F27" t="s">
        <v>185</v>
      </c>
    </row>
    <row r="28" spans="1:6" x14ac:dyDescent="0.35">
      <c r="A28">
        <v>26</v>
      </c>
      <c r="B28" t="s">
        <v>232</v>
      </c>
      <c r="C28" t="s">
        <v>418</v>
      </c>
      <c r="D28">
        <f>COUNTIF($C$2:C28, C28)</f>
        <v>1</v>
      </c>
      <c r="E28">
        <v>75.3</v>
      </c>
      <c r="F28" t="s">
        <v>206</v>
      </c>
    </row>
    <row r="29" spans="1:6" x14ac:dyDescent="0.35">
      <c r="A29">
        <v>27</v>
      </c>
      <c r="B29" t="s">
        <v>246</v>
      </c>
      <c r="C29" t="s">
        <v>400</v>
      </c>
      <c r="D29">
        <f>COUNTIF($C$2:C29, C29)</f>
        <v>2</v>
      </c>
      <c r="E29">
        <v>74.8</v>
      </c>
      <c r="F29" t="s">
        <v>547</v>
      </c>
    </row>
    <row r="30" spans="1:6" x14ac:dyDescent="0.35">
      <c r="A30">
        <v>28</v>
      </c>
      <c r="B30" t="s">
        <v>248</v>
      </c>
      <c r="C30" t="s">
        <v>419</v>
      </c>
      <c r="D30">
        <f>COUNTIF($C$2:C30, C30)</f>
        <v>1</v>
      </c>
      <c r="E30">
        <v>74.2</v>
      </c>
      <c r="F30" t="s">
        <v>769</v>
      </c>
    </row>
    <row r="31" spans="1:6" x14ac:dyDescent="0.35">
      <c r="A31">
        <v>29</v>
      </c>
      <c r="B31" t="s">
        <v>249</v>
      </c>
      <c r="C31" t="s">
        <v>420</v>
      </c>
      <c r="D31">
        <f>COUNTIF($C$2:C31, C31)</f>
        <v>1</v>
      </c>
      <c r="E31">
        <v>73.900000000000006</v>
      </c>
      <c r="F31" t="s">
        <v>730</v>
      </c>
    </row>
    <row r="32" spans="1:6" x14ac:dyDescent="0.35">
      <c r="A32">
        <v>30</v>
      </c>
      <c r="B32" t="s">
        <v>250</v>
      </c>
      <c r="C32" t="s">
        <v>421</v>
      </c>
      <c r="D32">
        <f>COUNTIF($C$2:C32, C32)</f>
        <v>1</v>
      </c>
      <c r="E32">
        <v>73.7</v>
      </c>
      <c r="F32" t="s">
        <v>654</v>
      </c>
    </row>
    <row r="33" spans="1:6" x14ac:dyDescent="0.35">
      <c r="A33">
        <v>31</v>
      </c>
      <c r="B33" t="s">
        <v>251</v>
      </c>
      <c r="C33" t="s">
        <v>422</v>
      </c>
      <c r="D33">
        <f>COUNTIF($C$2:C33, C33)</f>
        <v>1</v>
      </c>
      <c r="E33">
        <v>73.5</v>
      </c>
      <c r="F33" t="s">
        <v>753</v>
      </c>
    </row>
    <row r="34" spans="1:6" x14ac:dyDescent="0.35">
      <c r="A34">
        <v>32</v>
      </c>
      <c r="B34" t="s">
        <v>252</v>
      </c>
      <c r="C34" t="s">
        <v>423</v>
      </c>
      <c r="D34">
        <f>COUNTIF($C$2:C34, C34)</f>
        <v>1</v>
      </c>
      <c r="E34">
        <v>73.400000000000006</v>
      </c>
      <c r="F34" t="s">
        <v>548</v>
      </c>
    </row>
    <row r="35" spans="1:6" x14ac:dyDescent="0.35">
      <c r="A35">
        <v>33</v>
      </c>
      <c r="B35" t="s">
        <v>235</v>
      </c>
      <c r="C35" t="s">
        <v>424</v>
      </c>
      <c r="D35">
        <f>COUNTIF($C$2:C35, C35)</f>
        <v>1</v>
      </c>
      <c r="E35">
        <v>72.7</v>
      </c>
      <c r="F35" t="s">
        <v>549</v>
      </c>
    </row>
    <row r="36" spans="1:6" x14ac:dyDescent="0.35">
      <c r="A36">
        <v>34</v>
      </c>
      <c r="B36" t="s">
        <v>253</v>
      </c>
      <c r="C36" t="s">
        <v>407</v>
      </c>
      <c r="D36">
        <f>COUNTIF($C$2:C36, C36)</f>
        <v>2</v>
      </c>
      <c r="E36">
        <v>72.2</v>
      </c>
      <c r="F36" t="s">
        <v>656</v>
      </c>
    </row>
    <row r="37" spans="1:6" x14ac:dyDescent="0.35">
      <c r="A37">
        <v>35</v>
      </c>
      <c r="B37" t="s">
        <v>254</v>
      </c>
      <c r="C37" t="s">
        <v>425</v>
      </c>
      <c r="D37">
        <f>COUNTIF($C$2:C37, C37)</f>
        <v>1</v>
      </c>
      <c r="E37">
        <v>72.099999999999994</v>
      </c>
      <c r="F37" t="s">
        <v>754</v>
      </c>
    </row>
    <row r="38" spans="1:6" x14ac:dyDescent="0.35">
      <c r="A38">
        <v>36</v>
      </c>
      <c r="B38" t="s">
        <v>255</v>
      </c>
      <c r="C38" t="s">
        <v>402</v>
      </c>
      <c r="D38">
        <f>COUNTIF($C$2:C38, C38)</f>
        <v>2</v>
      </c>
      <c r="E38">
        <v>71.7</v>
      </c>
      <c r="F38" t="s">
        <v>775</v>
      </c>
    </row>
    <row r="39" spans="1:6" x14ac:dyDescent="0.35">
      <c r="A39">
        <v>37</v>
      </c>
      <c r="B39" t="s">
        <v>256</v>
      </c>
      <c r="C39" t="s">
        <v>426</v>
      </c>
      <c r="D39">
        <f>COUNTIF($C$2:C39, C39)</f>
        <v>1</v>
      </c>
      <c r="E39">
        <v>71.599999999999994</v>
      </c>
      <c r="F39" t="s">
        <v>657</v>
      </c>
    </row>
    <row r="40" spans="1:6" x14ac:dyDescent="0.35">
      <c r="A40">
        <v>38</v>
      </c>
      <c r="B40" t="s">
        <v>257</v>
      </c>
      <c r="C40" t="s">
        <v>403</v>
      </c>
      <c r="D40">
        <f>COUNTIF($C$2:C40, C40)</f>
        <v>2</v>
      </c>
      <c r="E40">
        <v>71.599999999999994</v>
      </c>
      <c r="F40" t="s">
        <v>740</v>
      </c>
    </row>
    <row r="41" spans="1:6" x14ac:dyDescent="0.35">
      <c r="A41">
        <v>39</v>
      </c>
      <c r="B41" t="s">
        <v>235</v>
      </c>
      <c r="C41" t="s">
        <v>427</v>
      </c>
      <c r="D41">
        <f>COUNTIF($C$2:C41, C41)</f>
        <v>1</v>
      </c>
      <c r="E41">
        <v>71.400000000000006</v>
      </c>
      <c r="F41" t="s">
        <v>555</v>
      </c>
    </row>
    <row r="42" spans="1:6" x14ac:dyDescent="0.35">
      <c r="A42">
        <v>39</v>
      </c>
      <c r="B42" t="s">
        <v>258</v>
      </c>
      <c r="C42" t="s">
        <v>404</v>
      </c>
      <c r="D42">
        <f>COUNTIF($C$2:C42, C42)</f>
        <v>2</v>
      </c>
      <c r="E42">
        <v>71.400000000000006</v>
      </c>
      <c r="F42" t="s">
        <v>556</v>
      </c>
    </row>
    <row r="43" spans="1:6" x14ac:dyDescent="0.35">
      <c r="A43">
        <v>41</v>
      </c>
      <c r="B43" t="s">
        <v>259</v>
      </c>
      <c r="C43" t="s">
        <v>428</v>
      </c>
      <c r="D43">
        <f>COUNTIF($C$2:C43, C43)</f>
        <v>1</v>
      </c>
      <c r="E43">
        <v>71</v>
      </c>
      <c r="F43" t="s">
        <v>537</v>
      </c>
    </row>
    <row r="44" spans="1:6" x14ac:dyDescent="0.35">
      <c r="A44">
        <v>42</v>
      </c>
      <c r="B44" t="s">
        <v>260</v>
      </c>
      <c r="C44" t="s">
        <v>429</v>
      </c>
      <c r="D44">
        <f>COUNTIF($C$2:C44, C44)</f>
        <v>1</v>
      </c>
      <c r="E44">
        <v>71</v>
      </c>
      <c r="F44" t="s">
        <v>557</v>
      </c>
    </row>
    <row r="45" spans="1:6" x14ac:dyDescent="0.35">
      <c r="A45">
        <v>43</v>
      </c>
      <c r="B45" t="s">
        <v>259</v>
      </c>
      <c r="C45" t="s">
        <v>430</v>
      </c>
      <c r="D45">
        <f>COUNTIF($C$2:C45, C45)</f>
        <v>1</v>
      </c>
      <c r="E45">
        <v>70.900000000000006</v>
      </c>
      <c r="F45" t="s">
        <v>551</v>
      </c>
    </row>
    <row r="46" spans="1:6" x14ac:dyDescent="0.35">
      <c r="A46">
        <v>43</v>
      </c>
      <c r="B46" t="s">
        <v>261</v>
      </c>
      <c r="C46" t="s">
        <v>401</v>
      </c>
      <c r="D46">
        <f>COUNTIF($C$2:C46, C46)</f>
        <v>3</v>
      </c>
      <c r="E46">
        <v>70.900000000000006</v>
      </c>
      <c r="F46" t="s">
        <v>558</v>
      </c>
    </row>
    <row r="47" spans="1:6" x14ac:dyDescent="0.35">
      <c r="A47">
        <v>45</v>
      </c>
      <c r="B47" t="s">
        <v>235</v>
      </c>
      <c r="C47" t="s">
        <v>431</v>
      </c>
      <c r="D47">
        <f>COUNTIF($C$2:C47, C47)</f>
        <v>1</v>
      </c>
      <c r="E47">
        <v>70.8</v>
      </c>
      <c r="F47" t="s">
        <v>658</v>
      </c>
    </row>
    <row r="48" spans="1:6" x14ac:dyDescent="0.35">
      <c r="A48">
        <v>46</v>
      </c>
      <c r="B48" t="s">
        <v>262</v>
      </c>
      <c r="C48" t="s">
        <v>432</v>
      </c>
      <c r="D48">
        <f>COUNTIF($C$2:C48, C48)</f>
        <v>1</v>
      </c>
      <c r="E48">
        <v>70.8</v>
      </c>
      <c r="F48" t="s">
        <v>659</v>
      </c>
    </row>
    <row r="49" spans="1:6" x14ac:dyDescent="0.35">
      <c r="A49">
        <v>47</v>
      </c>
      <c r="B49" t="s">
        <v>263</v>
      </c>
      <c r="C49" t="s">
        <v>405</v>
      </c>
      <c r="D49">
        <f>COUNTIF($C$2:C49, C49)</f>
        <v>2</v>
      </c>
      <c r="E49">
        <v>70.2</v>
      </c>
      <c r="F49" t="s">
        <v>660</v>
      </c>
    </row>
    <row r="50" spans="1:6" x14ac:dyDescent="0.35">
      <c r="A50">
        <v>48</v>
      </c>
      <c r="B50" t="s">
        <v>264</v>
      </c>
      <c r="C50" t="s">
        <v>433</v>
      </c>
      <c r="D50">
        <f>COUNTIF($C$2:C50, C50)</f>
        <v>1</v>
      </c>
      <c r="E50">
        <v>70.099999999999994</v>
      </c>
      <c r="F50" t="s">
        <v>661</v>
      </c>
    </row>
    <row r="51" spans="1:6" x14ac:dyDescent="0.35">
      <c r="A51">
        <v>49</v>
      </c>
      <c r="B51" t="s">
        <v>265</v>
      </c>
      <c r="C51" t="s">
        <v>399</v>
      </c>
      <c r="D51">
        <f>COUNTIF($C$2:C51, C51)</f>
        <v>3</v>
      </c>
      <c r="E51">
        <v>70</v>
      </c>
      <c r="F51" t="s">
        <v>662</v>
      </c>
    </row>
    <row r="52" spans="1:6" x14ac:dyDescent="0.35">
      <c r="A52">
        <v>50</v>
      </c>
      <c r="B52" t="s">
        <v>266</v>
      </c>
      <c r="C52" t="s">
        <v>434</v>
      </c>
      <c r="D52">
        <f>COUNTIF($C$2:C52, C52)</f>
        <v>1</v>
      </c>
      <c r="E52">
        <v>69.8</v>
      </c>
      <c r="F52" t="s">
        <v>559</v>
      </c>
    </row>
    <row r="53" spans="1:6" x14ac:dyDescent="0.35">
      <c r="A53">
        <v>51</v>
      </c>
      <c r="B53" t="s">
        <v>267</v>
      </c>
      <c r="C53" t="s">
        <v>435</v>
      </c>
      <c r="D53">
        <f>COUNTIF($C$2:C53, C53)</f>
        <v>1</v>
      </c>
      <c r="E53">
        <v>69.8</v>
      </c>
      <c r="F53" t="s">
        <v>560</v>
      </c>
    </row>
    <row r="54" spans="1:6" x14ac:dyDescent="0.35">
      <c r="A54">
        <v>52</v>
      </c>
      <c r="B54" t="s">
        <v>230</v>
      </c>
      <c r="C54" t="s">
        <v>436</v>
      </c>
      <c r="D54">
        <f>COUNTIF($C$2:C54, C54)</f>
        <v>1</v>
      </c>
      <c r="E54">
        <v>69.5</v>
      </c>
      <c r="F54" t="s">
        <v>561</v>
      </c>
    </row>
    <row r="55" spans="1:6" x14ac:dyDescent="0.35">
      <c r="A55">
        <v>53</v>
      </c>
      <c r="B55" t="s">
        <v>268</v>
      </c>
      <c r="C55" t="s">
        <v>411</v>
      </c>
      <c r="D55">
        <f>COUNTIF($C$2:C55, C55)</f>
        <v>2</v>
      </c>
      <c r="E55">
        <v>69.400000000000006</v>
      </c>
      <c r="F55" t="s">
        <v>562</v>
      </c>
    </row>
    <row r="56" spans="1:6" x14ac:dyDescent="0.35">
      <c r="A56">
        <v>54</v>
      </c>
      <c r="B56" t="s">
        <v>235</v>
      </c>
      <c r="C56" t="s">
        <v>437</v>
      </c>
      <c r="D56">
        <f>COUNTIF($C$2:C56, C56)</f>
        <v>1</v>
      </c>
      <c r="E56">
        <v>69.400000000000006</v>
      </c>
      <c r="F56" t="s">
        <v>553</v>
      </c>
    </row>
    <row r="57" spans="1:6" x14ac:dyDescent="0.35">
      <c r="A57">
        <v>55</v>
      </c>
      <c r="B57" t="s">
        <v>178</v>
      </c>
      <c r="C57" t="s">
        <v>438</v>
      </c>
      <c r="D57">
        <f>COUNTIF($C$2:C57, C57)</f>
        <v>1</v>
      </c>
      <c r="E57">
        <v>69.3</v>
      </c>
      <c r="F57" t="s">
        <v>178</v>
      </c>
    </row>
    <row r="58" spans="1:6" x14ac:dyDescent="0.35">
      <c r="A58">
        <v>56</v>
      </c>
      <c r="B58" t="s">
        <v>269</v>
      </c>
      <c r="C58" t="s">
        <v>439</v>
      </c>
      <c r="D58">
        <f>COUNTIF($C$2:C58, C58)</f>
        <v>1</v>
      </c>
      <c r="E58">
        <v>69.099999999999994</v>
      </c>
      <c r="F58" t="s">
        <v>563</v>
      </c>
    </row>
    <row r="59" spans="1:6" x14ac:dyDescent="0.35">
      <c r="A59">
        <v>57</v>
      </c>
      <c r="B59" t="s">
        <v>270</v>
      </c>
      <c r="C59" t="s">
        <v>398</v>
      </c>
      <c r="D59">
        <f>COUNTIF($C$2:C59, C59)</f>
        <v>3</v>
      </c>
      <c r="E59">
        <v>68.7</v>
      </c>
      <c r="F59" t="s">
        <v>214</v>
      </c>
    </row>
    <row r="60" spans="1:6" x14ac:dyDescent="0.35">
      <c r="A60">
        <v>58</v>
      </c>
      <c r="B60" t="s">
        <v>230</v>
      </c>
      <c r="C60" t="s">
        <v>440</v>
      </c>
      <c r="D60">
        <f>COUNTIF($C$2:C60, C60)</f>
        <v>1</v>
      </c>
      <c r="E60">
        <v>68.599999999999994</v>
      </c>
      <c r="F60" t="s">
        <v>564</v>
      </c>
    </row>
    <row r="61" spans="1:6" x14ac:dyDescent="0.35">
      <c r="A61">
        <v>59</v>
      </c>
      <c r="B61" t="s">
        <v>271</v>
      </c>
      <c r="C61" t="s">
        <v>441</v>
      </c>
      <c r="D61">
        <f>COUNTIF($C$2:C61, C61)</f>
        <v>1</v>
      </c>
      <c r="E61">
        <v>68.5</v>
      </c>
      <c r="F61" t="s">
        <v>565</v>
      </c>
    </row>
    <row r="62" spans="1:6" x14ac:dyDescent="0.35">
      <c r="A62">
        <v>60</v>
      </c>
      <c r="B62" t="s">
        <v>272</v>
      </c>
      <c r="C62" t="s">
        <v>442</v>
      </c>
      <c r="D62">
        <f>COUNTIF($C$2:C62, C62)</f>
        <v>1</v>
      </c>
      <c r="E62">
        <v>68.400000000000006</v>
      </c>
      <c r="F62" t="s">
        <v>751</v>
      </c>
    </row>
    <row r="63" spans="1:6" x14ac:dyDescent="0.35">
      <c r="A63">
        <v>61</v>
      </c>
      <c r="B63" t="s">
        <v>663</v>
      </c>
      <c r="C63" t="s">
        <v>443</v>
      </c>
      <c r="D63">
        <f>COUNTIF($C$2:C63, C63)</f>
        <v>1</v>
      </c>
      <c r="E63">
        <v>67.5</v>
      </c>
      <c r="F63" t="s">
        <v>273</v>
      </c>
    </row>
    <row r="64" spans="1:6" x14ac:dyDescent="0.35">
      <c r="A64">
        <v>61</v>
      </c>
      <c r="B64" t="s">
        <v>274</v>
      </c>
      <c r="C64" t="s">
        <v>404</v>
      </c>
      <c r="D64">
        <f>COUNTIF($C$2:C64, C64)</f>
        <v>3</v>
      </c>
      <c r="E64">
        <v>67.5</v>
      </c>
      <c r="F64" t="s">
        <v>566</v>
      </c>
    </row>
    <row r="65" spans="1:6" x14ac:dyDescent="0.35">
      <c r="A65">
        <v>63</v>
      </c>
      <c r="B65" t="s">
        <v>275</v>
      </c>
      <c r="C65" t="s">
        <v>401</v>
      </c>
      <c r="D65">
        <f>COUNTIF($C$2:C65, C65)</f>
        <v>4</v>
      </c>
      <c r="E65">
        <v>67.2</v>
      </c>
      <c r="F65" t="s">
        <v>567</v>
      </c>
    </row>
    <row r="66" spans="1:6" x14ac:dyDescent="0.35">
      <c r="A66">
        <v>64</v>
      </c>
      <c r="B66" t="s">
        <v>276</v>
      </c>
      <c r="C66" t="s">
        <v>444</v>
      </c>
      <c r="D66">
        <f>COUNTIF($C$2:C66, C66)</f>
        <v>1</v>
      </c>
      <c r="E66">
        <v>67.2</v>
      </c>
      <c r="F66" t="s">
        <v>664</v>
      </c>
    </row>
    <row r="67" spans="1:6" x14ac:dyDescent="0.35">
      <c r="A67">
        <v>65</v>
      </c>
      <c r="B67" t="s">
        <v>277</v>
      </c>
      <c r="C67" t="s">
        <v>445</v>
      </c>
      <c r="D67">
        <f>COUNTIF($C$2:C67, C67)</f>
        <v>1</v>
      </c>
      <c r="E67">
        <v>66.8</v>
      </c>
      <c r="F67" t="s">
        <v>568</v>
      </c>
    </row>
    <row r="68" spans="1:6" x14ac:dyDescent="0.35">
      <c r="A68">
        <v>66</v>
      </c>
      <c r="B68" t="s">
        <v>278</v>
      </c>
      <c r="C68" t="s">
        <v>446</v>
      </c>
      <c r="D68">
        <f>COUNTIF($C$2:C68, C68)</f>
        <v>1</v>
      </c>
      <c r="E68">
        <v>66.7</v>
      </c>
      <c r="F68" t="s">
        <v>665</v>
      </c>
    </row>
    <row r="69" spans="1:6" x14ac:dyDescent="0.35">
      <c r="A69">
        <v>67</v>
      </c>
      <c r="B69" t="s">
        <v>235</v>
      </c>
      <c r="C69" t="s">
        <v>447</v>
      </c>
      <c r="D69">
        <f>COUNTIF($C$2:C69, C69)</f>
        <v>1</v>
      </c>
      <c r="E69">
        <v>66.599999999999994</v>
      </c>
      <c r="F69" t="s">
        <v>569</v>
      </c>
    </row>
    <row r="70" spans="1:6" x14ac:dyDescent="0.35">
      <c r="A70">
        <v>68</v>
      </c>
      <c r="B70" t="s">
        <v>279</v>
      </c>
      <c r="C70" t="s">
        <v>397</v>
      </c>
      <c r="D70">
        <f>COUNTIF($C$2:C70, C70)</f>
        <v>3</v>
      </c>
      <c r="E70">
        <v>66.5</v>
      </c>
      <c r="F70" t="s">
        <v>207</v>
      </c>
    </row>
    <row r="71" spans="1:6" x14ac:dyDescent="0.35">
      <c r="A71">
        <v>69</v>
      </c>
      <c r="B71" t="s">
        <v>268</v>
      </c>
      <c r="C71" t="s">
        <v>417</v>
      </c>
      <c r="D71">
        <f>COUNTIF($C$2:C71, C71)</f>
        <v>2</v>
      </c>
      <c r="E71">
        <v>66.3</v>
      </c>
      <c r="F71" t="s">
        <v>570</v>
      </c>
    </row>
    <row r="72" spans="1:6" x14ac:dyDescent="0.35">
      <c r="A72">
        <v>70</v>
      </c>
      <c r="B72" t="s">
        <v>261</v>
      </c>
      <c r="C72" t="s">
        <v>400</v>
      </c>
      <c r="D72">
        <f>COUNTIF($C$2:C72, C72)</f>
        <v>3</v>
      </c>
      <c r="E72">
        <v>66.3</v>
      </c>
      <c r="F72" t="s">
        <v>571</v>
      </c>
    </row>
    <row r="73" spans="1:6" x14ac:dyDescent="0.35">
      <c r="A73">
        <v>70</v>
      </c>
      <c r="B73" t="s">
        <v>786</v>
      </c>
      <c r="C73" t="s">
        <v>785</v>
      </c>
      <c r="D73">
        <v>2</v>
      </c>
      <c r="E73">
        <v>66.3</v>
      </c>
      <c r="F73" t="s">
        <v>761</v>
      </c>
    </row>
    <row r="74" spans="1:6" x14ac:dyDescent="0.35">
      <c r="A74">
        <v>71</v>
      </c>
      <c r="B74" t="s">
        <v>280</v>
      </c>
      <c r="C74" t="s">
        <v>414</v>
      </c>
      <c r="D74">
        <f>COUNTIF($C$2:C74, C74)</f>
        <v>2</v>
      </c>
      <c r="E74">
        <v>66.2</v>
      </c>
      <c r="F74" t="s">
        <v>572</v>
      </c>
    </row>
    <row r="75" spans="1:6" x14ac:dyDescent="0.35">
      <c r="A75">
        <v>72</v>
      </c>
      <c r="B75" t="s">
        <v>281</v>
      </c>
      <c r="C75" t="s">
        <v>439</v>
      </c>
      <c r="D75">
        <f>COUNTIF($C$2:C75, C75)</f>
        <v>2</v>
      </c>
      <c r="E75">
        <v>66.099999999999994</v>
      </c>
      <c r="F75" t="s">
        <v>573</v>
      </c>
    </row>
    <row r="76" spans="1:6" x14ac:dyDescent="0.35">
      <c r="A76">
        <v>73</v>
      </c>
      <c r="B76" t="s">
        <v>282</v>
      </c>
      <c r="C76" t="s">
        <v>412</v>
      </c>
      <c r="D76">
        <f>COUNTIF($C$2:C76, C76)</f>
        <v>2</v>
      </c>
      <c r="E76">
        <v>66</v>
      </c>
      <c r="F76" t="s">
        <v>574</v>
      </c>
    </row>
    <row r="77" spans="1:6" x14ac:dyDescent="0.35">
      <c r="A77">
        <v>74</v>
      </c>
      <c r="B77" t="s">
        <v>283</v>
      </c>
      <c r="C77" t="s">
        <v>406</v>
      </c>
      <c r="D77">
        <f>COUNTIF($C$2:C77, C77)</f>
        <v>2</v>
      </c>
      <c r="E77">
        <v>65.900000000000006</v>
      </c>
      <c r="F77" t="s">
        <v>728</v>
      </c>
    </row>
    <row r="78" spans="1:6" x14ac:dyDescent="0.35">
      <c r="A78">
        <v>75</v>
      </c>
      <c r="B78" t="s">
        <v>284</v>
      </c>
      <c r="C78" t="s">
        <v>448</v>
      </c>
      <c r="D78">
        <f>COUNTIF($C$2:C78, C78)</f>
        <v>1</v>
      </c>
      <c r="E78">
        <v>65.5</v>
      </c>
      <c r="F78" t="s">
        <v>575</v>
      </c>
    </row>
    <row r="79" spans="1:6" x14ac:dyDescent="0.35">
      <c r="A79">
        <v>76</v>
      </c>
      <c r="B79" t="s">
        <v>285</v>
      </c>
      <c r="C79" t="s">
        <v>402</v>
      </c>
      <c r="D79">
        <f>COUNTIF($C$2:C79, C79)</f>
        <v>3</v>
      </c>
      <c r="E79">
        <v>65.5</v>
      </c>
      <c r="F79" t="s">
        <v>722</v>
      </c>
    </row>
    <row r="80" spans="1:6" x14ac:dyDescent="0.35">
      <c r="A80">
        <v>77</v>
      </c>
      <c r="B80" t="s">
        <v>286</v>
      </c>
      <c r="C80" t="s">
        <v>449</v>
      </c>
      <c r="D80">
        <f>COUNTIF($C$2:C80, C80)</f>
        <v>1</v>
      </c>
      <c r="E80">
        <v>65.400000000000006</v>
      </c>
      <c r="F80" t="s">
        <v>286</v>
      </c>
    </row>
    <row r="81" spans="1:6" x14ac:dyDescent="0.35">
      <c r="A81">
        <v>78</v>
      </c>
      <c r="B81" t="s">
        <v>230</v>
      </c>
      <c r="C81" t="s">
        <v>450</v>
      </c>
      <c r="D81">
        <f>COUNTIF($C$2:C81, C81)</f>
        <v>1</v>
      </c>
      <c r="E81">
        <v>65.2</v>
      </c>
      <c r="F81" t="s">
        <v>736</v>
      </c>
    </row>
    <row r="82" spans="1:6" x14ac:dyDescent="0.35">
      <c r="A82">
        <v>79</v>
      </c>
      <c r="B82" t="s">
        <v>287</v>
      </c>
      <c r="C82" t="s">
        <v>451</v>
      </c>
      <c r="D82">
        <f>COUNTIF($C$2:C82, C82)</f>
        <v>1</v>
      </c>
      <c r="E82">
        <v>65</v>
      </c>
      <c r="F82" t="s">
        <v>666</v>
      </c>
    </row>
    <row r="83" spans="1:6" x14ac:dyDescent="0.35">
      <c r="A83">
        <v>80</v>
      </c>
      <c r="B83" t="s">
        <v>242</v>
      </c>
      <c r="C83" t="s">
        <v>452</v>
      </c>
      <c r="D83">
        <f>COUNTIF($C$2:C83, C83)</f>
        <v>1</v>
      </c>
      <c r="E83">
        <v>64.900000000000006</v>
      </c>
      <c r="F83" t="s">
        <v>577</v>
      </c>
    </row>
    <row r="84" spans="1:6" x14ac:dyDescent="0.35">
      <c r="A84">
        <v>81</v>
      </c>
      <c r="B84" t="s">
        <v>288</v>
      </c>
      <c r="C84" t="s">
        <v>453</v>
      </c>
      <c r="D84">
        <f>COUNTIF($C$2:C84, C84)</f>
        <v>1</v>
      </c>
      <c r="E84">
        <v>64.8</v>
      </c>
      <c r="F84" t="s">
        <v>755</v>
      </c>
    </row>
    <row r="85" spans="1:6" x14ac:dyDescent="0.35">
      <c r="A85">
        <v>82</v>
      </c>
      <c r="B85" t="s">
        <v>289</v>
      </c>
      <c r="C85" t="s">
        <v>408</v>
      </c>
      <c r="D85">
        <f>COUNTIF($C$2:C85, C85)</f>
        <v>2</v>
      </c>
      <c r="E85">
        <v>64.8</v>
      </c>
      <c r="F85" t="s">
        <v>667</v>
      </c>
    </row>
    <row r="86" spans="1:6" x14ac:dyDescent="0.35">
      <c r="A86">
        <v>83</v>
      </c>
      <c r="B86" t="s">
        <v>290</v>
      </c>
      <c r="C86" t="s">
        <v>454</v>
      </c>
      <c r="D86">
        <f>COUNTIF($C$2:C86, C86)</f>
        <v>1</v>
      </c>
      <c r="E86">
        <v>64.8</v>
      </c>
      <c r="F86" t="s">
        <v>578</v>
      </c>
    </row>
    <row r="87" spans="1:6" x14ac:dyDescent="0.35">
      <c r="A87">
        <v>84</v>
      </c>
      <c r="B87" t="s">
        <v>266</v>
      </c>
      <c r="C87" t="s">
        <v>455</v>
      </c>
      <c r="D87">
        <f>COUNTIF($C$2:C87, C87)</f>
        <v>1</v>
      </c>
      <c r="E87">
        <v>64.7</v>
      </c>
      <c r="F87" t="s">
        <v>738</v>
      </c>
    </row>
    <row r="88" spans="1:6" x14ac:dyDescent="0.35">
      <c r="A88">
        <v>84</v>
      </c>
      <c r="B88" t="s">
        <v>291</v>
      </c>
      <c r="C88" t="s">
        <v>422</v>
      </c>
      <c r="D88">
        <f>COUNTIF($C$2:C88, C88)</f>
        <v>2</v>
      </c>
      <c r="E88">
        <v>64.7</v>
      </c>
      <c r="F88" t="s">
        <v>579</v>
      </c>
    </row>
    <row r="89" spans="1:6" x14ac:dyDescent="0.35">
      <c r="A89">
        <v>86</v>
      </c>
      <c r="B89" t="s">
        <v>292</v>
      </c>
      <c r="C89" t="s">
        <v>407</v>
      </c>
      <c r="D89">
        <f>COUNTIF($C$2:C89, C89)</f>
        <v>3</v>
      </c>
      <c r="E89">
        <v>64.7</v>
      </c>
      <c r="F89" t="s">
        <v>580</v>
      </c>
    </row>
    <row r="90" spans="1:6" x14ac:dyDescent="0.35">
      <c r="A90">
        <v>87</v>
      </c>
      <c r="B90" t="s">
        <v>268</v>
      </c>
      <c r="C90" t="s">
        <v>427</v>
      </c>
      <c r="D90">
        <f>COUNTIF($C$2:C90, C90)</f>
        <v>2</v>
      </c>
      <c r="E90">
        <v>64.400000000000006</v>
      </c>
      <c r="F90" t="s">
        <v>718</v>
      </c>
    </row>
    <row r="91" spans="1:6" x14ac:dyDescent="0.35">
      <c r="A91">
        <v>88</v>
      </c>
      <c r="B91" t="s">
        <v>293</v>
      </c>
      <c r="C91" t="s">
        <v>403</v>
      </c>
      <c r="D91">
        <f>COUNTIF($C$2:C91, C91)</f>
        <v>3</v>
      </c>
      <c r="E91">
        <v>64.2</v>
      </c>
      <c r="F91" t="s">
        <v>581</v>
      </c>
    </row>
    <row r="92" spans="1:6" x14ac:dyDescent="0.35">
      <c r="A92">
        <v>89</v>
      </c>
      <c r="B92" t="s">
        <v>294</v>
      </c>
      <c r="C92" t="s">
        <v>456</v>
      </c>
      <c r="D92">
        <f>COUNTIF($C$2:C92, C92)</f>
        <v>1</v>
      </c>
      <c r="E92">
        <v>64.2</v>
      </c>
      <c r="F92" t="s">
        <v>582</v>
      </c>
    </row>
    <row r="93" spans="1:6" x14ac:dyDescent="0.35">
      <c r="A93">
        <v>90</v>
      </c>
      <c r="B93" t="s">
        <v>295</v>
      </c>
      <c r="C93" t="s">
        <v>413</v>
      </c>
      <c r="D93">
        <f>COUNTIF($C$2:C93, C93)</f>
        <v>2</v>
      </c>
      <c r="E93">
        <v>63.6</v>
      </c>
      <c r="F93" t="s">
        <v>721</v>
      </c>
    </row>
    <row r="94" spans="1:6" x14ac:dyDescent="0.35">
      <c r="A94">
        <v>91</v>
      </c>
      <c r="B94" t="s">
        <v>284</v>
      </c>
      <c r="C94" t="s">
        <v>457</v>
      </c>
      <c r="D94">
        <f>COUNTIF($C$2:C94, C94)</f>
        <v>1</v>
      </c>
      <c r="E94">
        <v>63.5</v>
      </c>
      <c r="F94" t="s">
        <v>583</v>
      </c>
    </row>
    <row r="95" spans="1:6" x14ac:dyDescent="0.35">
      <c r="A95">
        <v>92</v>
      </c>
      <c r="B95" t="s">
        <v>240</v>
      </c>
      <c r="C95" t="s">
        <v>424</v>
      </c>
      <c r="D95">
        <f>COUNTIF($C$2:C95, C95)</f>
        <v>2</v>
      </c>
      <c r="E95">
        <v>63.3</v>
      </c>
      <c r="F95" t="s">
        <v>584</v>
      </c>
    </row>
    <row r="96" spans="1:6" x14ac:dyDescent="0.35">
      <c r="A96">
        <v>93</v>
      </c>
      <c r="B96" t="s">
        <v>190</v>
      </c>
      <c r="C96" t="s">
        <v>458</v>
      </c>
      <c r="D96">
        <f>COUNTIF($C$2:C96, C96)</f>
        <v>1</v>
      </c>
      <c r="E96">
        <v>63.2</v>
      </c>
      <c r="F96" t="s">
        <v>713</v>
      </c>
    </row>
    <row r="97" spans="1:6" x14ac:dyDescent="0.35">
      <c r="A97">
        <v>94</v>
      </c>
      <c r="B97" t="s">
        <v>289</v>
      </c>
      <c r="C97" t="s">
        <v>409</v>
      </c>
      <c r="D97">
        <f>COUNTIF($C$2:C97, C97)</f>
        <v>2</v>
      </c>
      <c r="E97">
        <v>63.2</v>
      </c>
      <c r="F97" t="s">
        <v>668</v>
      </c>
    </row>
    <row r="98" spans="1:6" x14ac:dyDescent="0.35">
      <c r="A98">
        <v>95</v>
      </c>
      <c r="B98" t="s">
        <v>190</v>
      </c>
      <c r="C98" t="s">
        <v>459</v>
      </c>
      <c r="D98">
        <f>COUNTIF($C$2:C98, C98)</f>
        <v>1</v>
      </c>
      <c r="E98">
        <v>62.9</v>
      </c>
      <c r="F98" t="s">
        <v>585</v>
      </c>
    </row>
    <row r="99" spans="1:6" x14ac:dyDescent="0.35">
      <c r="A99">
        <v>96</v>
      </c>
      <c r="B99" t="s">
        <v>296</v>
      </c>
      <c r="C99" t="s">
        <v>420</v>
      </c>
      <c r="D99">
        <f>COUNTIF($C$2:C99, C99)</f>
        <v>2</v>
      </c>
      <c r="E99">
        <v>62.7</v>
      </c>
      <c r="F99" t="s">
        <v>541</v>
      </c>
    </row>
    <row r="100" spans="1:6" x14ac:dyDescent="0.35">
      <c r="A100">
        <v>97</v>
      </c>
      <c r="B100" t="s">
        <v>297</v>
      </c>
      <c r="C100" t="s">
        <v>405</v>
      </c>
      <c r="D100">
        <f>COUNTIF($C$2:C100, C100)</f>
        <v>3</v>
      </c>
      <c r="E100">
        <v>62.6</v>
      </c>
      <c r="F100" t="s">
        <v>669</v>
      </c>
    </row>
    <row r="101" spans="1:6" x14ac:dyDescent="0.35">
      <c r="A101">
        <v>98</v>
      </c>
      <c r="B101" t="s">
        <v>298</v>
      </c>
      <c r="C101" t="s">
        <v>460</v>
      </c>
      <c r="D101">
        <f>COUNTIF($C$2:C101, C101)</f>
        <v>1</v>
      </c>
      <c r="E101">
        <v>62.6</v>
      </c>
      <c r="F101" t="s">
        <v>586</v>
      </c>
    </row>
    <row r="102" spans="1:6" x14ac:dyDescent="0.35">
      <c r="A102">
        <v>99</v>
      </c>
      <c r="B102" t="s">
        <v>299</v>
      </c>
      <c r="C102" t="s">
        <v>461</v>
      </c>
      <c r="D102">
        <f>COUNTIF($C$2:C102, C102)</f>
        <v>1</v>
      </c>
      <c r="E102">
        <v>62.5</v>
      </c>
      <c r="F102" t="s">
        <v>299</v>
      </c>
    </row>
    <row r="103" spans="1:6" x14ac:dyDescent="0.35">
      <c r="A103">
        <v>100</v>
      </c>
      <c r="B103" t="s">
        <v>300</v>
      </c>
      <c r="C103" t="s">
        <v>462</v>
      </c>
      <c r="D103">
        <f>COUNTIF($C$2:C103, C103)</f>
        <v>1</v>
      </c>
      <c r="E103">
        <v>62.4</v>
      </c>
      <c r="F103" t="s">
        <v>670</v>
      </c>
    </row>
    <row r="104" spans="1:6" x14ac:dyDescent="0.35">
      <c r="A104">
        <v>101</v>
      </c>
      <c r="B104" t="s">
        <v>301</v>
      </c>
      <c r="C104" t="s">
        <v>404</v>
      </c>
      <c r="D104">
        <f>COUNTIF($C$2:C104, C104)</f>
        <v>4</v>
      </c>
      <c r="E104">
        <v>62.3</v>
      </c>
      <c r="F104" t="s">
        <v>587</v>
      </c>
    </row>
    <row r="105" spans="1:6" x14ac:dyDescent="0.35">
      <c r="A105">
        <v>102</v>
      </c>
      <c r="B105" t="s">
        <v>302</v>
      </c>
      <c r="C105" t="s">
        <v>399</v>
      </c>
      <c r="D105">
        <f>COUNTIF($C$2:C105, C105)</f>
        <v>4</v>
      </c>
      <c r="E105">
        <v>62.1</v>
      </c>
      <c r="F105" t="s">
        <v>588</v>
      </c>
    </row>
    <row r="106" spans="1:6" x14ac:dyDescent="0.35">
      <c r="A106">
        <v>103</v>
      </c>
      <c r="B106" t="s">
        <v>303</v>
      </c>
      <c r="C106" t="s">
        <v>398</v>
      </c>
      <c r="D106">
        <f>COUNTIF($C$2:C106, C106)</f>
        <v>4</v>
      </c>
      <c r="E106">
        <v>61.4</v>
      </c>
      <c r="F106" t="s">
        <v>671</v>
      </c>
    </row>
    <row r="107" spans="1:6" x14ac:dyDescent="0.35">
      <c r="A107">
        <v>104</v>
      </c>
      <c r="B107" t="s">
        <v>304</v>
      </c>
      <c r="C107" t="s">
        <v>423</v>
      </c>
      <c r="D107">
        <f>COUNTIF($C$2:C107, C107)</f>
        <v>2</v>
      </c>
      <c r="E107">
        <v>61.2</v>
      </c>
      <c r="F107" t="s">
        <v>589</v>
      </c>
    </row>
    <row r="108" spans="1:6" x14ac:dyDescent="0.35">
      <c r="A108">
        <v>105</v>
      </c>
      <c r="B108" t="s">
        <v>305</v>
      </c>
      <c r="C108" t="s">
        <v>426</v>
      </c>
      <c r="D108">
        <f>COUNTIF($C$2:C108, C108)</f>
        <v>2</v>
      </c>
      <c r="E108">
        <v>61.1</v>
      </c>
      <c r="F108" t="s">
        <v>734</v>
      </c>
    </row>
    <row r="109" spans="1:6" x14ac:dyDescent="0.35">
      <c r="A109">
        <v>106</v>
      </c>
      <c r="B109" t="s">
        <v>266</v>
      </c>
      <c r="C109" t="s">
        <v>463</v>
      </c>
      <c r="D109">
        <f>COUNTIF($C$2:C109, C109)</f>
        <v>1</v>
      </c>
      <c r="E109">
        <v>61.1</v>
      </c>
      <c r="F109" t="s">
        <v>590</v>
      </c>
    </row>
    <row r="110" spans="1:6" x14ac:dyDescent="0.35">
      <c r="A110">
        <v>107</v>
      </c>
      <c r="B110" t="s">
        <v>306</v>
      </c>
      <c r="C110" t="s">
        <v>429</v>
      </c>
      <c r="D110">
        <f>COUNTIF($C$2:C110, C110)</f>
        <v>2</v>
      </c>
      <c r="E110">
        <v>60.8</v>
      </c>
      <c r="F110" t="s">
        <v>591</v>
      </c>
    </row>
    <row r="111" spans="1:6" x14ac:dyDescent="0.35">
      <c r="A111">
        <v>108</v>
      </c>
      <c r="B111" t="s">
        <v>240</v>
      </c>
      <c r="C111" t="s">
        <v>437</v>
      </c>
      <c r="D111">
        <f>COUNTIF($C$2:C111, C111)</f>
        <v>2</v>
      </c>
      <c r="E111">
        <v>60.7</v>
      </c>
      <c r="F111" t="s">
        <v>592</v>
      </c>
    </row>
    <row r="112" spans="1:6" x14ac:dyDescent="0.35">
      <c r="A112">
        <v>109</v>
      </c>
      <c r="B112" t="s">
        <v>307</v>
      </c>
      <c r="C112" t="s">
        <v>410</v>
      </c>
      <c r="D112">
        <f>COUNTIF($C$2:C112, C112)</f>
        <v>2</v>
      </c>
      <c r="E112">
        <v>60.6</v>
      </c>
      <c r="F112" t="s">
        <v>209</v>
      </c>
    </row>
    <row r="113" spans="1:6" x14ac:dyDescent="0.35">
      <c r="A113">
        <v>110</v>
      </c>
      <c r="B113" t="s">
        <v>308</v>
      </c>
      <c r="C113" t="s">
        <v>419</v>
      </c>
      <c r="D113">
        <f>COUNTIF($C$2:C113, C113)</f>
        <v>2</v>
      </c>
      <c r="E113">
        <v>60.5</v>
      </c>
      <c r="F113" t="s">
        <v>211</v>
      </c>
    </row>
    <row r="114" spans="1:6" x14ac:dyDescent="0.35">
      <c r="A114">
        <v>111</v>
      </c>
      <c r="B114" t="s">
        <v>309</v>
      </c>
      <c r="C114" t="s">
        <v>406</v>
      </c>
      <c r="D114">
        <f>COUNTIF($C$2:C114, C114)</f>
        <v>3</v>
      </c>
      <c r="E114">
        <v>60.3</v>
      </c>
      <c r="F114" t="s">
        <v>593</v>
      </c>
    </row>
    <row r="115" spans="1:6" x14ac:dyDescent="0.35">
      <c r="A115">
        <v>112</v>
      </c>
      <c r="B115" t="s">
        <v>310</v>
      </c>
      <c r="C115" t="s">
        <v>416</v>
      </c>
      <c r="D115">
        <f>COUNTIF($C$2:C115, C115)</f>
        <v>2</v>
      </c>
      <c r="E115">
        <v>60</v>
      </c>
      <c r="F115" t="s">
        <v>672</v>
      </c>
    </row>
    <row r="116" spans="1:6" x14ac:dyDescent="0.35">
      <c r="A116">
        <v>113</v>
      </c>
      <c r="B116" t="s">
        <v>311</v>
      </c>
      <c r="C116" t="s">
        <v>464</v>
      </c>
      <c r="D116">
        <f>COUNTIF($C$2:C116, C116)</f>
        <v>1</v>
      </c>
      <c r="E116">
        <v>59.7</v>
      </c>
      <c r="F116" t="s">
        <v>594</v>
      </c>
    </row>
    <row r="117" spans="1:6" x14ac:dyDescent="0.35">
      <c r="A117">
        <v>113</v>
      </c>
      <c r="B117" t="s">
        <v>787</v>
      </c>
      <c r="C117" t="s">
        <v>785</v>
      </c>
      <c r="D117">
        <v>3</v>
      </c>
      <c r="E117">
        <v>59.7</v>
      </c>
      <c r="F117" t="s">
        <v>768</v>
      </c>
    </row>
    <row r="118" spans="1:6" x14ac:dyDescent="0.35">
      <c r="A118">
        <v>114</v>
      </c>
      <c r="B118" t="s">
        <v>272</v>
      </c>
      <c r="C118" t="s">
        <v>465</v>
      </c>
      <c r="D118">
        <f>COUNTIF($C$2:C118, C118)</f>
        <v>1</v>
      </c>
      <c r="E118">
        <v>59.6</v>
      </c>
      <c r="F118" t="s">
        <v>673</v>
      </c>
    </row>
    <row r="119" spans="1:6" x14ac:dyDescent="0.35">
      <c r="A119">
        <v>115</v>
      </c>
      <c r="B119" t="s">
        <v>230</v>
      </c>
      <c r="C119" t="s">
        <v>466</v>
      </c>
      <c r="D119">
        <f>COUNTIF($C$2:C119, C119)</f>
        <v>1</v>
      </c>
      <c r="E119">
        <v>59.5</v>
      </c>
      <c r="F119" t="s">
        <v>719</v>
      </c>
    </row>
    <row r="120" spans="1:6" x14ac:dyDescent="0.35">
      <c r="A120">
        <v>116</v>
      </c>
      <c r="B120" t="s">
        <v>312</v>
      </c>
      <c r="C120" t="s">
        <v>467</v>
      </c>
      <c r="D120">
        <f>COUNTIF($C$2:C120, C120)</f>
        <v>1</v>
      </c>
      <c r="E120">
        <v>59.5</v>
      </c>
      <c r="F120" t="s">
        <v>312</v>
      </c>
    </row>
    <row r="121" spans="1:6" x14ac:dyDescent="0.35">
      <c r="A121">
        <v>117</v>
      </c>
      <c r="B121" t="s">
        <v>313</v>
      </c>
      <c r="C121" t="s">
        <v>404</v>
      </c>
      <c r="D121">
        <f>COUNTIF($C$2:C121, C121)</f>
        <v>5</v>
      </c>
      <c r="E121">
        <v>59.3</v>
      </c>
      <c r="F121" t="s">
        <v>595</v>
      </c>
    </row>
    <row r="122" spans="1:6" x14ac:dyDescent="0.35">
      <c r="A122">
        <v>118</v>
      </c>
      <c r="B122" t="s">
        <v>314</v>
      </c>
      <c r="C122" t="s">
        <v>468</v>
      </c>
      <c r="D122">
        <f>COUNTIF($C$2:C122, C122)</f>
        <v>1</v>
      </c>
      <c r="E122">
        <v>59.2</v>
      </c>
      <c r="F122" t="s">
        <v>596</v>
      </c>
    </row>
    <row r="123" spans="1:6" x14ac:dyDescent="0.35">
      <c r="A123">
        <v>119</v>
      </c>
      <c r="B123" t="s">
        <v>315</v>
      </c>
      <c r="C123" t="s">
        <v>415</v>
      </c>
      <c r="D123">
        <f>COUNTIF($C$2:C123, C123)</f>
        <v>2</v>
      </c>
      <c r="E123">
        <v>59.1</v>
      </c>
      <c r="F123" t="s">
        <v>597</v>
      </c>
    </row>
    <row r="124" spans="1:6" x14ac:dyDescent="0.35">
      <c r="A124">
        <v>120</v>
      </c>
      <c r="B124" t="s">
        <v>316</v>
      </c>
      <c r="C124" t="s">
        <v>469</v>
      </c>
      <c r="D124">
        <f>COUNTIF($C$2:C124, C124)</f>
        <v>1</v>
      </c>
      <c r="E124">
        <v>59</v>
      </c>
      <c r="F124" t="s">
        <v>316</v>
      </c>
    </row>
    <row r="125" spans="1:6" x14ac:dyDescent="0.35">
      <c r="A125">
        <v>121</v>
      </c>
      <c r="B125" t="s">
        <v>317</v>
      </c>
      <c r="C125" t="s">
        <v>430</v>
      </c>
      <c r="D125">
        <f>COUNTIF($C$2:C125, C125)</f>
        <v>2</v>
      </c>
      <c r="E125">
        <v>59</v>
      </c>
      <c r="F125" t="s">
        <v>598</v>
      </c>
    </row>
    <row r="126" spans="1:6" x14ac:dyDescent="0.35">
      <c r="A126">
        <v>122</v>
      </c>
      <c r="B126" t="s">
        <v>318</v>
      </c>
      <c r="C126" t="s">
        <v>432</v>
      </c>
      <c r="D126">
        <f>COUNTIF($C$2:C126, C126)</f>
        <v>2</v>
      </c>
      <c r="E126">
        <v>58.9</v>
      </c>
      <c r="F126" t="s">
        <v>674</v>
      </c>
    </row>
    <row r="127" spans="1:6" x14ac:dyDescent="0.35">
      <c r="A127">
        <v>123</v>
      </c>
      <c r="B127" t="s">
        <v>210</v>
      </c>
      <c r="C127" t="s">
        <v>470</v>
      </c>
      <c r="D127">
        <f>COUNTIF($C$2:C127, C127)</f>
        <v>1</v>
      </c>
      <c r="E127">
        <v>58.9</v>
      </c>
      <c r="F127" t="s">
        <v>210</v>
      </c>
    </row>
    <row r="128" spans="1:6" x14ac:dyDescent="0.35">
      <c r="A128">
        <v>124</v>
      </c>
      <c r="B128" t="s">
        <v>319</v>
      </c>
      <c r="C128" t="s">
        <v>397</v>
      </c>
      <c r="D128">
        <f>COUNTIF($C$2:C128, C128)</f>
        <v>4</v>
      </c>
      <c r="E128">
        <v>58.8</v>
      </c>
      <c r="F128" t="s">
        <v>760</v>
      </c>
    </row>
    <row r="129" spans="1:6" x14ac:dyDescent="0.35">
      <c r="A129">
        <v>125</v>
      </c>
      <c r="B129" t="s">
        <v>320</v>
      </c>
      <c r="C129" t="s">
        <v>404</v>
      </c>
      <c r="D129">
        <f>COUNTIF($C$2:C129, C129)</f>
        <v>6</v>
      </c>
      <c r="E129">
        <v>58.8</v>
      </c>
      <c r="F129" t="s">
        <v>599</v>
      </c>
    </row>
    <row r="130" spans="1:6" x14ac:dyDescent="0.35">
      <c r="A130">
        <v>126</v>
      </c>
      <c r="B130" t="s">
        <v>275</v>
      </c>
      <c r="C130" t="s">
        <v>400</v>
      </c>
      <c r="D130">
        <f>COUNTIF($C$2:C130, C130)</f>
        <v>4</v>
      </c>
      <c r="E130">
        <v>58.7</v>
      </c>
      <c r="F130" t="s">
        <v>600</v>
      </c>
    </row>
    <row r="131" spans="1:6" x14ac:dyDescent="0.35">
      <c r="A131">
        <v>127</v>
      </c>
      <c r="B131" t="s">
        <v>321</v>
      </c>
      <c r="C131" t="s">
        <v>431</v>
      </c>
      <c r="D131">
        <f>COUNTIF($C$2:C131, C131)</f>
        <v>2</v>
      </c>
      <c r="E131">
        <v>58.6</v>
      </c>
      <c r="F131" t="s">
        <v>675</v>
      </c>
    </row>
    <row r="132" spans="1:6" x14ac:dyDescent="0.35">
      <c r="A132">
        <v>128</v>
      </c>
      <c r="B132" t="s">
        <v>187</v>
      </c>
      <c r="C132" t="s">
        <v>438</v>
      </c>
      <c r="D132">
        <f>COUNTIF($C$2:C132, C132)</f>
        <v>2</v>
      </c>
      <c r="E132">
        <v>58.4</v>
      </c>
      <c r="F132" t="s">
        <v>187</v>
      </c>
    </row>
    <row r="133" spans="1:6" x14ac:dyDescent="0.35">
      <c r="A133">
        <v>129</v>
      </c>
      <c r="B133" t="s">
        <v>322</v>
      </c>
      <c r="C133" t="s">
        <v>471</v>
      </c>
      <c r="D133">
        <f>COUNTIF($C$2:C133, C133)</f>
        <v>1</v>
      </c>
      <c r="E133">
        <v>58.4</v>
      </c>
      <c r="F133" t="s">
        <v>552</v>
      </c>
    </row>
    <row r="134" spans="1:6" x14ac:dyDescent="0.35">
      <c r="A134">
        <v>130</v>
      </c>
      <c r="B134" t="s">
        <v>230</v>
      </c>
      <c r="C134" t="s">
        <v>472</v>
      </c>
      <c r="D134">
        <f>COUNTIF($C$2:C134, C134)</f>
        <v>1</v>
      </c>
      <c r="E134">
        <v>58.3</v>
      </c>
      <c r="F134" t="s">
        <v>576</v>
      </c>
    </row>
    <row r="135" spans="1:6" x14ac:dyDescent="0.35">
      <c r="A135">
        <v>131</v>
      </c>
      <c r="B135" t="s">
        <v>323</v>
      </c>
      <c r="C135" t="s">
        <v>402</v>
      </c>
      <c r="D135">
        <f>COUNTIF($C$2:C135, C135)</f>
        <v>4</v>
      </c>
      <c r="E135">
        <v>58</v>
      </c>
      <c r="F135" t="s">
        <v>723</v>
      </c>
    </row>
    <row r="136" spans="1:6" x14ac:dyDescent="0.35">
      <c r="A136">
        <v>132</v>
      </c>
      <c r="B136" t="s">
        <v>250</v>
      </c>
      <c r="C136" t="s">
        <v>425</v>
      </c>
      <c r="D136">
        <f>COUNTIF($C$2:C136, C136)</f>
        <v>2</v>
      </c>
      <c r="E136">
        <v>57.9</v>
      </c>
      <c r="F136" t="s">
        <v>676</v>
      </c>
    </row>
    <row r="137" spans="1:6" x14ac:dyDescent="0.35">
      <c r="A137">
        <v>133</v>
      </c>
      <c r="B137" t="s">
        <v>240</v>
      </c>
      <c r="C137" t="s">
        <v>447</v>
      </c>
      <c r="D137">
        <f>COUNTIF($C$2:C137, C137)</f>
        <v>2</v>
      </c>
      <c r="E137">
        <v>57.4</v>
      </c>
      <c r="F137" t="s">
        <v>601</v>
      </c>
    </row>
    <row r="138" spans="1:6" x14ac:dyDescent="0.35">
      <c r="A138">
        <v>134</v>
      </c>
      <c r="B138" t="s">
        <v>240</v>
      </c>
      <c r="C138" t="s">
        <v>427</v>
      </c>
      <c r="D138">
        <f>COUNTIF($C$2:C138, C138)</f>
        <v>3</v>
      </c>
      <c r="E138">
        <v>57.2</v>
      </c>
      <c r="F138" t="s">
        <v>602</v>
      </c>
    </row>
    <row r="139" spans="1:6" x14ac:dyDescent="0.35">
      <c r="A139">
        <v>135</v>
      </c>
      <c r="B139" t="s">
        <v>324</v>
      </c>
      <c r="C139" t="s">
        <v>473</v>
      </c>
      <c r="D139">
        <f>COUNTIF($C$2:C139, C139)</f>
        <v>1</v>
      </c>
      <c r="E139">
        <v>57.2</v>
      </c>
      <c r="F139" t="s">
        <v>677</v>
      </c>
    </row>
    <row r="140" spans="1:6" x14ac:dyDescent="0.35">
      <c r="A140">
        <v>136</v>
      </c>
      <c r="B140" t="s">
        <v>230</v>
      </c>
      <c r="C140" t="s">
        <v>474</v>
      </c>
      <c r="D140">
        <f>COUNTIF($C$2:C140, C140)</f>
        <v>1</v>
      </c>
      <c r="E140">
        <v>57.1</v>
      </c>
      <c r="F140" t="s">
        <v>716</v>
      </c>
    </row>
    <row r="141" spans="1:6" x14ac:dyDescent="0.35">
      <c r="A141">
        <v>137</v>
      </c>
      <c r="B141" t="s">
        <v>325</v>
      </c>
      <c r="C141" t="s">
        <v>428</v>
      </c>
      <c r="D141">
        <f>COUNTIF($C$2:C141, C141)</f>
        <v>2</v>
      </c>
      <c r="E141">
        <v>57.1</v>
      </c>
      <c r="F141" t="s">
        <v>603</v>
      </c>
    </row>
    <row r="142" spans="1:6" x14ac:dyDescent="0.35">
      <c r="A142">
        <v>138</v>
      </c>
      <c r="B142" t="s">
        <v>326</v>
      </c>
      <c r="C142" t="s">
        <v>475</v>
      </c>
      <c r="D142">
        <f>COUNTIF($C$2:C142, C142)</f>
        <v>1</v>
      </c>
      <c r="E142">
        <v>56.8</v>
      </c>
      <c r="F142" t="s">
        <v>604</v>
      </c>
    </row>
    <row r="143" spans="1:6" x14ac:dyDescent="0.35">
      <c r="A143">
        <v>139</v>
      </c>
      <c r="B143" t="s">
        <v>327</v>
      </c>
      <c r="C143" t="s">
        <v>441</v>
      </c>
      <c r="D143">
        <f>COUNTIF($C$2:C143, C143)</f>
        <v>2</v>
      </c>
      <c r="E143">
        <v>56.6</v>
      </c>
      <c r="F143" t="s">
        <v>731</v>
      </c>
    </row>
    <row r="144" spans="1:6" x14ac:dyDescent="0.35">
      <c r="A144">
        <v>140</v>
      </c>
      <c r="B144" t="s">
        <v>190</v>
      </c>
      <c r="C144" t="s">
        <v>476</v>
      </c>
      <c r="D144">
        <f>COUNTIF($C$2:C144, C144)</f>
        <v>1</v>
      </c>
      <c r="E144">
        <v>56.5</v>
      </c>
      <c r="F144" t="s">
        <v>678</v>
      </c>
    </row>
    <row r="145" spans="1:6" x14ac:dyDescent="0.35">
      <c r="A145">
        <v>141</v>
      </c>
      <c r="B145" t="s">
        <v>230</v>
      </c>
      <c r="C145" t="s">
        <v>477</v>
      </c>
      <c r="D145">
        <f>COUNTIF($C$2:C145, C145)</f>
        <v>1</v>
      </c>
      <c r="E145">
        <v>56.4</v>
      </c>
      <c r="F145" t="s">
        <v>605</v>
      </c>
    </row>
    <row r="146" spans="1:6" x14ac:dyDescent="0.35">
      <c r="A146">
        <v>142</v>
      </c>
      <c r="B146" t="s">
        <v>328</v>
      </c>
      <c r="C146" t="s">
        <v>422</v>
      </c>
      <c r="D146">
        <f>COUNTIF($C$2:C146, C146)</f>
        <v>3</v>
      </c>
      <c r="E146">
        <v>56.1</v>
      </c>
      <c r="F146" t="s">
        <v>679</v>
      </c>
    </row>
    <row r="147" spans="1:6" x14ac:dyDescent="0.35">
      <c r="A147">
        <v>143</v>
      </c>
      <c r="B147" t="s">
        <v>324</v>
      </c>
      <c r="C147" t="s">
        <v>448</v>
      </c>
      <c r="D147">
        <f>COUNTIF($C$2:C147, C147)</f>
        <v>2</v>
      </c>
      <c r="E147">
        <v>55.9</v>
      </c>
      <c r="F147" t="s">
        <v>606</v>
      </c>
    </row>
    <row r="148" spans="1:6" x14ac:dyDescent="0.35">
      <c r="A148">
        <v>144</v>
      </c>
      <c r="B148" t="s">
        <v>329</v>
      </c>
      <c r="C148" t="s">
        <v>418</v>
      </c>
      <c r="D148">
        <f>COUNTIF($C$2:C148, C148)</f>
        <v>2</v>
      </c>
      <c r="E148">
        <v>55.9</v>
      </c>
      <c r="F148" t="s">
        <v>680</v>
      </c>
    </row>
    <row r="149" spans="1:6" x14ac:dyDescent="0.35">
      <c r="A149">
        <v>145</v>
      </c>
      <c r="B149" t="s">
        <v>330</v>
      </c>
      <c r="C149" t="s">
        <v>433</v>
      </c>
      <c r="D149">
        <f>COUNTIF($C$2:C149, C149)</f>
        <v>2</v>
      </c>
      <c r="E149">
        <v>55.8</v>
      </c>
      <c r="F149" t="s">
        <v>681</v>
      </c>
    </row>
    <row r="150" spans="1:6" x14ac:dyDescent="0.35">
      <c r="A150">
        <v>146</v>
      </c>
      <c r="B150" t="s">
        <v>331</v>
      </c>
      <c r="C150" t="s">
        <v>435</v>
      </c>
      <c r="D150">
        <f>COUNTIF($C$2:C150, C150)</f>
        <v>2</v>
      </c>
      <c r="E150">
        <v>55.5</v>
      </c>
      <c r="F150" t="s">
        <v>725</v>
      </c>
    </row>
    <row r="151" spans="1:6" x14ac:dyDescent="0.35">
      <c r="A151">
        <v>147</v>
      </c>
      <c r="B151" t="s">
        <v>332</v>
      </c>
      <c r="C151" t="s">
        <v>421</v>
      </c>
      <c r="D151">
        <f>COUNTIF($C$2:C151, C151)</f>
        <v>2</v>
      </c>
      <c r="E151">
        <v>55.1</v>
      </c>
      <c r="F151" t="s">
        <v>682</v>
      </c>
    </row>
    <row r="152" spans="1:6" x14ac:dyDescent="0.35">
      <c r="B152" t="s">
        <v>788</v>
      </c>
      <c r="C152" t="s">
        <v>785</v>
      </c>
      <c r="D152">
        <v>4</v>
      </c>
      <c r="E152">
        <v>55.1</v>
      </c>
      <c r="F152" t="s">
        <v>205</v>
      </c>
    </row>
    <row r="153" spans="1:6" x14ac:dyDescent="0.35">
      <c r="A153">
        <v>148</v>
      </c>
      <c r="B153" t="s">
        <v>333</v>
      </c>
      <c r="C153" t="s">
        <v>420</v>
      </c>
      <c r="D153">
        <f>COUNTIF($C$2:C153, C153)</f>
        <v>3</v>
      </c>
      <c r="E153">
        <v>55.1</v>
      </c>
      <c r="F153" t="s">
        <v>543</v>
      </c>
    </row>
    <row r="154" spans="1:6" x14ac:dyDescent="0.35">
      <c r="A154">
        <v>148</v>
      </c>
      <c r="B154" t="s">
        <v>334</v>
      </c>
      <c r="C154" t="s">
        <v>454</v>
      </c>
      <c r="D154">
        <f>COUNTIF($C$2:C154, C154)</f>
        <v>2</v>
      </c>
      <c r="E154">
        <v>55.1</v>
      </c>
      <c r="F154" t="s">
        <v>607</v>
      </c>
    </row>
    <row r="155" spans="1:6" x14ac:dyDescent="0.35">
      <c r="A155">
        <v>150</v>
      </c>
      <c r="B155" t="s">
        <v>335</v>
      </c>
      <c r="C155" t="s">
        <v>478</v>
      </c>
      <c r="D155">
        <f>COUNTIF($C$2:C155, C155)</f>
        <v>1</v>
      </c>
      <c r="E155">
        <v>54.9</v>
      </c>
      <c r="F155" t="s">
        <v>608</v>
      </c>
    </row>
    <row r="156" spans="1:6" x14ac:dyDescent="0.35">
      <c r="A156">
        <v>151</v>
      </c>
      <c r="B156" t="s">
        <v>336</v>
      </c>
      <c r="C156" t="s">
        <v>461</v>
      </c>
      <c r="D156">
        <f>COUNTIF($C$2:C156, C156)</f>
        <v>2</v>
      </c>
      <c r="E156">
        <v>54.9</v>
      </c>
      <c r="F156" t="s">
        <v>609</v>
      </c>
    </row>
    <row r="157" spans="1:6" x14ac:dyDescent="0.35">
      <c r="A157">
        <v>152</v>
      </c>
      <c r="B157" t="s">
        <v>242</v>
      </c>
      <c r="C157" t="s">
        <v>479</v>
      </c>
      <c r="D157">
        <f>COUNTIF($C$2:C157, C157)</f>
        <v>1</v>
      </c>
      <c r="E157">
        <v>54.9</v>
      </c>
      <c r="F157" t="s">
        <v>610</v>
      </c>
    </row>
    <row r="158" spans="1:6" x14ac:dyDescent="0.35">
      <c r="A158">
        <v>153</v>
      </c>
      <c r="B158" t="s">
        <v>190</v>
      </c>
      <c r="C158" t="s">
        <v>480</v>
      </c>
      <c r="D158">
        <f>COUNTIF($C$2:C158, C158)</f>
        <v>1</v>
      </c>
      <c r="E158">
        <v>54.9</v>
      </c>
      <c r="F158" t="s">
        <v>741</v>
      </c>
    </row>
    <row r="159" spans="1:6" x14ac:dyDescent="0.35">
      <c r="A159">
        <v>154</v>
      </c>
      <c r="B159" t="s">
        <v>337</v>
      </c>
      <c r="C159" t="s">
        <v>481</v>
      </c>
      <c r="D159">
        <f>COUNTIF($C$2:C159, C159)</f>
        <v>1</v>
      </c>
      <c r="E159">
        <v>54.6</v>
      </c>
      <c r="F159" t="s">
        <v>611</v>
      </c>
    </row>
    <row r="160" spans="1:6" x14ac:dyDescent="0.35">
      <c r="A160">
        <v>155</v>
      </c>
      <c r="B160" t="s">
        <v>338</v>
      </c>
      <c r="C160" t="s">
        <v>482</v>
      </c>
      <c r="D160">
        <f>COUNTIF($C$2:C160, C160)</f>
        <v>1</v>
      </c>
      <c r="E160">
        <v>54.4</v>
      </c>
      <c r="F160" t="s">
        <v>612</v>
      </c>
    </row>
    <row r="161" spans="1:6" x14ac:dyDescent="0.35">
      <c r="A161">
        <v>156</v>
      </c>
      <c r="B161" t="s">
        <v>230</v>
      </c>
      <c r="C161" t="s">
        <v>483</v>
      </c>
      <c r="D161">
        <f>COUNTIF($C$2:C161, C161)</f>
        <v>1</v>
      </c>
      <c r="E161">
        <v>54.3</v>
      </c>
      <c r="F161" t="s">
        <v>715</v>
      </c>
    </row>
    <row r="162" spans="1:6" x14ac:dyDescent="0.35">
      <c r="A162">
        <v>157</v>
      </c>
      <c r="B162" t="s">
        <v>339</v>
      </c>
      <c r="C162" t="s">
        <v>424</v>
      </c>
      <c r="D162">
        <f>COUNTIF($C$2:C162, C162)</f>
        <v>3</v>
      </c>
      <c r="E162">
        <v>54.2</v>
      </c>
      <c r="F162" t="s">
        <v>136</v>
      </c>
    </row>
    <row r="163" spans="1:6" x14ac:dyDescent="0.35">
      <c r="A163">
        <v>158</v>
      </c>
      <c r="B163" t="s">
        <v>255</v>
      </c>
      <c r="C163" t="s">
        <v>458</v>
      </c>
      <c r="D163">
        <f>COUNTIF($C$2:C163, C163)</f>
        <v>2</v>
      </c>
      <c r="E163">
        <v>54.1</v>
      </c>
      <c r="F163" t="s">
        <v>709</v>
      </c>
    </row>
    <row r="164" spans="1:6" x14ac:dyDescent="0.35">
      <c r="A164">
        <v>159</v>
      </c>
      <c r="B164" t="s">
        <v>340</v>
      </c>
      <c r="C164" t="s">
        <v>405</v>
      </c>
      <c r="D164">
        <f>COUNTIF($C$2:C164, C164)</f>
        <v>4</v>
      </c>
      <c r="E164">
        <v>53.8</v>
      </c>
      <c r="F164" t="s">
        <v>683</v>
      </c>
    </row>
    <row r="165" spans="1:6" x14ac:dyDescent="0.35">
      <c r="A165">
        <v>160</v>
      </c>
      <c r="B165" t="s">
        <v>230</v>
      </c>
      <c r="C165" t="s">
        <v>484</v>
      </c>
      <c r="D165">
        <f>COUNTIF($C$2:C165, C165)</f>
        <v>1</v>
      </c>
      <c r="E165">
        <v>53.8</v>
      </c>
      <c r="F165" t="s">
        <v>613</v>
      </c>
    </row>
    <row r="166" spans="1:6" x14ac:dyDescent="0.35">
      <c r="A166">
        <v>161</v>
      </c>
      <c r="B166" t="s">
        <v>341</v>
      </c>
      <c r="C166" t="s">
        <v>406</v>
      </c>
      <c r="D166">
        <f>COUNTIF($C$2:C166, C166)</f>
        <v>4</v>
      </c>
      <c r="E166">
        <v>53.7</v>
      </c>
      <c r="F166" t="s">
        <v>614</v>
      </c>
    </row>
    <row r="167" spans="1:6" x14ac:dyDescent="0.35">
      <c r="A167">
        <v>162</v>
      </c>
      <c r="B167" t="s">
        <v>230</v>
      </c>
      <c r="C167" t="s">
        <v>485</v>
      </c>
      <c r="D167">
        <f>COUNTIF($C$2:C167, C167)</f>
        <v>1</v>
      </c>
      <c r="E167">
        <v>53.5</v>
      </c>
      <c r="F167" t="s">
        <v>742</v>
      </c>
    </row>
    <row r="168" spans="1:6" x14ac:dyDescent="0.35">
      <c r="A168">
        <v>163</v>
      </c>
      <c r="B168" t="s">
        <v>230</v>
      </c>
      <c r="C168" t="s">
        <v>486</v>
      </c>
      <c r="D168">
        <f>COUNTIF($C$2:C168, C168)</f>
        <v>1</v>
      </c>
      <c r="E168">
        <v>53.5</v>
      </c>
      <c r="F168" t="s">
        <v>615</v>
      </c>
    </row>
    <row r="169" spans="1:6" x14ac:dyDescent="0.35">
      <c r="A169">
        <v>164</v>
      </c>
      <c r="B169" t="s">
        <v>342</v>
      </c>
      <c r="C169" t="s">
        <v>413</v>
      </c>
      <c r="D169">
        <f>COUNTIF($C$2:C169, C169)</f>
        <v>3</v>
      </c>
      <c r="E169">
        <v>53.5</v>
      </c>
      <c r="F169" t="s">
        <v>684</v>
      </c>
    </row>
    <row r="170" spans="1:6" x14ac:dyDescent="0.35">
      <c r="A170">
        <v>165</v>
      </c>
      <c r="B170" t="s">
        <v>295</v>
      </c>
      <c r="C170" t="s">
        <v>452</v>
      </c>
      <c r="D170">
        <f>COUNTIF($C$2:C170, C170)</f>
        <v>2</v>
      </c>
      <c r="E170">
        <v>53.1</v>
      </c>
      <c r="F170" t="s">
        <v>685</v>
      </c>
    </row>
    <row r="171" spans="1:6" x14ac:dyDescent="0.35">
      <c r="A171">
        <v>166</v>
      </c>
      <c r="B171" t="s">
        <v>343</v>
      </c>
      <c r="C171" t="s">
        <v>487</v>
      </c>
      <c r="D171">
        <f>COUNTIF($C$2:C171, C171)</f>
        <v>1</v>
      </c>
      <c r="E171">
        <v>52.7</v>
      </c>
      <c r="F171" t="s">
        <v>686</v>
      </c>
    </row>
    <row r="172" spans="1:6" x14ac:dyDescent="0.35">
      <c r="A172">
        <v>167</v>
      </c>
      <c r="B172" t="s">
        <v>344</v>
      </c>
      <c r="C172" t="s">
        <v>430</v>
      </c>
      <c r="D172">
        <f>COUNTIF($C$2:C172, C172)</f>
        <v>3</v>
      </c>
      <c r="E172">
        <v>52.6</v>
      </c>
      <c r="F172" t="s">
        <v>744</v>
      </c>
    </row>
    <row r="173" spans="1:6" x14ac:dyDescent="0.35">
      <c r="A173">
        <v>167</v>
      </c>
      <c r="B173" t="s">
        <v>345</v>
      </c>
      <c r="C173" t="s">
        <v>426</v>
      </c>
      <c r="D173">
        <f>COUNTIF($C$2:C173, C173)</f>
        <v>3</v>
      </c>
      <c r="E173">
        <v>52.6</v>
      </c>
      <c r="F173" t="s">
        <v>687</v>
      </c>
    </row>
    <row r="174" spans="1:6" x14ac:dyDescent="0.35">
      <c r="A174">
        <v>167</v>
      </c>
      <c r="B174" t="s">
        <v>346</v>
      </c>
      <c r="C174" t="s">
        <v>488</v>
      </c>
      <c r="D174">
        <f>COUNTIF($C$2:C174, C174)</f>
        <v>1</v>
      </c>
      <c r="E174">
        <v>52.6</v>
      </c>
      <c r="F174" t="s">
        <v>688</v>
      </c>
    </row>
    <row r="175" spans="1:6" x14ac:dyDescent="0.35">
      <c r="A175">
        <v>170</v>
      </c>
      <c r="B175" t="s">
        <v>347</v>
      </c>
      <c r="C175" t="s">
        <v>443</v>
      </c>
      <c r="D175">
        <f>COUNTIF($C$2:C175, C175)</f>
        <v>2</v>
      </c>
      <c r="E175">
        <v>52.4</v>
      </c>
      <c r="F175" t="s">
        <v>778</v>
      </c>
    </row>
    <row r="176" spans="1:6" x14ac:dyDescent="0.35">
      <c r="A176">
        <v>171</v>
      </c>
      <c r="B176" t="s">
        <v>237</v>
      </c>
      <c r="C176" t="s">
        <v>489</v>
      </c>
      <c r="D176">
        <f>COUNTIF($C$2:C176, C176)</f>
        <v>1</v>
      </c>
      <c r="E176">
        <v>52.4</v>
      </c>
      <c r="F176" t="s">
        <v>616</v>
      </c>
    </row>
    <row r="177" spans="1:6" x14ac:dyDescent="0.35">
      <c r="A177">
        <v>172</v>
      </c>
      <c r="B177" t="s">
        <v>348</v>
      </c>
      <c r="C177" t="s">
        <v>434</v>
      </c>
      <c r="D177">
        <f>COUNTIF($C$2:C177, C177)</f>
        <v>2</v>
      </c>
      <c r="E177">
        <v>52.4</v>
      </c>
      <c r="F177" t="s">
        <v>617</v>
      </c>
    </row>
    <row r="178" spans="1:6" x14ac:dyDescent="0.35">
      <c r="A178">
        <v>173</v>
      </c>
      <c r="B178" t="s">
        <v>349</v>
      </c>
      <c r="C178" t="s">
        <v>490</v>
      </c>
      <c r="D178">
        <f>COUNTIF($C$2:C178, C178)</f>
        <v>1</v>
      </c>
      <c r="E178">
        <v>52.3</v>
      </c>
      <c r="F178" t="s">
        <v>618</v>
      </c>
    </row>
    <row r="179" spans="1:6" x14ac:dyDescent="0.35">
      <c r="A179">
        <v>174</v>
      </c>
      <c r="B179" t="s">
        <v>350</v>
      </c>
      <c r="C179" t="s">
        <v>491</v>
      </c>
      <c r="D179">
        <f>COUNTIF($C$2:C179, C179)</f>
        <v>1</v>
      </c>
      <c r="E179">
        <v>52.2</v>
      </c>
      <c r="F179" t="s">
        <v>689</v>
      </c>
    </row>
    <row r="180" spans="1:6" x14ac:dyDescent="0.35">
      <c r="A180">
        <v>175</v>
      </c>
      <c r="B180" t="s">
        <v>247</v>
      </c>
      <c r="C180" t="s">
        <v>442</v>
      </c>
      <c r="D180">
        <f>COUNTIF($C$2:C180, C180)</f>
        <v>2</v>
      </c>
      <c r="E180">
        <v>52</v>
      </c>
      <c r="F180" t="s">
        <v>619</v>
      </c>
    </row>
    <row r="181" spans="1:6" x14ac:dyDescent="0.35">
      <c r="A181">
        <v>176</v>
      </c>
      <c r="B181" t="s">
        <v>351</v>
      </c>
      <c r="C181" t="s">
        <v>427</v>
      </c>
      <c r="D181">
        <f>COUNTIF($C$2:C181, C181)</f>
        <v>4</v>
      </c>
      <c r="E181">
        <v>52</v>
      </c>
      <c r="F181" t="s">
        <v>620</v>
      </c>
    </row>
    <row r="182" spans="1:6" x14ac:dyDescent="0.35">
      <c r="A182">
        <v>177</v>
      </c>
      <c r="B182" t="s">
        <v>255</v>
      </c>
      <c r="C182" t="s">
        <v>459</v>
      </c>
      <c r="D182">
        <f>COUNTIF($C$2:C182, C182)</f>
        <v>2</v>
      </c>
      <c r="E182">
        <v>52</v>
      </c>
      <c r="F182" t="s">
        <v>745</v>
      </c>
    </row>
    <row r="183" spans="1:6" x14ac:dyDescent="0.35">
      <c r="A183">
        <v>178</v>
      </c>
      <c r="B183" t="s">
        <v>352</v>
      </c>
      <c r="C183" t="s">
        <v>412</v>
      </c>
      <c r="D183">
        <f>COUNTIF($C$2:C183, C183)</f>
        <v>3</v>
      </c>
      <c r="E183">
        <v>51.9</v>
      </c>
      <c r="F183" t="s">
        <v>690</v>
      </c>
    </row>
    <row r="184" spans="1:6" x14ac:dyDescent="0.35">
      <c r="A184">
        <v>179</v>
      </c>
      <c r="B184" t="s">
        <v>353</v>
      </c>
      <c r="C184" t="s">
        <v>402</v>
      </c>
      <c r="D184">
        <f>COUNTIF($C$2:C184, C184)</f>
        <v>5</v>
      </c>
      <c r="E184">
        <v>51.7</v>
      </c>
      <c r="F184" t="s">
        <v>724</v>
      </c>
    </row>
    <row r="185" spans="1:6" x14ac:dyDescent="0.35">
      <c r="A185">
        <v>180</v>
      </c>
      <c r="B185" t="s">
        <v>354</v>
      </c>
      <c r="C185" t="s">
        <v>398</v>
      </c>
      <c r="D185">
        <f>COUNTIF($C$2:C185, C185)</f>
        <v>5</v>
      </c>
      <c r="E185">
        <v>51.7</v>
      </c>
      <c r="F185" t="s">
        <v>621</v>
      </c>
    </row>
    <row r="186" spans="1:6" x14ac:dyDescent="0.35">
      <c r="A186">
        <v>181</v>
      </c>
      <c r="B186" t="s">
        <v>190</v>
      </c>
      <c r="C186" t="s">
        <v>492</v>
      </c>
      <c r="D186">
        <f>COUNTIF($C$2:C186, C186)</f>
        <v>1</v>
      </c>
      <c r="E186">
        <v>51.7</v>
      </c>
      <c r="F186" t="s">
        <v>622</v>
      </c>
    </row>
    <row r="187" spans="1:6" x14ac:dyDescent="0.35">
      <c r="A187">
        <v>182</v>
      </c>
      <c r="B187" t="s">
        <v>348</v>
      </c>
      <c r="C187" t="s">
        <v>463</v>
      </c>
      <c r="D187">
        <f>COUNTIF($C$2:C187, C187)</f>
        <v>2</v>
      </c>
      <c r="E187">
        <v>51.6</v>
      </c>
      <c r="F187" t="s">
        <v>623</v>
      </c>
    </row>
    <row r="188" spans="1:6" x14ac:dyDescent="0.35">
      <c r="A188">
        <v>183</v>
      </c>
      <c r="B188" t="s">
        <v>355</v>
      </c>
      <c r="C188" t="s">
        <v>460</v>
      </c>
      <c r="D188">
        <f>COUNTIF($C$2:C188, C188)</f>
        <v>2</v>
      </c>
      <c r="E188">
        <v>51.3</v>
      </c>
      <c r="F188" t="s">
        <v>624</v>
      </c>
    </row>
    <row r="189" spans="1:6" x14ac:dyDescent="0.35">
      <c r="A189">
        <v>184</v>
      </c>
      <c r="B189" t="s">
        <v>356</v>
      </c>
      <c r="C189" t="s">
        <v>409</v>
      </c>
      <c r="D189">
        <f>COUNTIF($C$2:C189, C189)</f>
        <v>3</v>
      </c>
      <c r="E189">
        <v>51.1</v>
      </c>
      <c r="F189" t="s">
        <v>691</v>
      </c>
    </row>
    <row r="190" spans="1:6" x14ac:dyDescent="0.35">
      <c r="A190">
        <v>185</v>
      </c>
      <c r="B190" t="s">
        <v>357</v>
      </c>
      <c r="C190" t="s">
        <v>419</v>
      </c>
      <c r="D190">
        <f>COUNTIF($C$2:C190, C190)</f>
        <v>3</v>
      </c>
      <c r="E190">
        <v>51</v>
      </c>
      <c r="F190" t="s">
        <v>202</v>
      </c>
    </row>
    <row r="191" spans="1:6" x14ac:dyDescent="0.35">
      <c r="A191">
        <v>186</v>
      </c>
      <c r="B191" t="s">
        <v>357</v>
      </c>
      <c r="C191" t="s">
        <v>446</v>
      </c>
      <c r="D191">
        <f>COUNTIF($C$2:C191, C191)</f>
        <v>2</v>
      </c>
      <c r="E191">
        <v>50.9</v>
      </c>
      <c r="F191" t="s">
        <v>692</v>
      </c>
    </row>
    <row r="192" spans="1:6" x14ac:dyDescent="0.35">
      <c r="A192">
        <v>187</v>
      </c>
      <c r="B192" t="s">
        <v>358</v>
      </c>
      <c r="C192" t="s">
        <v>493</v>
      </c>
      <c r="D192">
        <f>COUNTIF($C$2:C192, C192)</f>
        <v>1</v>
      </c>
      <c r="E192">
        <v>50.8</v>
      </c>
      <c r="F192" t="s">
        <v>625</v>
      </c>
    </row>
    <row r="193" spans="1:6" x14ac:dyDescent="0.35">
      <c r="A193">
        <v>188</v>
      </c>
      <c r="B193" t="s">
        <v>345</v>
      </c>
      <c r="C193" t="s">
        <v>397</v>
      </c>
      <c r="D193">
        <f>COUNTIF($C$2:C193, C193)</f>
        <v>5</v>
      </c>
      <c r="E193">
        <v>50.8</v>
      </c>
      <c r="F193" t="s">
        <v>626</v>
      </c>
    </row>
    <row r="194" spans="1:6" x14ac:dyDescent="0.35">
      <c r="A194">
        <v>189</v>
      </c>
      <c r="B194" t="s">
        <v>359</v>
      </c>
      <c r="C194" t="s">
        <v>494</v>
      </c>
      <c r="D194">
        <f>COUNTIF($C$2:C194, C194)</f>
        <v>1</v>
      </c>
      <c r="E194">
        <v>50.6</v>
      </c>
      <c r="F194" t="s">
        <v>627</v>
      </c>
    </row>
    <row r="195" spans="1:6" x14ac:dyDescent="0.35">
      <c r="A195">
        <v>190</v>
      </c>
      <c r="B195" t="s">
        <v>230</v>
      </c>
      <c r="C195" t="s">
        <v>495</v>
      </c>
      <c r="D195">
        <f>COUNTIF($C$2:C195, C195)</f>
        <v>1</v>
      </c>
      <c r="E195">
        <v>50.6</v>
      </c>
      <c r="F195" t="s">
        <v>735</v>
      </c>
    </row>
    <row r="196" spans="1:6" x14ac:dyDescent="0.35">
      <c r="A196">
        <v>191</v>
      </c>
      <c r="B196" t="s">
        <v>348</v>
      </c>
      <c r="C196" t="s">
        <v>455</v>
      </c>
      <c r="D196">
        <f>COUNTIF($C$2:C196, C196)</f>
        <v>2</v>
      </c>
      <c r="E196">
        <v>50.3</v>
      </c>
      <c r="F196" t="s">
        <v>739</v>
      </c>
    </row>
    <row r="197" spans="1:6" x14ac:dyDescent="0.35">
      <c r="A197">
        <v>192</v>
      </c>
      <c r="B197" t="s">
        <v>360</v>
      </c>
      <c r="C197" t="s">
        <v>496</v>
      </c>
      <c r="D197">
        <f>COUNTIF($C$2:C197, C197)</f>
        <v>1</v>
      </c>
      <c r="E197">
        <v>50.3</v>
      </c>
      <c r="F197" t="s">
        <v>693</v>
      </c>
    </row>
    <row r="198" spans="1:6" x14ac:dyDescent="0.35">
      <c r="A198">
        <v>193</v>
      </c>
      <c r="B198" t="s">
        <v>332</v>
      </c>
      <c r="C198" t="s">
        <v>408</v>
      </c>
      <c r="D198">
        <f>COUNTIF($C$2:C198, C198)</f>
        <v>3</v>
      </c>
      <c r="E198">
        <v>50.1</v>
      </c>
      <c r="F198" t="s">
        <v>694</v>
      </c>
    </row>
    <row r="199" spans="1:6" x14ac:dyDescent="0.35">
      <c r="A199">
        <v>194</v>
      </c>
      <c r="B199" t="s">
        <v>357</v>
      </c>
      <c r="C199" t="s">
        <v>444</v>
      </c>
      <c r="D199">
        <f>COUNTIF($C$2:C199, C199)</f>
        <v>2</v>
      </c>
      <c r="E199">
        <v>50.1</v>
      </c>
      <c r="F199" t="s">
        <v>695</v>
      </c>
    </row>
    <row r="200" spans="1:6" x14ac:dyDescent="0.35">
      <c r="A200">
        <v>195</v>
      </c>
      <c r="B200" t="s">
        <v>361</v>
      </c>
      <c r="C200" t="s">
        <v>416</v>
      </c>
      <c r="D200">
        <f>COUNTIF($C$2:C200, C200)</f>
        <v>3</v>
      </c>
      <c r="E200">
        <v>50</v>
      </c>
      <c r="F200" t="s">
        <v>696</v>
      </c>
    </row>
    <row r="201" spans="1:6" x14ac:dyDescent="0.35">
      <c r="A201">
        <v>196</v>
      </c>
      <c r="B201" t="s">
        <v>250</v>
      </c>
      <c r="C201" t="s">
        <v>450</v>
      </c>
      <c r="D201">
        <f>COUNTIF($C$2:C201, C201)</f>
        <v>2</v>
      </c>
      <c r="E201">
        <v>49.9</v>
      </c>
      <c r="F201" t="s">
        <v>697</v>
      </c>
    </row>
    <row r="202" spans="1:6" x14ac:dyDescent="0.35">
      <c r="A202">
        <v>197</v>
      </c>
      <c r="B202" t="s">
        <v>250</v>
      </c>
      <c r="C202" t="s">
        <v>440</v>
      </c>
      <c r="D202">
        <f>COUNTIF($C$2:C202, C202)</f>
        <v>2</v>
      </c>
      <c r="E202">
        <v>49.8</v>
      </c>
      <c r="F202" t="s">
        <v>698</v>
      </c>
    </row>
    <row r="203" spans="1:6" x14ac:dyDescent="0.35">
      <c r="A203">
        <v>198</v>
      </c>
      <c r="B203" t="s">
        <v>362</v>
      </c>
      <c r="C203" t="s">
        <v>497</v>
      </c>
      <c r="D203">
        <f>COUNTIF($C$2:C203, C203)</f>
        <v>1</v>
      </c>
      <c r="E203">
        <v>49.6</v>
      </c>
      <c r="F203" t="s">
        <v>628</v>
      </c>
    </row>
    <row r="204" spans="1:6" x14ac:dyDescent="0.35">
      <c r="A204">
        <v>199</v>
      </c>
      <c r="B204" t="s">
        <v>230</v>
      </c>
      <c r="C204" t="s">
        <v>498</v>
      </c>
      <c r="D204">
        <f>COUNTIF($C$2:C204, C204)</f>
        <v>1</v>
      </c>
      <c r="E204">
        <v>49.6</v>
      </c>
      <c r="F204" t="s">
        <v>737</v>
      </c>
    </row>
    <row r="205" spans="1:6" x14ac:dyDescent="0.35">
      <c r="A205">
        <v>200</v>
      </c>
      <c r="B205" t="s">
        <v>363</v>
      </c>
      <c r="C205" t="s">
        <v>456</v>
      </c>
      <c r="D205">
        <f>COUNTIF($C$2:C205, C205)</f>
        <v>2</v>
      </c>
      <c r="E205">
        <v>49.1</v>
      </c>
      <c r="F205" t="s">
        <v>630</v>
      </c>
    </row>
    <row r="206" spans="1:6" x14ac:dyDescent="0.35">
      <c r="A206">
        <v>201</v>
      </c>
      <c r="B206" t="s">
        <v>364</v>
      </c>
      <c r="C206" t="s">
        <v>451</v>
      </c>
      <c r="D206">
        <f>COUNTIF($C$2:C206, C206)</f>
        <v>2</v>
      </c>
      <c r="E206">
        <v>48.7</v>
      </c>
      <c r="F206" t="s">
        <v>699</v>
      </c>
    </row>
    <row r="207" spans="1:6" x14ac:dyDescent="0.35">
      <c r="A207">
        <v>202</v>
      </c>
      <c r="B207" t="s">
        <v>365</v>
      </c>
      <c r="C207" t="s">
        <v>499</v>
      </c>
      <c r="D207">
        <f>COUNTIF($C$2:C207, C207)</f>
        <v>1</v>
      </c>
      <c r="E207">
        <v>48.5</v>
      </c>
      <c r="F207" t="s">
        <v>636</v>
      </c>
    </row>
    <row r="208" spans="1:6" x14ac:dyDescent="0.35">
      <c r="A208">
        <v>203</v>
      </c>
      <c r="B208" t="s">
        <v>356</v>
      </c>
      <c r="C208" t="s">
        <v>428</v>
      </c>
      <c r="D208">
        <f>COUNTIF($C$2:C208, C208)</f>
        <v>3</v>
      </c>
      <c r="E208">
        <v>48.5</v>
      </c>
      <c r="F208" t="s">
        <v>631</v>
      </c>
    </row>
    <row r="209" spans="1:6" x14ac:dyDescent="0.35">
      <c r="B209" t="s">
        <v>789</v>
      </c>
      <c r="C209" t="s">
        <v>785</v>
      </c>
      <c r="D209">
        <v>5</v>
      </c>
      <c r="E209">
        <v>48.5</v>
      </c>
      <c r="F209" t="s">
        <v>204</v>
      </c>
    </row>
    <row r="210" spans="1:6" x14ac:dyDescent="0.35">
      <c r="A210">
        <v>204</v>
      </c>
      <c r="B210" t="s">
        <v>366</v>
      </c>
      <c r="C210" t="s">
        <v>423</v>
      </c>
      <c r="D210">
        <f>COUNTIF($C$2:C210, C210)</f>
        <v>3</v>
      </c>
      <c r="E210">
        <v>48.4</v>
      </c>
      <c r="F210" t="s">
        <v>632</v>
      </c>
    </row>
    <row r="211" spans="1:6" x14ac:dyDescent="0.35">
      <c r="A211">
        <v>205</v>
      </c>
      <c r="B211" t="s">
        <v>230</v>
      </c>
      <c r="C211" t="s">
        <v>500</v>
      </c>
      <c r="D211">
        <f>COUNTIF($C$2:C211, C211)</f>
        <v>1</v>
      </c>
      <c r="E211">
        <v>48.4</v>
      </c>
      <c r="F211" t="s">
        <v>720</v>
      </c>
    </row>
    <row r="212" spans="1:6" x14ac:dyDescent="0.35">
      <c r="A212">
        <v>206</v>
      </c>
      <c r="B212" t="s">
        <v>367</v>
      </c>
      <c r="C212" t="s">
        <v>445</v>
      </c>
      <c r="D212">
        <f>COUNTIF($C$2:C212, C212)</f>
        <v>2</v>
      </c>
      <c r="E212">
        <v>48.2</v>
      </c>
      <c r="F212" t="s">
        <v>633</v>
      </c>
    </row>
    <row r="213" spans="1:6" x14ac:dyDescent="0.35">
      <c r="A213">
        <v>207</v>
      </c>
      <c r="B213" t="s">
        <v>230</v>
      </c>
      <c r="C213" t="s">
        <v>501</v>
      </c>
      <c r="D213">
        <f>COUNTIF($C$2:C213, C213)</f>
        <v>1</v>
      </c>
      <c r="E213">
        <v>48.2</v>
      </c>
      <c r="F213" t="s">
        <v>634</v>
      </c>
    </row>
    <row r="214" spans="1:6" x14ac:dyDescent="0.35">
      <c r="A214">
        <v>208</v>
      </c>
      <c r="B214" t="s">
        <v>324</v>
      </c>
      <c r="C214" t="s">
        <v>502</v>
      </c>
      <c r="D214">
        <f>COUNTIF($C$2:C214, C214)</f>
        <v>1</v>
      </c>
      <c r="E214">
        <v>48.2</v>
      </c>
      <c r="F214" t="s">
        <v>635</v>
      </c>
    </row>
    <row r="215" spans="1:6" x14ac:dyDescent="0.35">
      <c r="A215">
        <v>209</v>
      </c>
      <c r="B215" t="s">
        <v>368</v>
      </c>
      <c r="C215" t="s">
        <v>415</v>
      </c>
      <c r="D215">
        <f>COUNTIF($C$2:C215, C215)</f>
        <v>3</v>
      </c>
      <c r="E215">
        <v>48.2</v>
      </c>
      <c r="F215" t="s">
        <v>540</v>
      </c>
    </row>
    <row r="216" spans="1:6" x14ac:dyDescent="0.35">
      <c r="A216">
        <v>210</v>
      </c>
      <c r="B216" t="s">
        <v>295</v>
      </c>
      <c r="C216" t="s">
        <v>469</v>
      </c>
      <c r="D216">
        <f>COUNTIF($C$2:C216, C216)</f>
        <v>2</v>
      </c>
      <c r="E216">
        <v>48.1</v>
      </c>
      <c r="F216" t="s">
        <v>700</v>
      </c>
    </row>
    <row r="217" spans="1:6" x14ac:dyDescent="0.35">
      <c r="A217">
        <v>211</v>
      </c>
      <c r="B217" t="s">
        <v>369</v>
      </c>
      <c r="C217" t="s">
        <v>436</v>
      </c>
      <c r="D217">
        <f>COUNTIF($C$2:C217, C217)</f>
        <v>2</v>
      </c>
      <c r="E217">
        <v>48</v>
      </c>
      <c r="F217" t="s">
        <v>747</v>
      </c>
    </row>
    <row r="218" spans="1:6" x14ac:dyDescent="0.35">
      <c r="A218">
        <v>212</v>
      </c>
      <c r="B218" t="s">
        <v>230</v>
      </c>
      <c r="C218" t="s">
        <v>503</v>
      </c>
      <c r="D218">
        <f>COUNTIF($C$2:C218, C218)</f>
        <v>1</v>
      </c>
      <c r="E218">
        <v>47.8</v>
      </c>
      <c r="F218" t="s">
        <v>629</v>
      </c>
    </row>
    <row r="219" spans="1:6" x14ac:dyDescent="0.35">
      <c r="A219">
        <v>213</v>
      </c>
      <c r="B219" t="s">
        <v>370</v>
      </c>
      <c r="C219" t="s">
        <v>504</v>
      </c>
      <c r="D219">
        <f>COUNTIF($C$2:C219, C219)</f>
        <v>1</v>
      </c>
      <c r="E219">
        <v>47.8</v>
      </c>
      <c r="F219" t="s">
        <v>637</v>
      </c>
    </row>
    <row r="220" spans="1:6" x14ac:dyDescent="0.35">
      <c r="A220">
        <v>214</v>
      </c>
      <c r="B220" t="s">
        <v>371</v>
      </c>
      <c r="C220" t="s">
        <v>462</v>
      </c>
      <c r="D220">
        <f>COUNTIF($C$2:C220, C220)</f>
        <v>2</v>
      </c>
      <c r="E220">
        <v>47.8</v>
      </c>
      <c r="F220" t="s">
        <v>701</v>
      </c>
    </row>
    <row r="221" spans="1:6" x14ac:dyDescent="0.35">
      <c r="A221">
        <v>215</v>
      </c>
      <c r="B221" t="s">
        <v>372</v>
      </c>
      <c r="C221" t="s">
        <v>410</v>
      </c>
      <c r="D221">
        <f>COUNTIF($C$2:C221, C221)</f>
        <v>3</v>
      </c>
      <c r="E221">
        <v>47.8</v>
      </c>
      <c r="F221" t="s">
        <v>638</v>
      </c>
    </row>
    <row r="222" spans="1:6" x14ac:dyDescent="0.35">
      <c r="A222">
        <v>216</v>
      </c>
      <c r="B222" t="s">
        <v>295</v>
      </c>
      <c r="C222" t="s">
        <v>470</v>
      </c>
      <c r="D222">
        <f>COUNTIF($C$2:C222, C222)</f>
        <v>2</v>
      </c>
      <c r="E222">
        <v>47.7</v>
      </c>
      <c r="F222" t="s">
        <v>554</v>
      </c>
    </row>
    <row r="223" spans="1:6" x14ac:dyDescent="0.35">
      <c r="A223">
        <v>217</v>
      </c>
      <c r="B223" t="s">
        <v>373</v>
      </c>
      <c r="C223" t="s">
        <v>453</v>
      </c>
      <c r="D223">
        <f>COUNTIF($C$2:C223, C223)</f>
        <v>2</v>
      </c>
      <c r="E223">
        <v>47.2</v>
      </c>
      <c r="F223" t="s">
        <v>702</v>
      </c>
    </row>
    <row r="224" spans="1:6" x14ac:dyDescent="0.35">
      <c r="A224">
        <v>218</v>
      </c>
      <c r="B224" t="s">
        <v>374</v>
      </c>
      <c r="C224" t="s">
        <v>505</v>
      </c>
      <c r="D224">
        <f>COUNTIF($C$2:C224, C224)</f>
        <v>1</v>
      </c>
      <c r="E224">
        <v>47.2</v>
      </c>
      <c r="F224" t="s">
        <v>639</v>
      </c>
    </row>
    <row r="225" spans="1:6" x14ac:dyDescent="0.35">
      <c r="A225">
        <v>219</v>
      </c>
      <c r="B225" t="s">
        <v>375</v>
      </c>
      <c r="C225" t="s">
        <v>506</v>
      </c>
      <c r="D225">
        <f>COUNTIF($C$2:C225, C225)</f>
        <v>1</v>
      </c>
      <c r="E225">
        <v>47.1</v>
      </c>
      <c r="F225" t="s">
        <v>640</v>
      </c>
    </row>
    <row r="226" spans="1:6" x14ac:dyDescent="0.35">
      <c r="A226">
        <v>220</v>
      </c>
      <c r="B226" t="s">
        <v>376</v>
      </c>
      <c r="C226" t="s">
        <v>422</v>
      </c>
      <c r="D226">
        <f>COUNTIF($C$2:C226, C226)</f>
        <v>4</v>
      </c>
      <c r="E226">
        <v>47.1</v>
      </c>
      <c r="F226" t="s">
        <v>703</v>
      </c>
    </row>
    <row r="227" spans="1:6" x14ac:dyDescent="0.35">
      <c r="A227">
        <v>221</v>
      </c>
      <c r="B227" t="s">
        <v>377</v>
      </c>
      <c r="C227" t="s">
        <v>507</v>
      </c>
      <c r="D227">
        <f>COUNTIF($C$2:C227, C227)</f>
        <v>1</v>
      </c>
      <c r="E227">
        <v>47.1</v>
      </c>
      <c r="F227" t="s">
        <v>641</v>
      </c>
    </row>
    <row r="228" spans="1:6" x14ac:dyDescent="0.35">
      <c r="A228">
        <v>222</v>
      </c>
      <c r="B228" t="s">
        <v>230</v>
      </c>
      <c r="C228" t="s">
        <v>508</v>
      </c>
      <c r="D228">
        <f>COUNTIF($C$2:C228, C228)</f>
        <v>1</v>
      </c>
      <c r="E228">
        <v>46.9</v>
      </c>
      <c r="F228" t="s">
        <v>748</v>
      </c>
    </row>
    <row r="229" spans="1:6" x14ac:dyDescent="0.35">
      <c r="A229">
        <v>223</v>
      </c>
      <c r="B229" t="s">
        <v>378</v>
      </c>
      <c r="C229" t="s">
        <v>509</v>
      </c>
      <c r="D229">
        <f>COUNTIF($C$2:C229, C229)</f>
        <v>1</v>
      </c>
      <c r="E229">
        <v>46.8</v>
      </c>
      <c r="F229" t="s">
        <v>550</v>
      </c>
    </row>
    <row r="230" spans="1:6" x14ac:dyDescent="0.35">
      <c r="A230">
        <v>224</v>
      </c>
      <c r="B230" t="s">
        <v>190</v>
      </c>
      <c r="C230" t="s">
        <v>510</v>
      </c>
      <c r="D230">
        <f>COUNTIF($C$2:C230, C230)</f>
        <v>1</v>
      </c>
      <c r="E230">
        <v>46.6</v>
      </c>
      <c r="F230" t="s">
        <v>642</v>
      </c>
    </row>
    <row r="231" spans="1:6" x14ac:dyDescent="0.35">
      <c r="A231">
        <v>225</v>
      </c>
      <c r="B231" t="s">
        <v>379</v>
      </c>
      <c r="C231" t="s">
        <v>441</v>
      </c>
      <c r="D231">
        <f>COUNTIF($C$2:C231, C231)</f>
        <v>3</v>
      </c>
      <c r="E231">
        <v>46</v>
      </c>
      <c r="F231" t="s">
        <v>732</v>
      </c>
    </row>
    <row r="232" spans="1:6" x14ac:dyDescent="0.35">
      <c r="A232">
        <v>226</v>
      </c>
      <c r="B232" t="s">
        <v>380</v>
      </c>
      <c r="C232" t="s">
        <v>449</v>
      </c>
      <c r="D232">
        <f>COUNTIF($C$2:C232, C232)</f>
        <v>2</v>
      </c>
      <c r="E232">
        <v>45.9</v>
      </c>
      <c r="F232" t="s">
        <v>643</v>
      </c>
    </row>
    <row r="233" spans="1:6" x14ac:dyDescent="0.35">
      <c r="A233">
        <v>227</v>
      </c>
      <c r="B233" t="s">
        <v>381</v>
      </c>
      <c r="C233" t="s">
        <v>511</v>
      </c>
      <c r="D233">
        <f>COUNTIF($C$2:C233, C233)</f>
        <v>1</v>
      </c>
      <c r="E233">
        <v>45.9</v>
      </c>
      <c r="F233" t="s">
        <v>644</v>
      </c>
    </row>
    <row r="234" spans="1:6" x14ac:dyDescent="0.35">
      <c r="A234">
        <v>228</v>
      </c>
      <c r="B234" t="s">
        <v>382</v>
      </c>
      <c r="C234" t="s">
        <v>512</v>
      </c>
      <c r="D234">
        <f>COUNTIF($C$2:C234, C234)</f>
        <v>1</v>
      </c>
      <c r="E234">
        <v>45.9</v>
      </c>
      <c r="F234" t="s">
        <v>704</v>
      </c>
    </row>
    <row r="235" spans="1:6" x14ac:dyDescent="0.35">
      <c r="A235">
        <v>229</v>
      </c>
      <c r="B235" t="s">
        <v>383</v>
      </c>
      <c r="C235" t="s">
        <v>420</v>
      </c>
      <c r="D235">
        <f>COUNTIF($C$2:C235, C235)</f>
        <v>4</v>
      </c>
      <c r="E235">
        <v>45.2</v>
      </c>
      <c r="F235" t="s">
        <v>645</v>
      </c>
    </row>
    <row r="236" spans="1:6" x14ac:dyDescent="0.35">
      <c r="A236">
        <v>230</v>
      </c>
      <c r="B236" t="s">
        <v>384</v>
      </c>
      <c r="C236" t="s">
        <v>432</v>
      </c>
      <c r="D236">
        <f>COUNTIF($C$2:C236, C236)</f>
        <v>3</v>
      </c>
      <c r="E236">
        <v>45.1</v>
      </c>
      <c r="F236" t="s">
        <v>705</v>
      </c>
    </row>
    <row r="237" spans="1:6" x14ac:dyDescent="0.35">
      <c r="A237">
        <v>231</v>
      </c>
      <c r="B237" t="s">
        <v>385</v>
      </c>
      <c r="C237" t="s">
        <v>513</v>
      </c>
      <c r="D237">
        <f>COUNTIF($C$2:C237, C237)</f>
        <v>1</v>
      </c>
      <c r="E237">
        <v>44.8</v>
      </c>
      <c r="F237" t="s">
        <v>646</v>
      </c>
    </row>
    <row r="238" spans="1:6" x14ac:dyDescent="0.35">
      <c r="A238">
        <v>232</v>
      </c>
      <c r="B238" t="s">
        <v>230</v>
      </c>
      <c r="C238" t="s">
        <v>514</v>
      </c>
      <c r="D238">
        <f>COUNTIF($C$2:C238, C238)</f>
        <v>1</v>
      </c>
      <c r="E238">
        <v>44.8</v>
      </c>
      <c r="F238" t="s">
        <v>743</v>
      </c>
    </row>
    <row r="239" spans="1:6" x14ac:dyDescent="0.35">
      <c r="A239">
        <v>233</v>
      </c>
      <c r="B239" t="s">
        <v>332</v>
      </c>
      <c r="C239" t="s">
        <v>425</v>
      </c>
      <c r="D239">
        <f>COUNTIF($C$2:C239, C239)</f>
        <v>3</v>
      </c>
      <c r="E239">
        <v>44.4</v>
      </c>
      <c r="F239" t="s">
        <v>706</v>
      </c>
    </row>
    <row r="240" spans="1:6" x14ac:dyDescent="0.35">
      <c r="A240">
        <v>234</v>
      </c>
      <c r="B240" t="s">
        <v>386</v>
      </c>
      <c r="C240" t="s">
        <v>441</v>
      </c>
      <c r="D240">
        <f>COUNTIF($C$2:C240, C240)</f>
        <v>4</v>
      </c>
      <c r="E240">
        <v>44</v>
      </c>
      <c r="F240" t="s">
        <v>733</v>
      </c>
    </row>
    <row r="241" spans="1:6" x14ac:dyDescent="0.35">
      <c r="A241">
        <v>235</v>
      </c>
      <c r="B241" t="s">
        <v>300</v>
      </c>
      <c r="C241" t="s">
        <v>515</v>
      </c>
      <c r="D241">
        <f>COUNTIF($C$2:C241, C241)</f>
        <v>1</v>
      </c>
      <c r="E241">
        <v>43.9</v>
      </c>
      <c r="F241" t="s">
        <v>727</v>
      </c>
    </row>
    <row r="242" spans="1:6" x14ac:dyDescent="0.35">
      <c r="A242">
        <v>236</v>
      </c>
      <c r="B242" t="s">
        <v>387</v>
      </c>
      <c r="C242" t="s">
        <v>421</v>
      </c>
      <c r="D242">
        <f>COUNTIF($C$2:C242, C242)</f>
        <v>3</v>
      </c>
      <c r="E242">
        <v>43.8</v>
      </c>
      <c r="F242" t="s">
        <v>707</v>
      </c>
    </row>
    <row r="243" spans="1:6" x14ac:dyDescent="0.35">
      <c r="B243" t="s">
        <v>790</v>
      </c>
      <c r="C243" t="s">
        <v>785</v>
      </c>
      <c r="D243">
        <v>6</v>
      </c>
      <c r="E243">
        <v>43.8</v>
      </c>
      <c r="F243" t="s">
        <v>772</v>
      </c>
    </row>
    <row r="244" spans="1:6" x14ac:dyDescent="0.35">
      <c r="A244">
        <v>237</v>
      </c>
      <c r="B244" t="s">
        <v>279</v>
      </c>
      <c r="C244" t="s">
        <v>442</v>
      </c>
      <c r="D244">
        <f>COUNTIF($C$2:C244, C244)</f>
        <v>3</v>
      </c>
      <c r="E244">
        <v>43.7</v>
      </c>
      <c r="F244" t="s">
        <v>647</v>
      </c>
    </row>
    <row r="245" spans="1:6" x14ac:dyDescent="0.35">
      <c r="A245">
        <v>238</v>
      </c>
      <c r="B245" t="s">
        <v>388</v>
      </c>
      <c r="C245" t="s">
        <v>516</v>
      </c>
      <c r="D245">
        <f>COUNTIF($C$2:C245, C245)</f>
        <v>1</v>
      </c>
      <c r="E245">
        <v>43.5</v>
      </c>
      <c r="F245" t="s">
        <v>729</v>
      </c>
    </row>
    <row r="246" spans="1:6" x14ac:dyDescent="0.35">
      <c r="A246">
        <v>239</v>
      </c>
      <c r="B246" t="s">
        <v>389</v>
      </c>
      <c r="C246" t="s">
        <v>475</v>
      </c>
      <c r="D246">
        <f>COUNTIF($C$2:C246, C246)</f>
        <v>2</v>
      </c>
      <c r="E246">
        <v>43.4</v>
      </c>
      <c r="F246" t="s">
        <v>746</v>
      </c>
    </row>
    <row r="247" spans="1:6" x14ac:dyDescent="0.35">
      <c r="A247">
        <v>240</v>
      </c>
      <c r="B247" t="s">
        <v>390</v>
      </c>
      <c r="C247" t="s">
        <v>435</v>
      </c>
      <c r="D247">
        <f>COUNTIF($C$2:C247, C247)</f>
        <v>3</v>
      </c>
      <c r="E247">
        <v>43.3</v>
      </c>
      <c r="F247" t="s">
        <v>726</v>
      </c>
    </row>
    <row r="248" spans="1:6" x14ac:dyDescent="0.35">
      <c r="A248">
        <v>241</v>
      </c>
      <c r="B248" t="s">
        <v>272</v>
      </c>
      <c r="C248" t="s">
        <v>517</v>
      </c>
      <c r="D248">
        <f>COUNTIF($C$2:C248, C248)</f>
        <v>1</v>
      </c>
      <c r="E248">
        <v>43.1</v>
      </c>
      <c r="F248" t="s">
        <v>708</v>
      </c>
    </row>
    <row r="249" spans="1:6" x14ac:dyDescent="0.35">
      <c r="A249">
        <v>242</v>
      </c>
      <c r="B249" t="s">
        <v>342</v>
      </c>
      <c r="C249" t="s">
        <v>452</v>
      </c>
      <c r="D249">
        <f>COUNTIF($C$2:C249, C249)</f>
        <v>3</v>
      </c>
      <c r="E249">
        <v>42.9</v>
      </c>
      <c r="F249" t="s">
        <v>714</v>
      </c>
    </row>
    <row r="250" spans="1:6" x14ac:dyDescent="0.35">
      <c r="A250">
        <v>243</v>
      </c>
      <c r="B250" t="s">
        <v>230</v>
      </c>
      <c r="C250" t="s">
        <v>518</v>
      </c>
      <c r="D250">
        <f>COUNTIF($C$2:C250, C250)</f>
        <v>1</v>
      </c>
      <c r="E250">
        <v>42.4</v>
      </c>
      <c r="F250" t="s">
        <v>710</v>
      </c>
    </row>
    <row r="251" spans="1:6" x14ac:dyDescent="0.35">
      <c r="A251">
        <v>244</v>
      </c>
      <c r="B251" t="s">
        <v>359</v>
      </c>
      <c r="C251" t="s">
        <v>519</v>
      </c>
      <c r="D251">
        <f>COUNTIF($C$2:C251, C251)</f>
        <v>1</v>
      </c>
      <c r="E251">
        <v>42.2</v>
      </c>
      <c r="F251" t="s">
        <v>648</v>
      </c>
    </row>
    <row r="252" spans="1:6" x14ac:dyDescent="0.35">
      <c r="A252">
        <v>245</v>
      </c>
      <c r="B252" t="s">
        <v>391</v>
      </c>
      <c r="C252" t="s">
        <v>520</v>
      </c>
      <c r="D252">
        <f>COUNTIF($C$2:C252, C252)</f>
        <v>1</v>
      </c>
      <c r="E252">
        <v>42</v>
      </c>
      <c r="F252" t="s">
        <v>649</v>
      </c>
    </row>
    <row r="253" spans="1:6" x14ac:dyDescent="0.35">
      <c r="A253">
        <v>246</v>
      </c>
      <c r="B253" t="s">
        <v>392</v>
      </c>
      <c r="C253" t="s">
        <v>412</v>
      </c>
      <c r="D253">
        <f>COUNTIF($C$2:C253, C253)</f>
        <v>4</v>
      </c>
      <c r="E253">
        <v>41.8</v>
      </c>
      <c r="F253" t="s">
        <v>711</v>
      </c>
    </row>
    <row r="254" spans="1:6" x14ac:dyDescent="0.35">
      <c r="A254">
        <v>247</v>
      </c>
      <c r="B254" t="s">
        <v>393</v>
      </c>
      <c r="C254" t="s">
        <v>434</v>
      </c>
      <c r="D254">
        <f>COUNTIF($C$2:C254, C254)</f>
        <v>3</v>
      </c>
      <c r="E254">
        <v>41.5</v>
      </c>
      <c r="F254" t="s">
        <v>650</v>
      </c>
    </row>
    <row r="255" spans="1:6" x14ac:dyDescent="0.35">
      <c r="A255">
        <v>248</v>
      </c>
      <c r="B255" t="s">
        <v>394</v>
      </c>
      <c r="C255" t="s">
        <v>474</v>
      </c>
      <c r="D255">
        <f>COUNTIF($C$2:C255, C255)</f>
        <v>2</v>
      </c>
      <c r="E255">
        <v>41.3</v>
      </c>
      <c r="F255" t="s">
        <v>717</v>
      </c>
    </row>
    <row r="256" spans="1:6" x14ac:dyDescent="0.35">
      <c r="A256">
        <v>249</v>
      </c>
      <c r="B256" t="s">
        <v>395</v>
      </c>
      <c r="C256" t="s">
        <v>521</v>
      </c>
      <c r="D256">
        <f>COUNTIF($C$2:C256, C256)</f>
        <v>1</v>
      </c>
      <c r="E256">
        <v>41.1</v>
      </c>
      <c r="F256" t="s">
        <v>712</v>
      </c>
    </row>
    <row r="257" spans="1:6" x14ac:dyDescent="0.35">
      <c r="A257">
        <v>250</v>
      </c>
      <c r="B257" t="s">
        <v>396</v>
      </c>
      <c r="C257" t="s">
        <v>522</v>
      </c>
      <c r="D257">
        <f>COUNTIF($C$2:C257, C257)</f>
        <v>1</v>
      </c>
      <c r="E257">
        <v>40.799999999999997</v>
      </c>
      <c r="F257" t="s">
        <v>651</v>
      </c>
    </row>
  </sheetData>
  <autoFilter ref="A1:F257" xr:uid="{C18ECC1B-BDA1-4C52-8B6F-F862F42FC95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Year by Year Coaching Hires</vt:lpstr>
      <vt:lpstr>Rehired</vt:lpstr>
      <vt:lpstr>MLS Total Compensation by Team </vt:lpstr>
      <vt:lpstr>Year by Year Team x Comp x HC</vt:lpstr>
      <vt:lpstr>List of Leagues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Gilbert</dc:creator>
  <cp:lastModifiedBy>Daniel Gilbert</cp:lastModifiedBy>
  <dcterms:created xsi:type="dcterms:W3CDTF">2023-10-26T14:50:37Z</dcterms:created>
  <dcterms:modified xsi:type="dcterms:W3CDTF">2023-12-12T22:16:57Z</dcterms:modified>
</cp:coreProperties>
</file>