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activeTab="2"/>
  </bookViews>
  <sheets>
    <sheet name="polos de suprimento" sheetId="10" r:id="rId1"/>
    <sheet name="polos de abastecimento" sheetId="1" r:id="rId2"/>
    <sheet name="parâmetros de entrada" sheetId="2" r:id="rId3"/>
    <sheet name="características dos flúidos" sheetId="3" r:id="rId4"/>
    <sheet name="dados técnicos de tubos de aço" sheetId="4" r:id="rId5"/>
    <sheet name="rugosidade relativa" sheetId="5" r:id="rId6"/>
    <sheet name="inputs gerais" sheetId="6" r:id="rId7"/>
    <sheet name="coeficiente transposição" sheetId="7" r:id="rId8"/>
    <sheet name="Resumio Financeiro" sheetId="8" r:id="rId9"/>
    <sheet name="dados gerais do projeto" sheetId="9" r:id="rId10"/>
  </sheets>
  <externalReferences>
    <externalReference r:id="rId11"/>
    <externalReference r:id="rId12"/>
  </externalReferences>
  <definedNames>
    <definedName name="tabela_classe">'[1]Tabelas de Apoio'!$B$5:$B$6</definedName>
    <definedName name="tabela_produto">'[1]Tabelas de Apoio'!$B$9:$B$18</definedName>
  </definedNames>
  <calcPr calcId="145621"/>
  <fileRecoveryPr repairLoad="1"/>
</workbook>
</file>

<file path=xl/calcChain.xml><?xml version="1.0" encoding="utf-8"?>
<calcChain xmlns="http://schemas.openxmlformats.org/spreadsheetml/2006/main">
  <c r="F31" i="9" l="1"/>
  <c r="G30" i="9"/>
  <c r="F29" i="9"/>
  <c r="G27" i="9"/>
  <c r="D27" i="9"/>
  <c r="F27" i="9" s="1"/>
  <c r="G26" i="9"/>
  <c r="F26" i="9"/>
  <c r="D26" i="9"/>
  <c r="D25" i="9"/>
  <c r="G25" i="9" s="1"/>
  <c r="D24" i="9"/>
  <c r="G24" i="9" s="1"/>
  <c r="G23" i="9"/>
  <c r="D23" i="9"/>
  <c r="F23" i="9" s="1"/>
  <c r="G22" i="9"/>
  <c r="F22" i="9"/>
  <c r="D22" i="9"/>
  <c r="D21" i="9"/>
  <c r="F21" i="9" s="1"/>
  <c r="D18" i="9"/>
  <c r="G18" i="9" s="1"/>
  <c r="G17" i="9"/>
  <c r="D17" i="9"/>
  <c r="F17" i="9" s="1"/>
  <c r="G16" i="9"/>
  <c r="F16" i="9"/>
  <c r="D16" i="9"/>
  <c r="D15" i="9"/>
  <c r="F15" i="9" s="1"/>
  <c r="D14" i="9"/>
  <c r="G14" i="9" s="1"/>
  <c r="G13" i="9"/>
  <c r="D13" i="9"/>
  <c r="F13" i="9" s="1"/>
  <c r="G12" i="9"/>
  <c r="F12" i="9"/>
  <c r="D12" i="9"/>
  <c r="F10" i="9"/>
  <c r="F9" i="9"/>
  <c r="F8" i="9"/>
  <c r="E68" i="8"/>
  <c r="F68" i="8" s="1"/>
  <c r="D68" i="8"/>
  <c r="E67" i="8"/>
  <c r="F67" i="8" s="1"/>
  <c r="D67" i="8"/>
  <c r="F66" i="8"/>
  <c r="E66" i="8"/>
  <c r="D66" i="8"/>
  <c r="E65" i="8"/>
  <c r="F65" i="8" s="1"/>
  <c r="D65" i="8"/>
  <c r="E64" i="8"/>
  <c r="F64" i="8" s="1"/>
  <c r="D64" i="8"/>
  <c r="E63" i="8"/>
  <c r="F63" i="8" s="1"/>
  <c r="D63" i="8"/>
  <c r="F62" i="8"/>
  <c r="E62" i="8"/>
  <c r="D62" i="8"/>
  <c r="E61" i="8"/>
  <c r="F61" i="8" s="1"/>
  <c r="D61" i="8"/>
  <c r="E60" i="8"/>
  <c r="F60" i="8" s="1"/>
  <c r="D60" i="8"/>
  <c r="E59" i="8"/>
  <c r="F59" i="8" s="1"/>
  <c r="D59" i="8"/>
  <c r="F58" i="8"/>
  <c r="E58" i="8"/>
  <c r="D58" i="8"/>
  <c r="E57" i="8"/>
  <c r="F57" i="8" s="1"/>
  <c r="D57" i="8"/>
  <c r="L56" i="8"/>
  <c r="K56" i="8"/>
  <c r="F56" i="8"/>
  <c r="E56" i="8"/>
  <c r="D56" i="8"/>
  <c r="L55" i="8"/>
  <c r="K55" i="8"/>
  <c r="E55" i="8"/>
  <c r="F55" i="8" s="1"/>
  <c r="D55" i="8"/>
  <c r="L54" i="8"/>
  <c r="K54" i="8"/>
  <c r="F54" i="8"/>
  <c r="E54" i="8"/>
  <c r="D54" i="8"/>
  <c r="L53" i="8"/>
  <c r="K53" i="8"/>
  <c r="E53" i="8"/>
  <c r="F53" i="8" s="1"/>
  <c r="D53" i="8"/>
  <c r="L52" i="8"/>
  <c r="K52" i="8"/>
  <c r="F52" i="8"/>
  <c r="E52" i="8"/>
  <c r="D52" i="8"/>
  <c r="L51" i="8"/>
  <c r="K51" i="8"/>
  <c r="E51" i="8"/>
  <c r="F51" i="8" s="1"/>
  <c r="D51" i="8"/>
  <c r="L50" i="8"/>
  <c r="K50" i="8"/>
  <c r="I50" i="8"/>
  <c r="E50" i="8"/>
  <c r="F50" i="8" s="1"/>
  <c r="D50" i="8"/>
  <c r="L49" i="8"/>
  <c r="K49" i="8"/>
  <c r="I49" i="8"/>
  <c r="E49" i="8"/>
  <c r="F49" i="8" s="1"/>
  <c r="D49" i="8"/>
  <c r="L48" i="8"/>
  <c r="K48" i="8"/>
  <c r="F48" i="8"/>
  <c r="E48" i="8"/>
  <c r="D48" i="8"/>
  <c r="L47" i="8"/>
  <c r="K47" i="8"/>
  <c r="E47" i="8"/>
  <c r="F47" i="8" s="1"/>
  <c r="D47" i="8"/>
  <c r="L46" i="8"/>
  <c r="K46" i="8"/>
  <c r="F46" i="8"/>
  <c r="E46" i="8"/>
  <c r="D46" i="8"/>
  <c r="L45" i="8"/>
  <c r="K45" i="8"/>
  <c r="E45" i="8"/>
  <c r="F45" i="8" s="1"/>
  <c r="D45" i="8"/>
  <c r="L44" i="8"/>
  <c r="K44" i="8"/>
  <c r="F44" i="8"/>
  <c r="E44" i="8"/>
  <c r="D44" i="8"/>
  <c r="L43" i="8"/>
  <c r="K43" i="8"/>
  <c r="I43" i="8"/>
  <c r="F43" i="8"/>
  <c r="E43" i="8"/>
  <c r="D43" i="8"/>
  <c r="L42" i="8"/>
  <c r="K42" i="8"/>
  <c r="I42" i="8"/>
  <c r="F42" i="8"/>
  <c r="E42" i="8"/>
  <c r="D42" i="8"/>
  <c r="L41" i="8"/>
  <c r="K41" i="8"/>
  <c r="E41" i="8"/>
  <c r="F41" i="8" s="1"/>
  <c r="D41" i="8"/>
  <c r="L40" i="8"/>
  <c r="K40" i="8"/>
  <c r="F40" i="8"/>
  <c r="E40" i="8"/>
  <c r="D40" i="8"/>
  <c r="L39" i="8"/>
  <c r="K39" i="8"/>
  <c r="E39" i="8"/>
  <c r="F39" i="8" s="1"/>
  <c r="D39" i="8"/>
  <c r="L38" i="8"/>
  <c r="K38" i="8"/>
  <c r="L37" i="8"/>
  <c r="K37" i="8"/>
  <c r="L36" i="8"/>
  <c r="K36" i="8"/>
  <c r="I36" i="8"/>
  <c r="L35" i="8"/>
  <c r="K35" i="8"/>
  <c r="I35" i="8"/>
  <c r="L34" i="8"/>
  <c r="K34" i="8"/>
  <c r="L33" i="8"/>
  <c r="K33" i="8"/>
  <c r="L32" i="8"/>
  <c r="K32" i="8"/>
  <c r="L31" i="8"/>
  <c r="K31" i="8"/>
  <c r="L30" i="8"/>
  <c r="K30" i="8"/>
  <c r="F30" i="8"/>
  <c r="L29" i="8"/>
  <c r="K29" i="8"/>
  <c r="I29" i="8"/>
  <c r="L28" i="8"/>
  <c r="K28" i="8"/>
  <c r="I28" i="8"/>
  <c r="L27" i="8"/>
  <c r="K27" i="8"/>
  <c r="F27" i="8"/>
  <c r="L26" i="8"/>
  <c r="K26" i="8"/>
  <c r="L25" i="8"/>
  <c r="K25" i="8"/>
  <c r="L24" i="8"/>
  <c r="K24" i="8"/>
  <c r="F24" i="8"/>
  <c r="E24" i="8"/>
  <c r="L23" i="8"/>
  <c r="K23" i="8"/>
  <c r="F23" i="8"/>
  <c r="E23" i="8"/>
  <c r="L22" i="8"/>
  <c r="K22" i="8"/>
  <c r="I22" i="8"/>
  <c r="E22" i="8"/>
  <c r="F22" i="8" s="1"/>
  <c r="L21" i="8"/>
  <c r="K21" i="8"/>
  <c r="I21" i="8"/>
  <c r="F21" i="8"/>
  <c r="E21" i="8"/>
  <c r="L20" i="8"/>
  <c r="K20" i="8"/>
  <c r="F20" i="8"/>
  <c r="E20" i="8"/>
  <c r="L19" i="8"/>
  <c r="K19" i="8"/>
  <c r="F19" i="8"/>
  <c r="E19" i="8"/>
  <c r="L18" i="8"/>
  <c r="K18" i="8"/>
  <c r="F18" i="8"/>
  <c r="E18" i="8"/>
  <c r="L17" i="8"/>
  <c r="K17" i="8"/>
  <c r="F17" i="8"/>
  <c r="L16" i="8"/>
  <c r="K16" i="8"/>
  <c r="L15" i="8"/>
  <c r="K15" i="8"/>
  <c r="I15" i="8"/>
  <c r="F15" i="8"/>
  <c r="E15" i="8"/>
  <c r="L14" i="8"/>
  <c r="K14" i="8"/>
  <c r="I14" i="8"/>
  <c r="E14" i="8"/>
  <c r="F14" i="8" s="1"/>
  <c r="L13" i="8"/>
  <c r="K13" i="8"/>
  <c r="E13" i="8"/>
  <c r="F13" i="8" s="1"/>
  <c r="L12" i="8"/>
  <c r="K12" i="8"/>
  <c r="E12" i="8"/>
  <c r="F12" i="8" s="1"/>
  <c r="L11" i="8"/>
  <c r="K11" i="8"/>
  <c r="E11" i="8"/>
  <c r="F11" i="8" s="1"/>
  <c r="L10" i="8"/>
  <c r="K10" i="8"/>
  <c r="E10" i="8"/>
  <c r="F10" i="8" s="1"/>
  <c r="L9" i="8"/>
  <c r="K9" i="8"/>
  <c r="E9" i="8"/>
  <c r="F9" i="8" s="1"/>
  <c r="L8" i="8"/>
  <c r="K8" i="8"/>
  <c r="I8" i="8"/>
  <c r="F8" i="8"/>
  <c r="M52" i="7"/>
  <c r="M51" i="7"/>
  <c r="U42" i="7"/>
  <c r="T42" i="7"/>
  <c r="T41" i="7"/>
  <c r="U41" i="7" s="1"/>
  <c r="T40" i="7"/>
  <c r="U40" i="7" s="1"/>
  <c r="AC39" i="7"/>
  <c r="AC40" i="7" s="1"/>
  <c r="U39" i="7"/>
  <c r="T39" i="7"/>
  <c r="U38" i="7"/>
  <c r="T38" i="7"/>
  <c r="U37" i="7"/>
  <c r="T37" i="7"/>
  <c r="U36" i="7"/>
  <c r="T36" i="7"/>
  <c r="U35" i="7"/>
  <c r="T35" i="7"/>
  <c r="U34" i="7"/>
  <c r="T34" i="7"/>
  <c r="U33" i="7"/>
  <c r="T33" i="7"/>
  <c r="U32" i="7"/>
  <c r="T32" i="7"/>
  <c r="U31" i="7"/>
  <c r="T31" i="7"/>
  <c r="U30" i="7"/>
  <c r="T30" i="7"/>
  <c r="U29" i="7"/>
  <c r="T29" i="7"/>
  <c r="U28" i="7"/>
  <c r="T28" i="7"/>
  <c r="U27" i="7"/>
  <c r="T27" i="7"/>
  <c r="U26" i="7"/>
  <c r="T26" i="7"/>
  <c r="U25" i="7"/>
  <c r="T25" i="7"/>
  <c r="U24" i="7"/>
  <c r="T24" i="7"/>
  <c r="U23" i="7"/>
  <c r="T23" i="7"/>
  <c r="U22" i="7"/>
  <c r="T22" i="7"/>
  <c r="U21" i="7"/>
  <c r="T21" i="7"/>
  <c r="T20" i="7"/>
  <c r="U20" i="7" s="1"/>
  <c r="I27" i="4"/>
  <c r="H27" i="4"/>
  <c r="G27" i="4"/>
  <c r="F27" i="4"/>
  <c r="J27" i="4" s="1"/>
  <c r="D27" i="4"/>
  <c r="I26" i="4"/>
  <c r="H26" i="4"/>
  <c r="G26" i="4"/>
  <c r="F26" i="4"/>
  <c r="J26" i="4" s="1"/>
  <c r="D26" i="4"/>
  <c r="I25" i="4"/>
  <c r="H25" i="4"/>
  <c r="G25" i="4"/>
  <c r="F25" i="4"/>
  <c r="J25" i="4" s="1"/>
  <c r="D25" i="4"/>
  <c r="I24" i="4"/>
  <c r="H24" i="4"/>
  <c r="G24" i="4"/>
  <c r="F24" i="4"/>
  <c r="J24" i="4" s="1"/>
  <c r="D24" i="4"/>
  <c r="I23" i="4"/>
  <c r="H23" i="4"/>
  <c r="G23" i="4"/>
  <c r="F23" i="4"/>
  <c r="J23" i="4" s="1"/>
  <c r="I22" i="4"/>
  <c r="H22" i="4"/>
  <c r="G22" i="4"/>
  <c r="F22" i="4"/>
  <c r="J22" i="4" s="1"/>
  <c r="I21" i="4"/>
  <c r="H21" i="4"/>
  <c r="G21" i="4"/>
  <c r="F21" i="4"/>
  <c r="J21" i="4" s="1"/>
  <c r="I20" i="4"/>
  <c r="H20" i="4"/>
  <c r="G20" i="4"/>
  <c r="F20" i="4"/>
  <c r="J20" i="4" s="1"/>
  <c r="I19" i="4"/>
  <c r="H19" i="4"/>
  <c r="G19" i="4"/>
  <c r="F19" i="4"/>
  <c r="J19" i="4" s="1"/>
  <c r="I18" i="4"/>
  <c r="H18" i="4"/>
  <c r="G18" i="4"/>
  <c r="F18" i="4"/>
  <c r="J18" i="4" s="1"/>
  <c r="I17" i="4"/>
  <c r="H17" i="4"/>
  <c r="G17" i="4"/>
  <c r="F17" i="4"/>
  <c r="J17" i="4" s="1"/>
  <c r="I16" i="4"/>
  <c r="H16" i="4"/>
  <c r="G16" i="4"/>
  <c r="F16" i="4"/>
  <c r="J16" i="4" s="1"/>
  <c r="I11" i="4"/>
  <c r="H11" i="4"/>
  <c r="G11" i="4"/>
  <c r="F11" i="4"/>
  <c r="J11" i="4" s="1"/>
  <c r="D11" i="4"/>
  <c r="I10" i="4"/>
  <c r="H10" i="4"/>
  <c r="G10" i="4"/>
  <c r="F10" i="4"/>
  <c r="J10" i="4" s="1"/>
  <c r="D10" i="4"/>
  <c r="I9" i="4"/>
  <c r="H9" i="4"/>
  <c r="G9" i="4"/>
  <c r="F9" i="4"/>
  <c r="J9" i="4" s="1"/>
  <c r="D9" i="4"/>
  <c r="I8" i="4"/>
  <c r="H8" i="4"/>
  <c r="G8" i="4"/>
  <c r="F8" i="4"/>
  <c r="J8" i="4" s="1"/>
  <c r="D8" i="4"/>
  <c r="I7" i="4"/>
  <c r="H7" i="4"/>
  <c r="G7" i="4"/>
  <c r="F7" i="4"/>
  <c r="J7" i="4" s="1"/>
  <c r="D7" i="4"/>
  <c r="I6" i="4"/>
  <c r="H6" i="4"/>
  <c r="G6" i="4"/>
  <c r="F6" i="4"/>
  <c r="J6" i="4" s="1"/>
  <c r="D6" i="4"/>
  <c r="G12" i="3"/>
  <c r="E12" i="3"/>
  <c r="D12" i="3"/>
  <c r="G11" i="3"/>
  <c r="E11" i="3"/>
  <c r="D11" i="3"/>
  <c r="K14" i="2"/>
  <c r="E14" i="2"/>
  <c r="E16" i="2" s="1"/>
  <c r="E8" i="2"/>
  <c r="F34" i="8" l="1"/>
  <c r="F25" i="9"/>
  <c r="F14" i="9"/>
  <c r="F11" i="9" s="1"/>
  <c r="G15" i="9"/>
  <c r="F18" i="9"/>
  <c r="G21" i="9"/>
  <c r="F24" i="9"/>
  <c r="F6" i="8"/>
  <c r="F29" i="8" s="1"/>
  <c r="F35" i="8" l="1"/>
  <c r="F36" i="8" s="1"/>
</calcChain>
</file>

<file path=xl/sharedStrings.xml><?xml version="1.0" encoding="utf-8"?>
<sst xmlns="http://schemas.openxmlformats.org/spreadsheetml/2006/main" count="376" uniqueCount="250">
  <si>
    <t>PARÂMETROS DE INVESTIMENTO</t>
  </si>
  <si>
    <t>PARÂMETROS DE CUSTO</t>
  </si>
  <si>
    <t>DUTO</t>
  </si>
  <si>
    <t>&gt;Manutenção do Duto</t>
  </si>
  <si>
    <t>% investimento</t>
  </si>
  <si>
    <t>&gt;Metropol</t>
  </si>
  <si>
    <t>US$/pol-m</t>
  </si>
  <si>
    <t>&gt;Manutenção da Faixa</t>
  </si>
  <si>
    <t>&gt;Velocidade Máxima</t>
  </si>
  <si>
    <t>m/s</t>
  </si>
  <si>
    <t>&gt;Manutenção dos Terminais</t>
  </si>
  <si>
    <t>&gt;Derivados Transportados</t>
  </si>
  <si>
    <t>&gt;Nº de Grupos de Turno</t>
  </si>
  <si>
    <t>&gt;Classe de Produtos</t>
  </si>
  <si>
    <t>GLP &amp; Claros</t>
  </si>
  <si>
    <t>&gt;Nº Pessoal por Turno</t>
  </si>
  <si>
    <t>empregados</t>
  </si>
  <si>
    <t>&gt;Fator de Operação (petróleo)</t>
  </si>
  <si>
    <t>&gt;Nº Pessoal Administrativo</t>
  </si>
  <si>
    <t>&gt;Fator de Operação (derivados)</t>
  </si>
  <si>
    <t>&gt;Outros Custos Fixos</t>
  </si>
  <si>
    <t>% dos custos apurados</t>
  </si>
  <si>
    <t>&gt;Data Base</t>
  </si>
  <si>
    <t>&gt;Custo Energia Elétrica</t>
  </si>
  <si>
    <t>US$/kwh</t>
  </si>
  <si>
    <t>&gt;Prazo de Construção</t>
  </si>
  <si>
    <t>anos</t>
  </si>
  <si>
    <t>&gt;Custo de Pessoal (turno)</t>
  </si>
  <si>
    <t>US$/empregado-mês</t>
  </si>
  <si>
    <t>&gt;Ano de Operação</t>
  </si>
  <si>
    <t>&gt;Custo de Pessoal (adm.)</t>
  </si>
  <si>
    <t>&gt;Horizonte</t>
  </si>
  <si>
    <t>&gt;Ano para dimensionamento</t>
  </si>
  <si>
    <t>CUSTOS DE TRANSPORTE RODOVIÁRIO</t>
  </si>
  <si>
    <t>TERMINAIS</t>
  </si>
  <si>
    <t>&gt;GLP</t>
  </si>
  <si>
    <t>US$/m³-km</t>
  </si>
  <si>
    <t>&gt;Custo de Tanques</t>
  </si>
  <si>
    <t>US$/m³</t>
  </si>
  <si>
    <t>&gt;Claros</t>
  </si>
  <si>
    <t>&gt;Capacidade Mínima</t>
  </si>
  <si>
    <t>dias de mercado</t>
  </si>
  <si>
    <t>&gt;Escuros</t>
  </si>
  <si>
    <t>CAPITAL DE GIRO</t>
  </si>
  <si>
    <t>PARÂMETROS PARA TARIFA</t>
  </si>
  <si>
    <t>&gt;Preço GLP</t>
  </si>
  <si>
    <t>&gt;Preço Gasolina</t>
  </si>
  <si>
    <t>&gt;Vida Útil (Duto &amp; Terminais)</t>
  </si>
  <si>
    <t>&gt;Preço QAV</t>
  </si>
  <si>
    <t>&gt;Taxa de Desconto</t>
  </si>
  <si>
    <t>% ano</t>
  </si>
  <si>
    <t>&gt;Preço Nafta</t>
  </si>
  <si>
    <t>&gt;Valor Residual dos Investimentos</t>
  </si>
  <si>
    <t>% do investimento fixo</t>
  </si>
  <si>
    <t>&gt;Preço Diesel</t>
  </si>
  <si>
    <t>&gt;Preço Escuros</t>
  </si>
  <si>
    <t>&gt;Estoque Médio</t>
  </si>
  <si>
    <t>% tancagem</t>
  </si>
  <si>
    <t>&gt;Parâmetro de Caixa</t>
  </si>
  <si>
    <t>% custos de operação</t>
  </si>
  <si>
    <t>&gt;Parâmetro para Escoamento</t>
  </si>
  <si>
    <t>Diesel</t>
  </si>
  <si>
    <t>terminais</t>
  </si>
  <si>
    <t>duto</t>
  </si>
  <si>
    <t>CARACTERÍSTICAS DOS FLUIDOS</t>
  </si>
  <si>
    <t>Código</t>
  </si>
  <si>
    <t>Fluido</t>
  </si>
  <si>
    <t>Viscosidade   (cSt)</t>
  </si>
  <si>
    <t>Peso Específico
(g/L)</t>
  </si>
  <si>
    <t>Temperatura de
Escoamento  (°C)</t>
  </si>
  <si>
    <t>Peso Específico  @
Temperatuda de
Escoamento (g/L)</t>
  </si>
  <si>
    <t>GLP</t>
  </si>
  <si>
    <t>Nafta</t>
  </si>
  <si>
    <t>Gasolina</t>
  </si>
  <si>
    <t>QAV</t>
  </si>
  <si>
    <t>Gasóleo</t>
  </si>
  <si>
    <t>Óleo Combustível</t>
  </si>
  <si>
    <t>Claros</t>
  </si>
  <si>
    <t>Escuros</t>
  </si>
  <si>
    <t>Petróleo</t>
  </si>
  <si>
    <t>Dados para consulta (estas células não participam dos cálculos).</t>
  </si>
  <si>
    <t>Temperatura
(ºC)</t>
  </si>
  <si>
    <t>Viscosidade
(cSt)</t>
  </si>
  <si>
    <t>Petroleum Products, Process Flowsheets</t>
  </si>
  <si>
    <t>Fuels Engines</t>
  </si>
  <si>
    <t>www.fem.unicamp.br/~em672/gervap2.pdf</t>
  </si>
  <si>
    <t>REDUC</t>
  </si>
  <si>
    <t>Portaria ANP nº 80 de 30/04/1999.</t>
  </si>
  <si>
    <t>-</t>
  </si>
  <si>
    <t>HSSM database value</t>
  </si>
  <si>
    <t>2-6</t>
  </si>
  <si>
    <t>http://www.engineeringtoolbox.com/kinematic-viscosity-d_397.html</t>
  </si>
  <si>
    <t>1-3,97</t>
  </si>
  <si>
    <t>TUBOS COMERCIAIS DE AÇO-CARBONO</t>
  </si>
  <si>
    <t>Schedule</t>
  </si>
  <si>
    <t>Diâmetro Nominal</t>
  </si>
  <si>
    <t>Diâmetro      Externo</t>
  </si>
  <si>
    <t>Diâmetro   Interno</t>
  </si>
  <si>
    <t>Funções do Diâmetro Interno</t>
  </si>
  <si>
    <t>Área Transversal Interna</t>
  </si>
  <si>
    <t>Rugosidade Relativa</t>
  </si>
  <si>
    <t>(in)</t>
  </si>
  <si>
    <r>
      <t>d</t>
    </r>
    <r>
      <rPr>
        <b/>
        <vertAlign val="superscript"/>
        <sz val="11"/>
        <color indexed="8"/>
        <rFont val="Calibri"/>
        <family val="2"/>
      </rPr>
      <t>2</t>
    </r>
  </si>
  <si>
    <r>
      <t>d</t>
    </r>
    <r>
      <rPr>
        <b/>
        <vertAlign val="superscript"/>
        <sz val="11"/>
        <color indexed="8"/>
        <rFont val="Calibri"/>
        <family val="2"/>
      </rPr>
      <t>3</t>
    </r>
  </si>
  <si>
    <r>
      <t>d</t>
    </r>
    <r>
      <rPr>
        <b/>
        <vertAlign val="superscript"/>
        <sz val="11"/>
        <color indexed="8"/>
        <rFont val="Calibri"/>
        <family val="2"/>
      </rPr>
      <t>4</t>
    </r>
  </si>
  <si>
    <r>
      <t>d</t>
    </r>
    <r>
      <rPr>
        <b/>
        <vertAlign val="superscript"/>
        <sz val="11"/>
        <color indexed="8"/>
        <rFont val="Calibri"/>
        <family val="2"/>
      </rPr>
      <t>5</t>
    </r>
  </si>
  <si>
    <r>
      <t>(in</t>
    </r>
    <r>
      <rPr>
        <b/>
        <vertAlign val="superscript"/>
        <sz val="11"/>
        <color indexed="8"/>
        <rFont val="Calibri"/>
        <family val="2"/>
      </rPr>
      <t>2</t>
    </r>
    <r>
      <rPr>
        <b/>
        <sz val="11"/>
        <color indexed="8"/>
        <rFont val="Calibri"/>
        <family val="2"/>
      </rPr>
      <t>)</t>
    </r>
  </si>
  <si>
    <t>(ε/D)</t>
  </si>
  <si>
    <t xml:space="preserve"> </t>
  </si>
  <si>
    <t>10,75</t>
  </si>
  <si>
    <t>10,02</t>
  </si>
  <si>
    <t>12,75</t>
  </si>
  <si>
    <t>Fonte: Flow of Fluids Through Valves, Fittings and Pipe - Crane - 1965</t>
  </si>
  <si>
    <t xml:space="preserve"> Sylvio:só usar tubos de schedule 40. Aproximar para o diâmetro mais próximo do calculado</t>
  </si>
  <si>
    <t>D (pol)</t>
  </si>
  <si>
    <t>ε/D</t>
  </si>
  <si>
    <t>MERCADO</t>
  </si>
  <si>
    <t>Polos de Suprimento</t>
  </si>
  <si>
    <t>Polos de Abastecimento</t>
  </si>
  <si>
    <t>Matriz de Distâncias</t>
  </si>
  <si>
    <t>Novos Terminais</t>
  </si>
  <si>
    <t>HORIZONTE</t>
  </si>
  <si>
    <t>Data Base (ano de referência)</t>
  </si>
  <si>
    <t>Data de Início (3 anos após ano de referência)</t>
  </si>
  <si>
    <t>Data de Saturação (10 anos após  data de início</t>
  </si>
  <si>
    <t>INVESTIMENTO DUTO</t>
  </si>
  <si>
    <t>Origem (Polo de Suprimento)</t>
  </si>
  <si>
    <t xml:space="preserve">Distâncias </t>
  </si>
  <si>
    <t>Metropol</t>
  </si>
  <si>
    <t>Velocidade</t>
  </si>
  <si>
    <t>Fatores de Operação</t>
  </si>
  <si>
    <t>INVESTIMENTO TERMINAIS</t>
  </si>
  <si>
    <t>Custo de Tanques</t>
  </si>
  <si>
    <t>Capacidade em Dias de Venda</t>
  </si>
  <si>
    <t>Coeficiente de Transposição</t>
  </si>
  <si>
    <t xml:space="preserve">Preços de GLP, Gasolina, QAV, Diesel </t>
  </si>
  <si>
    <t>Estoque médio em % da tancagem</t>
  </si>
  <si>
    <t>Inventário do Duto</t>
  </si>
  <si>
    <t>Parâmetros de Caixa</t>
  </si>
  <si>
    <t>CUSTO OPERACIONAL</t>
  </si>
  <si>
    <t>Parâmetros de Manutenção (faixa, duto, terminais)</t>
  </si>
  <si>
    <t>Parâmetros de Pessoal (quantidade por turno, administrativo e custo médio)</t>
  </si>
  <si>
    <t>Custo de Energia Elétrica</t>
  </si>
  <si>
    <t>Desníveis entre Terminais (matriz de elevações)</t>
  </si>
  <si>
    <t>Outros Custos (% dos demais custos)</t>
  </si>
  <si>
    <t>CÁLCULO DA TARIFA</t>
  </si>
  <si>
    <t>Vida Útil  (duto &amp; terminais)</t>
  </si>
  <si>
    <t>Taxa de Desconto (% aa)</t>
  </si>
  <si>
    <t>1-INVESTIMENTO EM TERMINAIS</t>
  </si>
  <si>
    <t xml:space="preserve">Parâmetro 1: </t>
  </si>
  <si>
    <t>US$/m³ de capacidade de armazenamento</t>
  </si>
  <si>
    <t xml:space="preserve">Parâmetro 2: </t>
  </si>
  <si>
    <t>dias de demanda em capacidade de armazenamento</t>
  </si>
  <si>
    <t xml:space="preserve">Parâmetro 3: </t>
  </si>
  <si>
    <t>Coeficiente para estimar o restante do investimento (off-tanques) em terminais grandes</t>
  </si>
  <si>
    <t>Coeficiente para estimar o restante do investimento (off-tanques) em terminais pequenos</t>
  </si>
  <si>
    <t>APROXIMAÇÕES GRÁFICAS PARA INTERPOLAÇÃO DO COEFICIENTE</t>
  </si>
  <si>
    <t>Capacidade</t>
  </si>
  <si>
    <t>Coeficiente</t>
  </si>
  <si>
    <t>Armazenamento</t>
  </si>
  <si>
    <t>(1000 m³)</t>
  </si>
  <si>
    <t xml:space="preserve">       ε:</t>
  </si>
  <si>
    <t>Equação 1=&gt;</t>
  </si>
  <si>
    <t>Equação 2=&gt;</t>
  </si>
  <si>
    <t>RESUMO FINANCEIRO</t>
  </si>
  <si>
    <t>ESTIMATIVA DE TARIFAS</t>
  </si>
  <si>
    <t>US$ milhões</t>
  </si>
  <si>
    <t>PERCURSO</t>
  </si>
  <si>
    <t>TARIFAS</t>
  </si>
  <si>
    <t>INVESTIMENTOS FIXOS</t>
  </si>
  <si>
    <t>Terminais</t>
  </si>
  <si>
    <t>Trechos de Dutos</t>
  </si>
  <si>
    <t>Investimento Total</t>
  </si>
  <si>
    <t>Custo  Operacional Fixo (US$ milhões/ano)</t>
  </si>
  <si>
    <t>AVALIAÇÃO ECONÔMICA PRELIMINAR</t>
  </si>
  <si>
    <t>US$/a</t>
  </si>
  <si>
    <t>A-Custo Original de Transporte</t>
  </si>
  <si>
    <t>B-Custo de Transporte com o Duto</t>
  </si>
  <si>
    <t>C-Vantagem do Sistema (A-B)</t>
  </si>
  <si>
    <t>POLO ATENDIDO</t>
  </si>
  <si>
    <t>TERMINAL CORRESPONDENTE</t>
  </si>
  <si>
    <t>Tarifa Postal</t>
  </si>
  <si>
    <t>DADOS GERAIS</t>
  </si>
  <si>
    <t>Produtos</t>
  </si>
  <si>
    <t>:</t>
  </si>
  <si>
    <t>Traçado</t>
  </si>
  <si>
    <t>Nº de Polos de Abastecimento Atendidos</t>
  </si>
  <si>
    <t>Extensão Total</t>
  </si>
  <si>
    <t>km</t>
  </si>
  <si>
    <t>Diâmetros</t>
  </si>
  <si>
    <t>Nº de Terminais</t>
  </si>
  <si>
    <t>Início de Operação</t>
  </si>
  <si>
    <t xml:space="preserve">janeiro de </t>
  </si>
  <si>
    <t>Horizonte de Operação</t>
  </si>
  <si>
    <t>(fase inicial)</t>
  </si>
  <si>
    <t>coeficiente multiplicador= custo tanquesxcoeficiente: custo terminal</t>
  </si>
  <si>
    <t>MS</t>
  </si>
  <si>
    <t>CAMPO_GRANDE</t>
  </si>
  <si>
    <t>MT</t>
  </si>
  <si>
    <t>CUIABA</t>
  </si>
  <si>
    <t>PR</t>
  </si>
  <si>
    <t>LONDRINA</t>
  </si>
  <si>
    <t>MARINGA</t>
  </si>
  <si>
    <t>SP</t>
  </si>
  <si>
    <t>PRESIDENTE_PRUDENTE</t>
  </si>
  <si>
    <t>OURINHOS</t>
  </si>
  <si>
    <t>CASCAVEL</t>
  </si>
  <si>
    <t>VARZEA_GRANDE</t>
  </si>
  <si>
    <t>SINOP</t>
  </si>
  <si>
    <t>DOURADOS</t>
  </si>
  <si>
    <t>RO</t>
  </si>
  <si>
    <t>PORTO_VELHO</t>
  </si>
  <si>
    <t>CIANORTE</t>
  </si>
  <si>
    <t>VILHENA</t>
  </si>
  <si>
    <t>PAICANDU</t>
  </si>
  <si>
    <t>ARACATUBA</t>
  </si>
  <si>
    <t>NOVA_ESPERANCA</t>
  </si>
  <si>
    <t>REGENTE_FEIJO</t>
  </si>
  <si>
    <t>JACAREZINHO</t>
  </si>
  <si>
    <t>DOIS_VIZINHOS</t>
  </si>
  <si>
    <t>GAS. A</t>
  </si>
  <si>
    <t>DIESEL</t>
  </si>
  <si>
    <t>SAO_JOSE_DO_RIO_PRETO</t>
  </si>
  <si>
    <t>BARRA_DO_GARCAS</t>
  </si>
  <si>
    <t>FOZ_DO_IGUACU</t>
  </si>
  <si>
    <t>GAVIAO_PEIXOTO</t>
  </si>
  <si>
    <t>GUARAPUAVA</t>
  </si>
  <si>
    <t>PONTA_GROSSA</t>
  </si>
  <si>
    <t>RENASCENCA</t>
  </si>
  <si>
    <t>POLOS DE SUPRIMENTO</t>
  </si>
  <si>
    <t>POLO</t>
  </si>
  <si>
    <t>MUNICIPIO</t>
  </si>
  <si>
    <t>OSBRA TT BRASÍLIA</t>
  </si>
  <si>
    <t>BRASILIA</t>
  </si>
  <si>
    <t xml:space="preserve">OSBRA TT RIB.PRETO          </t>
  </si>
  <si>
    <t>RIBEIRAO_PRETO</t>
  </si>
  <si>
    <t>OSBRA TT SENADOR CANEDO</t>
  </si>
  <si>
    <t>SENADOR_CANEDO</t>
  </si>
  <si>
    <t xml:space="preserve">OSBRA TT UBERABA            </t>
  </si>
  <si>
    <t>UBERABA</t>
  </si>
  <si>
    <t xml:space="preserve">OSBRA TT UBERLANDIA         </t>
  </si>
  <si>
    <t>UBERLANDIA</t>
  </si>
  <si>
    <t>REPAR</t>
  </si>
  <si>
    <t>ARAUCARIA</t>
  </si>
  <si>
    <t>REPLAN</t>
  </si>
  <si>
    <t>PAULINIA</t>
  </si>
  <si>
    <t>Municipio</t>
  </si>
  <si>
    <t>UF</t>
  </si>
  <si>
    <t>Total</t>
  </si>
  <si>
    <t>DEMANDA 2026 (1.000 m³)</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</si>
</sst>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
    <numFmt numFmtId="165" formatCode="0.0"/>
    <numFmt numFmtId="166" formatCode="#,##0.0000"/>
    <numFmt numFmtId="167" formatCode="0.00000000"/>
    <numFmt numFmtId="168" formatCode="#,##0.00000000"/>
    <numFmt numFmtId="169" formatCode="#,##0.000000"/>
    <numFmt numFmtId="170" formatCode="0.0000000000"/>
    <numFmt numFmtId="171" formatCode="#,##0.000"/>
  </numFmts>
  <fonts count="22" x14ac:knownFonts="1">
    <font>
      <sz val="11"/>
      <color theme="1"/>
      <name val="Calibri"/>
      <family val="2"/>
      <scheme val="minor"/>
    </font>
    <font>
      <b/>
      <sz val="11"/>
      <color theme="1"/>
      <name val="Calibri"/>
      <family val="2"/>
      <scheme val="minor"/>
    </font>
    <font>
      <b/>
      <sz val="12"/>
      <name val="Arial"/>
      <family val="2"/>
    </font>
    <font>
      <b/>
      <sz val="10"/>
      <name val="Arial"/>
      <family val="2"/>
    </font>
    <font>
      <sz val="10"/>
      <name val="Arial"/>
      <family val="2"/>
    </font>
    <font>
      <b/>
      <sz val="7"/>
      <name val="Arial"/>
      <family val="2"/>
    </font>
    <font>
      <b/>
      <u/>
      <sz val="24"/>
      <color indexed="8"/>
      <name val="Calibri"/>
      <family val="2"/>
    </font>
    <font>
      <b/>
      <sz val="11"/>
      <color indexed="10"/>
      <name val="Calibri"/>
      <family val="2"/>
    </font>
    <font>
      <b/>
      <sz val="11"/>
      <color indexed="8"/>
      <name val="Calibri"/>
      <family val="2"/>
    </font>
    <font>
      <sz val="11"/>
      <color indexed="8"/>
      <name val="Calibri"/>
      <family val="2"/>
    </font>
    <font>
      <u/>
      <sz val="11"/>
      <color indexed="12"/>
      <name val="Calibri"/>
      <family val="2"/>
    </font>
    <font>
      <sz val="10"/>
      <color indexed="8"/>
      <name val="Arial"/>
      <family val="2"/>
    </font>
    <font>
      <b/>
      <vertAlign val="superscript"/>
      <sz val="11"/>
      <color indexed="8"/>
      <name val="Calibri"/>
      <family val="2"/>
    </font>
    <font>
      <b/>
      <u/>
      <sz val="11"/>
      <color indexed="8"/>
      <name val="Calibri"/>
      <family val="2"/>
    </font>
    <font>
      <sz val="11"/>
      <color indexed="10"/>
      <name val="Calibri"/>
      <family val="2"/>
    </font>
    <font>
      <b/>
      <sz val="20"/>
      <name val="Arial"/>
      <family val="2"/>
    </font>
    <font>
      <i/>
      <sz val="10"/>
      <name val="Arial"/>
      <family val="2"/>
    </font>
    <font>
      <sz val="16"/>
      <name val="Arial"/>
      <family val="2"/>
    </font>
    <font>
      <b/>
      <sz val="10"/>
      <color rgb="FFFF0000"/>
      <name val="Arial"/>
      <family val="2"/>
    </font>
    <font>
      <b/>
      <i/>
      <sz val="10"/>
      <name val="Arial"/>
      <family val="2"/>
    </font>
    <font>
      <sz val="18"/>
      <name val="Arial"/>
      <family val="2"/>
    </font>
    <font>
      <sz val="11"/>
      <name val="Arial"/>
      <family val="2"/>
    </font>
  </fonts>
  <fills count="10">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indexed="22"/>
        <bgColor indexed="64"/>
      </patternFill>
    </fill>
    <fill>
      <patternFill patternType="solid">
        <fgColor indexed="9"/>
        <bgColor indexed="64"/>
      </patternFill>
    </fill>
    <fill>
      <patternFill patternType="solid">
        <fgColor indexed="31"/>
        <bgColor indexed="64"/>
      </patternFill>
    </fill>
    <fill>
      <patternFill patternType="solid">
        <fgColor theme="0" tint="-0.14999847407452621"/>
        <bgColor indexed="64"/>
      </patternFill>
    </fill>
    <fill>
      <patternFill patternType="solid">
        <fgColor rgb="FFFFFF00"/>
        <bgColor indexed="64"/>
      </patternFill>
    </fill>
    <fill>
      <patternFill patternType="solid">
        <fgColor indexed="13"/>
        <bgColor indexed="64"/>
      </patternFill>
    </fill>
  </fills>
  <borders count="38">
    <border>
      <left/>
      <right/>
      <top/>
      <bottom/>
      <diagonal/>
    </border>
    <border>
      <left style="medium">
        <color indexed="64"/>
      </left>
      <right/>
      <top/>
      <bottom/>
      <diagonal/>
    </border>
    <border>
      <left style="medium">
        <color rgb="FFFF0000"/>
      </left>
      <right style="medium">
        <color rgb="FFFF0000"/>
      </right>
      <top style="medium">
        <color rgb="FFFF0000"/>
      </top>
      <bottom style="medium">
        <color rgb="FFFF0000"/>
      </bottom>
      <diagonal/>
    </border>
    <border>
      <left style="medium">
        <color rgb="FF0070C0"/>
      </left>
      <right style="medium">
        <color rgb="FF0070C0"/>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0070C0"/>
      </left>
      <right style="medium">
        <color rgb="FF0070C0"/>
      </right>
      <top style="medium">
        <color rgb="FF0070C0"/>
      </top>
      <bottom style="medium">
        <color rgb="FFFF0000"/>
      </bottom>
      <diagonal/>
    </border>
    <border>
      <left style="medium">
        <color rgb="FF0070C0"/>
      </left>
      <right style="medium">
        <color rgb="FF0070C0"/>
      </right>
      <top style="medium">
        <color rgb="FFFF0000"/>
      </top>
      <bottom style="medium">
        <color rgb="FF0070C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double">
        <color rgb="FFFF0000"/>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double">
        <color rgb="FFFF0000"/>
      </right>
      <top style="thin">
        <color indexed="64"/>
      </top>
      <bottom/>
      <diagonal/>
    </border>
    <border>
      <left style="thin">
        <color indexed="64"/>
      </left>
      <right style="double">
        <color rgb="FFFF0000"/>
      </right>
      <top/>
      <bottom/>
      <diagonal/>
    </border>
    <border>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alignment vertical="top"/>
      <protection locked="0"/>
    </xf>
  </cellStyleXfs>
  <cellXfs count="182">
    <xf numFmtId="0" fontId="0" fillId="0" borderId="0" xfId="0"/>
    <xf numFmtId="0" fontId="0" fillId="0" borderId="1" xfId="0" applyBorder="1" applyAlignment="1">
      <alignment horizontal="center" vertical="center"/>
    </xf>
    <xf numFmtId="0" fontId="0" fillId="0" borderId="0" xfId="0" applyBorder="1" applyAlignment="1"/>
    <xf numFmtId="0" fontId="0" fillId="0" borderId="0" xfId="0" applyAlignment="1"/>
    <xf numFmtId="0" fontId="0" fillId="0" borderId="0" xfId="0" applyAlignment="1">
      <alignment horizontal="center" vertical="center"/>
    </xf>
    <xf numFmtId="0" fontId="3" fillId="0" borderId="0" xfId="0" applyFont="1" applyAlignment="1"/>
    <xf numFmtId="0" fontId="0" fillId="0" borderId="2" xfId="0" applyBorder="1" applyAlignment="1"/>
    <xf numFmtId="0" fontId="4" fillId="0" borderId="0" xfId="0" applyFont="1" applyAlignment="1"/>
    <xf numFmtId="0" fontId="5" fillId="3" borderId="3" xfId="0" applyFont="1" applyFill="1" applyBorder="1" applyAlignment="1">
      <alignment horizontal="center" vertical="center" shrinkToFit="1"/>
    </xf>
    <xf numFmtId="0" fontId="4" fillId="0" borderId="2" xfId="0" applyFont="1" applyBorder="1" applyAlignment="1">
      <alignment horizontal="center" vertical="center"/>
    </xf>
    <xf numFmtId="0" fontId="4" fillId="0" borderId="0" xfId="0" applyFont="1" applyFill="1" applyBorder="1" applyAlignment="1"/>
    <xf numFmtId="2" fontId="0" fillId="0" borderId="2" xfId="0" applyNumberFormat="1" applyBorder="1" applyAlignment="1"/>
    <xf numFmtId="0" fontId="0" fillId="0" borderId="4" xfId="0" applyBorder="1" applyAlignment="1"/>
    <xf numFmtId="3" fontId="0" fillId="0" borderId="2" xfId="0" applyNumberFormat="1" applyBorder="1" applyAlignment="1"/>
    <xf numFmtId="0" fontId="3" fillId="3" borderId="5" xfId="0" applyFont="1" applyFill="1" applyBorder="1" applyAlignment="1"/>
    <xf numFmtId="3" fontId="3" fillId="3" borderId="6" xfId="0" applyNumberFormat="1" applyFont="1" applyFill="1" applyBorder="1" applyAlignment="1">
      <alignment horizontal="right" vertical="center"/>
    </xf>
    <xf numFmtId="0" fontId="3" fillId="3" borderId="6" xfId="0" applyFont="1" applyFill="1" applyBorder="1" applyAlignment="1"/>
    <xf numFmtId="164" fontId="0" fillId="0" borderId="2" xfId="0" applyNumberFormat="1" applyBorder="1" applyAlignment="1"/>
    <xf numFmtId="0" fontId="0" fillId="0" borderId="2" xfId="0" applyBorder="1" applyAlignment="1">
      <alignment horizontal="right" vertical="center"/>
    </xf>
    <xf numFmtId="2" fontId="0" fillId="0" borderId="2" xfId="0" applyNumberFormat="1" applyBorder="1" applyAlignment="1">
      <alignment horizontal="right" vertical="center"/>
    </xf>
    <xf numFmtId="0" fontId="2" fillId="0" borderId="0" xfId="0" applyFont="1" applyAlignment="1"/>
    <xf numFmtId="0" fontId="0" fillId="0" borderId="2" xfId="0" applyBorder="1" applyAlignment="1">
      <alignment horizontal="center" vertical="center"/>
    </xf>
    <xf numFmtId="0" fontId="0" fillId="4" borderId="0" xfId="0" applyFill="1" applyAlignment="1"/>
    <xf numFmtId="0" fontId="6" fillId="4" borderId="0" xfId="0" applyFont="1" applyFill="1" applyAlignment="1">
      <alignment horizontal="left" vertical="center"/>
    </xf>
    <xf numFmtId="0" fontId="7" fillId="4" borderId="0" xfId="0" applyFont="1" applyFill="1" applyAlignment="1"/>
    <xf numFmtId="4" fontId="0" fillId="4" borderId="0" xfId="0" applyNumberFormat="1" applyFill="1" applyAlignment="1"/>
    <xf numFmtId="0" fontId="8" fillId="4" borderId="0" xfId="0" applyFont="1" applyFill="1" applyAlignment="1">
      <alignment horizontal="center" vertical="center" wrapText="1"/>
    </xf>
    <xf numFmtId="0" fontId="8" fillId="5" borderId="7" xfId="0" applyFont="1" applyFill="1" applyBorder="1" applyAlignment="1">
      <alignment horizontal="center" vertical="center" wrapText="1"/>
    </xf>
    <xf numFmtId="0" fontId="8" fillId="5" borderId="7" xfId="0" applyFont="1" applyFill="1" applyBorder="1" applyAlignment="1"/>
    <xf numFmtId="0" fontId="9" fillId="5" borderId="7" xfId="0" applyFont="1" applyFill="1" applyBorder="1" applyAlignment="1"/>
    <xf numFmtId="2" fontId="9" fillId="5" borderId="7" xfId="0" applyNumberFormat="1" applyFont="1" applyFill="1" applyBorder="1" applyAlignment="1"/>
    <xf numFmtId="164" fontId="9" fillId="5" borderId="7" xfId="0" applyNumberFormat="1" applyFont="1" applyFill="1" applyBorder="1" applyAlignment="1">
      <alignment horizontal="center"/>
    </xf>
    <xf numFmtId="0" fontId="9" fillId="5" borderId="7" xfId="0" applyFont="1" applyFill="1" applyBorder="1" applyAlignment="1">
      <alignment horizontal="center"/>
    </xf>
    <xf numFmtId="0" fontId="8" fillId="4" borderId="0" xfId="0" quotePrefix="1" applyFont="1" applyFill="1" applyAlignment="1"/>
    <xf numFmtId="0" fontId="0" fillId="4" borderId="0" xfId="0" applyFill="1" applyBorder="1" applyAlignment="1"/>
    <xf numFmtId="164" fontId="0" fillId="4" borderId="0" xfId="0" applyNumberFormat="1" applyFill="1" applyBorder="1" applyAlignment="1"/>
    <xf numFmtId="0" fontId="9" fillId="4" borderId="0" xfId="0" applyFont="1" applyFill="1" applyAlignment="1"/>
    <xf numFmtId="0" fontId="9" fillId="4" borderId="0" xfId="0" applyFont="1" applyFill="1" applyAlignment="1">
      <alignment horizontal="center"/>
    </xf>
    <xf numFmtId="0" fontId="0" fillId="4" borderId="0" xfId="0" applyFill="1" applyAlignment="1">
      <alignment horizontal="center"/>
    </xf>
    <xf numFmtId="165" fontId="0" fillId="5" borderId="7" xfId="0" applyNumberFormat="1" applyFill="1" applyBorder="1" applyAlignment="1"/>
    <xf numFmtId="0" fontId="0" fillId="5" borderId="7" xfId="0" applyFill="1" applyBorder="1" applyAlignment="1"/>
    <xf numFmtId="0" fontId="10" fillId="4" borderId="0" xfId="1" applyFill="1" applyAlignment="1" applyProtection="1"/>
    <xf numFmtId="165" fontId="0" fillId="5" borderId="7" xfId="0" applyNumberFormat="1" applyFill="1" applyBorder="1" applyAlignment="1">
      <alignment horizontal="right"/>
    </xf>
    <xf numFmtId="0" fontId="11" fillId="4" borderId="0" xfId="0" applyFont="1" applyFill="1" applyAlignment="1"/>
    <xf numFmtId="0" fontId="0" fillId="5" borderId="7" xfId="0" quotePrefix="1" applyFill="1" applyBorder="1" applyAlignment="1">
      <alignment horizontal="right"/>
    </xf>
    <xf numFmtId="0" fontId="0" fillId="5" borderId="7" xfId="0" applyFill="1" applyBorder="1" applyAlignment="1">
      <alignment horizontal="right"/>
    </xf>
    <xf numFmtId="0" fontId="0" fillId="4" borderId="0" xfId="0" applyFill="1" applyAlignment="1">
      <alignment horizontal="right"/>
    </xf>
    <xf numFmtId="0" fontId="8" fillId="4" borderId="0" xfId="0" applyFont="1" applyFill="1" applyAlignment="1"/>
    <xf numFmtId="0" fontId="8" fillId="5" borderId="8" xfId="0" applyFont="1" applyFill="1" applyBorder="1" applyAlignment="1">
      <alignment vertical="center"/>
    </xf>
    <xf numFmtId="0" fontId="8" fillId="5" borderId="8" xfId="0" applyFont="1" applyFill="1" applyBorder="1" applyAlignment="1">
      <alignment vertical="center" wrapText="1"/>
    </xf>
    <xf numFmtId="0" fontId="8" fillId="5" borderId="8" xfId="0" applyFont="1" applyFill="1" applyBorder="1" applyAlignment="1">
      <alignment horizontal="center" vertical="center" wrapText="1"/>
    </xf>
    <xf numFmtId="0" fontId="8" fillId="5" borderId="10" xfId="0" applyFont="1" applyFill="1" applyBorder="1" applyAlignment="1"/>
    <xf numFmtId="0" fontId="8" fillId="5" borderId="10" xfId="0" applyFont="1" applyFill="1" applyBorder="1" applyAlignment="1">
      <alignment horizontal="center"/>
    </xf>
    <xf numFmtId="4" fontId="8" fillId="5" borderId="9" xfId="0" applyNumberFormat="1" applyFont="1" applyFill="1" applyBorder="1" applyAlignment="1">
      <alignment horizontal="center"/>
    </xf>
    <xf numFmtId="0" fontId="8" fillId="5" borderId="10" xfId="0" applyFont="1" applyFill="1" applyBorder="1" applyAlignment="1">
      <alignment horizontal="center" vertical="center"/>
    </xf>
    <xf numFmtId="0" fontId="0" fillId="5" borderId="9" xfId="0" applyFill="1" applyBorder="1" applyAlignment="1"/>
    <xf numFmtId="2" fontId="0" fillId="5" borderId="9" xfId="0" applyNumberFormat="1" applyFill="1" applyBorder="1" applyAlignment="1">
      <alignment horizontal="right"/>
    </xf>
    <xf numFmtId="4" fontId="0" fillId="5" borderId="9" xfId="0" applyNumberFormat="1" applyFill="1" applyBorder="1" applyAlignment="1"/>
    <xf numFmtId="166" fontId="0" fillId="5" borderId="9" xfId="0" applyNumberFormat="1" applyFill="1" applyBorder="1" applyAlignment="1"/>
    <xf numFmtId="167" fontId="0" fillId="5" borderId="9" xfId="0" applyNumberFormat="1" applyFill="1" applyBorder="1" applyAlignment="1"/>
    <xf numFmtId="0" fontId="13" fillId="4" borderId="0" xfId="0" applyFont="1" applyFill="1" applyAlignment="1"/>
    <xf numFmtId="0" fontId="14" fillId="4" borderId="0" xfId="0" applyFont="1" applyFill="1" applyAlignment="1"/>
    <xf numFmtId="2" fontId="0" fillId="4" borderId="0" xfId="0" applyNumberFormat="1" applyFill="1" applyAlignment="1"/>
    <xf numFmtId="168" fontId="0" fillId="4" borderId="0" xfId="0" applyNumberFormat="1" applyFill="1" applyAlignment="1"/>
    <xf numFmtId="0" fontId="3" fillId="0" borderId="0" xfId="0" applyFont="1" applyAlignment="1">
      <alignment horizontal="center" vertical="center"/>
    </xf>
    <xf numFmtId="169" fontId="0" fillId="0" borderId="0" xfId="0" applyNumberFormat="1" applyAlignment="1">
      <alignment horizontal="center" vertical="center"/>
    </xf>
    <xf numFmtId="170" fontId="0" fillId="0" borderId="0" xfId="0" applyNumberFormat="1" applyAlignment="1"/>
    <xf numFmtId="0" fontId="15" fillId="0" borderId="0" xfId="0" applyFont="1" applyAlignment="1"/>
    <xf numFmtId="0" fontId="3" fillId="0" borderId="0" xfId="0" applyFont="1" applyAlignment="1">
      <alignment horizontal="right" vertical="center"/>
    </xf>
    <xf numFmtId="0" fontId="16" fillId="0" borderId="0" xfId="0" applyFont="1" applyAlignment="1"/>
    <xf numFmtId="3" fontId="0" fillId="0" borderId="0" xfId="0" applyNumberFormat="1" applyAlignment="1"/>
    <xf numFmtId="164" fontId="0" fillId="0" borderId="0" xfId="0" applyNumberFormat="1" applyAlignment="1"/>
    <xf numFmtId="171" fontId="0" fillId="0" borderId="0" xfId="0" applyNumberFormat="1" applyAlignment="1"/>
    <xf numFmtId="0" fontId="17" fillId="0" borderId="0" xfId="0" applyFont="1" applyAlignment="1"/>
    <xf numFmtId="0" fontId="4" fillId="0" borderId="0" xfId="0" quotePrefix="1" applyFont="1" applyAlignment="1"/>
    <xf numFmtId="0" fontId="18" fillId="0" borderId="0" xfId="0" applyFont="1" applyAlignment="1">
      <alignment horizontal="right" vertical="center"/>
    </xf>
    <xf numFmtId="0" fontId="18" fillId="0" borderId="0" xfId="0" applyFont="1" applyAlignment="1"/>
    <xf numFmtId="0" fontId="2" fillId="0" borderId="0" xfId="0" applyFont="1" applyAlignment="1">
      <alignment vertical="center"/>
    </xf>
    <xf numFmtId="0" fontId="3" fillId="7" borderId="0" xfId="0" applyFont="1" applyFill="1" applyBorder="1" applyAlignment="1"/>
    <xf numFmtId="3" fontId="3" fillId="7" borderId="0" xfId="0" applyNumberFormat="1" applyFont="1" applyFill="1" applyBorder="1" applyAlignment="1"/>
    <xf numFmtId="0" fontId="0" fillId="7" borderId="17" xfId="0" applyFill="1" applyBorder="1" applyAlignment="1"/>
    <xf numFmtId="0" fontId="3" fillId="0" borderId="7" xfId="0" applyFont="1" applyBorder="1" applyAlignment="1">
      <alignment horizontal="center" vertical="center"/>
    </xf>
    <xf numFmtId="0" fontId="3" fillId="0" borderId="19" xfId="0" applyFont="1" applyBorder="1" applyAlignment="1">
      <alignment horizontal="center" vertical="center"/>
    </xf>
    <xf numFmtId="0" fontId="3" fillId="0" borderId="0" xfId="0" applyFont="1" applyBorder="1" applyAlignment="1"/>
    <xf numFmtId="3" fontId="3" fillId="0" borderId="0" xfId="0" applyNumberFormat="1" applyFont="1" applyBorder="1" applyAlignment="1"/>
    <xf numFmtId="0" fontId="0" fillId="0" borderId="17" xfId="0" applyBorder="1" applyAlignment="1"/>
    <xf numFmtId="0" fontId="0" fillId="0" borderId="1" xfId="0" applyBorder="1" applyAlignment="1"/>
    <xf numFmtId="0" fontId="3" fillId="7" borderId="1" xfId="0" applyFont="1" applyFill="1" applyBorder="1" applyAlignment="1"/>
    <xf numFmtId="0" fontId="0" fillId="7" borderId="0" xfId="0" applyFill="1" applyBorder="1" applyAlignment="1"/>
    <xf numFmtId="171" fontId="3" fillId="7" borderId="0" xfId="0" applyNumberFormat="1" applyFont="1" applyFill="1" applyBorder="1" applyAlignment="1"/>
    <xf numFmtId="171" fontId="3" fillId="7" borderId="17" xfId="0" applyNumberFormat="1" applyFont="1" applyFill="1" applyBorder="1" applyAlignment="1"/>
    <xf numFmtId="0" fontId="16" fillId="0" borderId="0" xfId="0" applyFont="1" applyBorder="1" applyAlignment="1"/>
    <xf numFmtId="3" fontId="16" fillId="0" borderId="0" xfId="0" applyNumberFormat="1" applyFont="1" applyBorder="1" applyAlignment="1"/>
    <xf numFmtId="0" fontId="16" fillId="7" borderId="1" xfId="0" applyFont="1" applyFill="1" applyBorder="1" applyAlignment="1"/>
    <xf numFmtId="0" fontId="0" fillId="0" borderId="0" xfId="0" applyFill="1" applyBorder="1" applyAlignment="1"/>
    <xf numFmtId="171" fontId="0" fillId="0" borderId="0" xfId="0" applyNumberFormat="1" applyFill="1" applyBorder="1" applyAlignment="1"/>
    <xf numFmtId="171" fontId="0" fillId="0" borderId="17" xfId="0" applyNumberFormat="1" applyFill="1" applyBorder="1" applyAlignment="1"/>
    <xf numFmtId="0" fontId="3" fillId="7" borderId="14" xfId="0" applyFont="1" applyFill="1" applyBorder="1" applyAlignment="1"/>
    <xf numFmtId="0" fontId="0" fillId="7" borderId="15" xfId="0" applyFill="1" applyBorder="1" applyAlignment="1"/>
    <xf numFmtId="171" fontId="3" fillId="7" borderId="15" xfId="0" applyNumberFormat="1" applyFont="1" applyFill="1" applyBorder="1" applyAlignment="1"/>
    <xf numFmtId="171" fontId="3" fillId="7" borderId="16" xfId="0" applyNumberFormat="1" applyFont="1" applyFill="1" applyBorder="1" applyAlignment="1"/>
    <xf numFmtId="0" fontId="19" fillId="0" borderId="1" xfId="0" applyFont="1" applyBorder="1" applyAlignment="1"/>
    <xf numFmtId="0" fontId="19" fillId="0" borderId="0" xfId="0" applyFont="1" applyBorder="1" applyAlignment="1"/>
    <xf numFmtId="171" fontId="19" fillId="0" borderId="0" xfId="0" applyNumberFormat="1" applyFont="1" applyBorder="1" applyAlignment="1"/>
    <xf numFmtId="171" fontId="19" fillId="0" borderId="17" xfId="0" applyNumberFormat="1" applyFont="1" applyBorder="1" applyAlignment="1"/>
    <xf numFmtId="171" fontId="16" fillId="0" borderId="0" xfId="0" applyNumberFormat="1" applyFont="1" applyBorder="1" applyAlignment="1"/>
    <xf numFmtId="171" fontId="16" fillId="0" borderId="17" xfId="0" applyNumberFormat="1" applyFont="1" applyBorder="1" applyAlignment="1"/>
    <xf numFmtId="3" fontId="16" fillId="0" borderId="0" xfId="0" applyNumberFormat="1" applyFont="1" applyAlignment="1"/>
    <xf numFmtId="0" fontId="16" fillId="7" borderId="20" xfId="0" applyFont="1" applyFill="1" applyBorder="1" applyAlignment="1"/>
    <xf numFmtId="0" fontId="16" fillId="0" borderId="21" xfId="0" applyFont="1" applyBorder="1" applyAlignment="1"/>
    <xf numFmtId="171" fontId="16" fillId="0" borderId="21" xfId="0" applyNumberFormat="1" applyFont="1" applyBorder="1" applyAlignment="1"/>
    <xf numFmtId="171" fontId="16" fillId="0" borderId="22" xfId="0" applyNumberFormat="1" applyFont="1" applyBorder="1" applyAlignment="1"/>
    <xf numFmtId="0" fontId="3" fillId="0" borderId="0" xfId="0" applyFont="1" applyFill="1" applyBorder="1" applyAlignment="1">
      <alignment horizontal="right"/>
    </xf>
    <xf numFmtId="3" fontId="4" fillId="0" borderId="0" xfId="0" applyNumberFormat="1" applyFont="1" applyBorder="1" applyAlignment="1"/>
    <xf numFmtId="3" fontId="3" fillId="8" borderId="12" xfId="0" applyNumberFormat="1" applyFont="1" applyFill="1" applyBorder="1" applyAlignment="1"/>
    <xf numFmtId="3" fontId="3" fillId="9" borderId="23" xfId="0" applyNumberFormat="1" applyFont="1" applyFill="1" applyBorder="1" applyAlignment="1"/>
    <xf numFmtId="3" fontId="3" fillId="9" borderId="24" xfId="0" applyNumberFormat="1" applyFont="1" applyFill="1" applyBorder="1" applyAlignment="1"/>
    <xf numFmtId="0" fontId="3" fillId="0" borderId="0" xfId="0" applyFont="1" applyBorder="1" applyAlignment="1">
      <alignment horizontal="center" vertical="center"/>
    </xf>
    <xf numFmtId="3" fontId="0" fillId="0" borderId="0" xfId="0" applyNumberFormat="1" applyBorder="1" applyAlignment="1">
      <alignment horizontal="center" vertical="center"/>
    </xf>
    <xf numFmtId="0" fontId="0" fillId="0" borderId="21" xfId="0" applyBorder="1" applyAlignment="1"/>
    <xf numFmtId="0" fontId="0" fillId="0" borderId="20" xfId="0" applyBorder="1" applyAlignment="1">
      <alignment horizontal="center" vertical="center"/>
    </xf>
    <xf numFmtId="0" fontId="3" fillId="0" borderId="21" xfId="0" applyFont="1" applyBorder="1" applyAlignment="1"/>
    <xf numFmtId="3" fontId="0" fillId="0" borderId="21" xfId="0" applyNumberFormat="1" applyBorder="1" applyAlignment="1">
      <alignment horizontal="center" vertical="center"/>
    </xf>
    <xf numFmtId="0" fontId="0" fillId="0" borderId="22" xfId="0" applyBorder="1" applyAlignment="1"/>
    <xf numFmtId="0" fontId="0" fillId="0" borderId="20" xfId="0" applyBorder="1" applyAlignment="1"/>
    <xf numFmtId="0" fontId="20" fillId="0" borderId="0" xfId="0" applyFont="1" applyAlignment="1"/>
    <xf numFmtId="0" fontId="0" fillId="0" borderId="0" xfId="0" applyAlignment="1">
      <alignment horizontal="right"/>
    </xf>
    <xf numFmtId="0" fontId="3" fillId="0" borderId="0" xfId="0" applyFont="1" applyAlignment="1">
      <alignment horizontal="right"/>
    </xf>
    <xf numFmtId="0" fontId="3" fillId="0" borderId="0" xfId="0" applyFont="1" applyFill="1" applyAlignment="1"/>
    <xf numFmtId="0" fontId="0" fillId="0" borderId="0" xfId="0" applyFill="1" applyAlignment="1"/>
    <xf numFmtId="3" fontId="3" fillId="0" borderId="0" xfId="0" applyNumberFormat="1" applyFont="1" applyFill="1" applyAlignment="1"/>
    <xf numFmtId="0" fontId="16" fillId="0" borderId="0" xfId="0" quotePrefix="1" applyFont="1" applyAlignment="1"/>
    <xf numFmtId="0" fontId="16" fillId="0" borderId="0" xfId="0" applyFont="1" applyAlignment="1">
      <alignment horizontal="right"/>
    </xf>
    <xf numFmtId="3" fontId="16" fillId="0" borderId="0" xfId="0" applyNumberFormat="1" applyFont="1" applyFill="1" applyAlignment="1"/>
    <xf numFmtId="0" fontId="16" fillId="0" borderId="0" xfId="0" applyFont="1" applyFill="1" applyAlignment="1"/>
    <xf numFmtId="0" fontId="3" fillId="0" borderId="0" xfId="0" applyFont="1" applyFill="1" applyAlignment="1">
      <alignment horizontal="left" vertical="center"/>
    </xf>
    <xf numFmtId="0" fontId="21" fillId="0" borderId="25" xfId="0" applyFont="1" applyBorder="1" applyAlignment="1">
      <alignment horizontal="left"/>
    </xf>
    <xf numFmtId="0" fontId="21" fillId="0" borderId="25" xfId="0" applyFont="1" applyFill="1" applyBorder="1" applyAlignment="1">
      <alignment horizontal="left"/>
    </xf>
    <xf numFmtId="0" fontId="1" fillId="0" borderId="7" xfId="0" applyFont="1" applyBorder="1"/>
    <xf numFmtId="0" fontId="1" fillId="0" borderId="7" xfId="0" applyFont="1" applyBorder="1" applyAlignment="1">
      <alignment horizontal="center" vertical="center"/>
    </xf>
    <xf numFmtId="3" fontId="0" fillId="0" borderId="32" xfId="0" applyNumberFormat="1" applyBorder="1" applyAlignment="1"/>
    <xf numFmtId="3" fontId="0" fillId="0" borderId="33" xfId="0" applyNumberFormat="1" applyBorder="1"/>
    <xf numFmtId="3" fontId="0" fillId="0" borderId="34" xfId="0" applyNumberFormat="1" applyBorder="1"/>
    <xf numFmtId="3" fontId="0" fillId="0" borderId="27" xfId="0" applyNumberFormat="1" applyBorder="1" applyAlignment="1"/>
    <xf numFmtId="3" fontId="0" fillId="0" borderId="31" xfId="0" applyNumberFormat="1" applyBorder="1" applyAlignment="1"/>
    <xf numFmtId="3" fontId="0" fillId="0" borderId="26" xfId="0" applyNumberFormat="1" applyBorder="1"/>
    <xf numFmtId="0" fontId="0" fillId="0" borderId="35" xfId="0" applyBorder="1" applyAlignment="1">
      <alignment horizontal="center" vertical="center"/>
    </xf>
    <xf numFmtId="0" fontId="0" fillId="0" borderId="36" xfId="0" applyBorder="1" applyAlignment="1">
      <alignment horizontal="center" vertical="center"/>
    </xf>
    <xf numFmtId="0" fontId="0" fillId="0" borderId="36" xfId="0" applyFill="1" applyBorder="1" applyAlignment="1">
      <alignment horizontal="center" vertical="center"/>
    </xf>
    <xf numFmtId="0" fontId="1" fillId="0" borderId="7" xfId="0" applyFont="1" applyBorder="1" applyAlignment="1">
      <alignment horizontal="center"/>
    </xf>
    <xf numFmtId="0" fontId="1" fillId="0" borderId="7"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31" xfId="0" applyFont="1" applyBorder="1" applyAlignment="1">
      <alignment horizontal="center" vertical="center"/>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7" xfId="0" applyFont="1" applyBorder="1" applyAlignment="1">
      <alignment horizontal="center" vertical="center"/>
    </xf>
    <xf numFmtId="0" fontId="2" fillId="2" borderId="0" xfId="0" applyFont="1" applyFill="1" applyAlignment="1">
      <alignment horizontal="center" vertical="center"/>
    </xf>
    <xf numFmtId="4" fontId="8" fillId="5" borderId="9" xfId="0" applyNumberFormat="1" applyFont="1" applyFill="1" applyBorder="1" applyAlignment="1">
      <alignment horizontal="center" vertical="center" wrapText="1"/>
    </xf>
    <xf numFmtId="0" fontId="0" fillId="5" borderId="9" xfId="0" applyFill="1" applyBorder="1" applyAlignment="1">
      <alignment horizontal="center" vertical="center" textRotation="255"/>
    </xf>
    <xf numFmtId="0" fontId="1" fillId="0" borderId="0" xfId="0"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wrapText="1"/>
    </xf>
    <xf numFmtId="0" fontId="3" fillId="8" borderId="11" xfId="0" applyFont="1" applyFill="1" applyBorder="1" applyAlignment="1">
      <alignment horizontal="right"/>
    </xf>
    <xf numFmtId="0" fontId="3" fillId="8" borderId="12" xfId="0" applyFont="1" applyFill="1" applyBorder="1" applyAlignment="1">
      <alignment horizontal="right"/>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11" xfId="0" applyFont="1" applyFill="1" applyBorder="1" applyAlignment="1"/>
    <xf numFmtId="0" fontId="3" fillId="2" borderId="13" xfId="0" applyFont="1" applyFill="1" applyBorder="1" applyAlignment="1"/>
    <xf numFmtId="0" fontId="3" fillId="6" borderId="11" xfId="0" applyFont="1" applyFill="1" applyBorder="1" applyAlignment="1">
      <alignment horizontal="center"/>
    </xf>
    <xf numFmtId="0" fontId="3" fillId="6" borderId="12" xfId="0" applyFont="1" applyFill="1" applyBorder="1" applyAlignment="1">
      <alignment horizontal="center"/>
    </xf>
    <xf numFmtId="0" fontId="3" fillId="6" borderId="13" xfId="0" applyFont="1" applyFill="1" applyBorder="1" applyAlignment="1">
      <alignment horizontal="center"/>
    </xf>
    <xf numFmtId="0" fontId="3" fillId="6" borderId="14" xfId="0" applyFont="1" applyFill="1" applyBorder="1" applyAlignment="1">
      <alignment horizontal="center"/>
    </xf>
    <xf numFmtId="0" fontId="3" fillId="6" borderId="15" xfId="0" applyFont="1" applyFill="1" applyBorder="1" applyAlignment="1">
      <alignment horizontal="center"/>
    </xf>
    <xf numFmtId="0" fontId="3" fillId="6" borderId="16" xfId="0" applyFont="1" applyFill="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left" vertical="center"/>
    </xf>
    <xf numFmtId="0" fontId="3" fillId="0" borderId="7" xfId="0" applyFont="1" applyBorder="1" applyAlignment="1">
      <alignment horizontal="left" vertical="center"/>
    </xf>
    <xf numFmtId="0" fontId="3" fillId="0" borderId="7" xfId="0" applyFont="1" applyBorder="1" applyAlignment="1">
      <alignment horizontal="center" vertical="center"/>
    </xf>
    <xf numFmtId="0" fontId="3" fillId="0" borderId="19" xfId="0" applyFont="1" applyBorder="1" applyAlignment="1">
      <alignment horizontal="center"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pt-BR"/>
              <a:t>Rugosidade Relativa</a:t>
            </a:r>
          </a:p>
        </c:rich>
      </c:tx>
      <c:overlay val="0"/>
    </c:title>
    <c:autoTitleDeleted val="0"/>
    <c:plotArea>
      <c:layout/>
      <c:lineChart>
        <c:grouping val="standard"/>
        <c:varyColors val="0"/>
        <c:ser>
          <c:idx val="1"/>
          <c:order val="0"/>
          <c:trendline>
            <c:trendlineType val="poly"/>
            <c:order val="4"/>
            <c:dispRSqr val="0"/>
            <c:dispEq val="0"/>
          </c:trendline>
          <c:cat>
            <c:numRef>
              <c:f>'[1]Rugosidade Relativa'!$F$12:$F$29</c:f>
              <c:numCache>
                <c:formatCode>General</c:formatCode>
                <c:ptCount val="18"/>
                <c:pt idx="0">
                  <c:v>8</c:v>
                </c:pt>
                <c:pt idx="1">
                  <c:v>10</c:v>
                </c:pt>
                <c:pt idx="2">
                  <c:v>12</c:v>
                </c:pt>
                <c:pt idx="3">
                  <c:v>14</c:v>
                </c:pt>
                <c:pt idx="4">
                  <c:v>16</c:v>
                </c:pt>
                <c:pt idx="5">
                  <c:v>18</c:v>
                </c:pt>
                <c:pt idx="6">
                  <c:v>20</c:v>
                </c:pt>
                <c:pt idx="7">
                  <c:v>22</c:v>
                </c:pt>
                <c:pt idx="8">
                  <c:v>24</c:v>
                </c:pt>
                <c:pt idx="9">
                  <c:v>26</c:v>
                </c:pt>
                <c:pt idx="10">
                  <c:v>28</c:v>
                </c:pt>
                <c:pt idx="11">
                  <c:v>30</c:v>
                </c:pt>
                <c:pt idx="12">
                  <c:v>32</c:v>
                </c:pt>
                <c:pt idx="13">
                  <c:v>34</c:v>
                </c:pt>
                <c:pt idx="14">
                  <c:v>36</c:v>
                </c:pt>
                <c:pt idx="15">
                  <c:v>38</c:v>
                </c:pt>
                <c:pt idx="16">
                  <c:v>40</c:v>
                </c:pt>
                <c:pt idx="17">
                  <c:v>42</c:v>
                </c:pt>
              </c:numCache>
            </c:numRef>
          </c:cat>
          <c:val>
            <c:numRef>
              <c:f>'[1]Rugosidade Relativa'!$G$12:$G$29</c:f>
              <c:numCache>
                <c:formatCode>General</c:formatCode>
                <c:ptCount val="18"/>
                <c:pt idx="0">
                  <c:v>2.0000000000000001E-4</c:v>
                </c:pt>
                <c:pt idx="1">
                  <c:v>1.75E-4</c:v>
                </c:pt>
                <c:pt idx="2">
                  <c:v>1.4999999999999999E-4</c:v>
                </c:pt>
                <c:pt idx="3">
                  <c:v>1.2999999999999999E-4</c:v>
                </c:pt>
                <c:pt idx="4">
                  <c:v>1.11E-4</c:v>
                </c:pt>
                <c:pt idx="5">
                  <c:v>9.5000000000000005E-5</c:v>
                </c:pt>
                <c:pt idx="6">
                  <c:v>8.5000000000000006E-5</c:v>
                </c:pt>
                <c:pt idx="7">
                  <c:v>7.6000000000000004E-5</c:v>
                </c:pt>
                <c:pt idx="8">
                  <c:v>6.9999999999999994E-5</c:v>
                </c:pt>
                <c:pt idx="9">
                  <c:v>6.4999999999999994E-5</c:v>
                </c:pt>
                <c:pt idx="10">
                  <c:v>6.0000000000000002E-5</c:v>
                </c:pt>
                <c:pt idx="11">
                  <c:v>5.7000000000000003E-5</c:v>
                </c:pt>
                <c:pt idx="12">
                  <c:v>5.5000000000000002E-5</c:v>
                </c:pt>
                <c:pt idx="13">
                  <c:v>5.1999999999999997E-5</c:v>
                </c:pt>
                <c:pt idx="14">
                  <c:v>5.0000000000000002E-5</c:v>
                </c:pt>
                <c:pt idx="15">
                  <c:v>4.6999999999999997E-5</c:v>
                </c:pt>
                <c:pt idx="16">
                  <c:v>4.5000000000000003E-5</c:v>
                </c:pt>
                <c:pt idx="17">
                  <c:v>4.3999999999999999E-5</c:v>
                </c:pt>
              </c:numCache>
            </c:numRef>
          </c:val>
          <c:smooth val="1"/>
        </c:ser>
        <c:dLbls>
          <c:showLegendKey val="0"/>
          <c:showVal val="0"/>
          <c:showCatName val="0"/>
          <c:showSerName val="0"/>
          <c:showPercent val="0"/>
          <c:showBubbleSize val="0"/>
        </c:dLbls>
        <c:marker val="1"/>
        <c:smooth val="0"/>
        <c:axId val="238172800"/>
        <c:axId val="262001792"/>
      </c:lineChart>
      <c:catAx>
        <c:axId val="238172800"/>
        <c:scaling>
          <c:orientation val="minMax"/>
        </c:scaling>
        <c:delete val="0"/>
        <c:axPos val="b"/>
        <c:minorGridlines/>
        <c:title>
          <c:tx>
            <c:rich>
              <a:bodyPr/>
              <a:lstStyle/>
              <a:p>
                <a:pPr>
                  <a:defRPr sz="1000" b="0" i="0" u="none" strike="noStrike" baseline="0">
                    <a:solidFill>
                      <a:srgbClr val="000000"/>
                    </a:solidFill>
                    <a:latin typeface="Calibri"/>
                    <a:ea typeface="Calibri"/>
                    <a:cs typeface="Calibri"/>
                  </a:defRPr>
                </a:pPr>
                <a:r>
                  <a:rPr lang="pt-BR"/>
                  <a:t>D</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62001792"/>
        <c:crosses val="autoZero"/>
        <c:auto val="1"/>
        <c:lblAlgn val="ctr"/>
        <c:lblOffset val="100"/>
        <c:tickMarkSkip val="1"/>
        <c:noMultiLvlLbl val="0"/>
      </c:catAx>
      <c:valAx>
        <c:axId val="262001792"/>
        <c:scaling>
          <c:orientation val="minMax"/>
          <c:max val="2.2000000000000088E-4"/>
          <c:min val="4.000000000000001E-5"/>
        </c:scaling>
        <c:delete val="0"/>
        <c:axPos val="l"/>
        <c:majorGridlines/>
        <c:title>
          <c:tx>
            <c:rich>
              <a:bodyPr/>
              <a:lstStyle/>
              <a:p>
                <a:pPr>
                  <a:defRPr sz="1000" b="0" i="0" u="none" strike="noStrike" baseline="0">
                    <a:solidFill>
                      <a:srgbClr val="000000"/>
                    </a:solidFill>
                    <a:latin typeface="Calibri"/>
                    <a:ea typeface="Calibri"/>
                    <a:cs typeface="Calibri"/>
                  </a:defRPr>
                </a:pPr>
                <a:r>
                  <a:rPr lang="el-GR"/>
                  <a:t>ε/</a:t>
                </a:r>
                <a:r>
                  <a:rPr lang="pt-BR"/>
                  <a:t>D</a:t>
                </a:r>
              </a:p>
            </c:rich>
          </c:tx>
          <c:overlay val="0"/>
        </c:title>
        <c:numFmt formatCode="General" sourceLinked="1"/>
        <c:majorTickMark val="cross"/>
        <c:minorTickMark val="in"/>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38172800"/>
        <c:crosses val="autoZero"/>
        <c:crossBetween val="between"/>
        <c:majorUnit val="2.0000000000000059E-5"/>
        <c:minorUnit val="1.0000000000000038E-5"/>
      </c:valAx>
    </c:plotArea>
    <c:plotVisOnly val="1"/>
    <c:dispBlanksAs val="gap"/>
    <c:showDLblsOverMax val="0"/>
  </c:chart>
  <c:spPr>
    <a:effectLst>
      <a:outerShdw blurRad="139700" dist="139700" dir="3660000" sx="102000" sy="102000" algn="tl"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86" footer="0.3149606200000008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800" b="1" i="0" u="none" strike="noStrike" baseline="0">
              <a:solidFill>
                <a:srgbClr val="000000"/>
              </a:solidFill>
              <a:latin typeface="Calibri"/>
              <a:ea typeface="Calibri"/>
              <a:cs typeface="Calibri"/>
            </a:defRPr>
          </a:pPr>
          <a:endParaRPr lang="pt-BR"/>
        </a:p>
      </c:txPr>
    </c:title>
    <c:autoTitleDeleted val="0"/>
    <c:plotArea>
      <c:layout/>
      <c:scatterChart>
        <c:scatterStyle val="smoothMarker"/>
        <c:varyColors val="0"/>
        <c:ser>
          <c:idx val="0"/>
          <c:order val="0"/>
          <c:tx>
            <c:v>Coeficiente</c:v>
          </c:tx>
          <c:spPr>
            <a:ln>
              <a:noFill/>
            </a:ln>
          </c:spPr>
          <c:marker>
            <c:symbol val="none"/>
          </c:marker>
          <c:trendline>
            <c:trendlineType val="log"/>
            <c:dispRSqr val="0"/>
            <c:dispEq val="0"/>
          </c:trendline>
          <c:trendline>
            <c:trendlineType val="power"/>
            <c:dispRSqr val="0"/>
            <c:dispEq val="0"/>
          </c:trendline>
          <c:trendline>
            <c:trendlineType val="log"/>
            <c:dispRSqr val="0"/>
            <c:dispEq val="0"/>
          </c:trendline>
          <c:trendline>
            <c:trendlineType val="power"/>
            <c:dispRSqr val="0"/>
            <c:dispEq val="0"/>
          </c:trendline>
          <c:trendline>
            <c:spPr>
              <a:ln w="31750"/>
            </c:spPr>
            <c:trendlineType val="poly"/>
            <c:order val="3"/>
            <c:dispRSqr val="1"/>
            <c:dispEq val="1"/>
            <c:trendlineLbl>
              <c:layout>
                <c:manualLayout>
                  <c:x val="-7.5699912510936314E-4"/>
                  <c:y val="-0.46478237095363151"/>
                </c:manualLayout>
              </c:layout>
              <c:numFmt formatCode="General" sourceLinked="0"/>
              <c:txPr>
                <a:bodyPr/>
                <a:lstStyle/>
                <a:p>
                  <a:pPr>
                    <a:defRPr sz="1000" b="0" i="0" u="none" strike="noStrike" baseline="0">
                      <a:solidFill>
                        <a:srgbClr val="000000"/>
                      </a:solidFill>
                      <a:latin typeface="Calibri"/>
                      <a:ea typeface="Calibri"/>
                      <a:cs typeface="Calibri"/>
                    </a:defRPr>
                  </a:pPr>
                  <a:endParaRPr lang="pt-BR"/>
                </a:p>
              </c:txPr>
            </c:trendlineLbl>
          </c:trendline>
          <c:xVal>
            <c:numRef>
              <c:f>'[2]Parâmetros de Investimento'!$H$22:$H$32</c:f>
              <c:numCache>
                <c:formatCode>General</c:formatCode>
                <c:ptCount val="11"/>
                <c:pt idx="0">
                  <c:v>0</c:v>
                </c:pt>
                <c:pt idx="1">
                  <c:v>50</c:v>
                </c:pt>
                <c:pt idx="2">
                  <c:v>60</c:v>
                </c:pt>
                <c:pt idx="3">
                  <c:v>90</c:v>
                </c:pt>
                <c:pt idx="4">
                  <c:v>100</c:v>
                </c:pt>
                <c:pt idx="5">
                  <c:v>500</c:v>
                </c:pt>
                <c:pt idx="6">
                  <c:v>1000</c:v>
                </c:pt>
                <c:pt idx="7">
                  <c:v>1500</c:v>
                </c:pt>
                <c:pt idx="8">
                  <c:v>2000</c:v>
                </c:pt>
                <c:pt idx="9">
                  <c:v>2500</c:v>
                </c:pt>
                <c:pt idx="10">
                  <c:v>3000</c:v>
                </c:pt>
              </c:numCache>
            </c:numRef>
          </c:xVal>
          <c:yVal>
            <c:numRef>
              <c:f>'[2]Parâmetros de Investimento'!$I$22:$I$32</c:f>
              <c:numCache>
                <c:formatCode>General</c:formatCode>
                <c:ptCount val="11"/>
                <c:pt idx="0">
                  <c:v>4.1500000000000004</c:v>
                </c:pt>
                <c:pt idx="1">
                  <c:v>4</c:v>
                </c:pt>
                <c:pt idx="2">
                  <c:v>3.97</c:v>
                </c:pt>
                <c:pt idx="3">
                  <c:v>3.89</c:v>
                </c:pt>
                <c:pt idx="4">
                  <c:v>3.87</c:v>
                </c:pt>
                <c:pt idx="5">
                  <c:v>3</c:v>
                </c:pt>
                <c:pt idx="6">
                  <c:v>2.35</c:v>
                </c:pt>
                <c:pt idx="7">
                  <c:v>2.1</c:v>
                </c:pt>
                <c:pt idx="8">
                  <c:v>2</c:v>
                </c:pt>
                <c:pt idx="9">
                  <c:v>1.99</c:v>
                </c:pt>
                <c:pt idx="10">
                  <c:v>1.99</c:v>
                </c:pt>
              </c:numCache>
            </c:numRef>
          </c:yVal>
          <c:smooth val="1"/>
        </c:ser>
        <c:dLbls>
          <c:showLegendKey val="0"/>
          <c:showVal val="0"/>
          <c:showCatName val="0"/>
          <c:showSerName val="0"/>
          <c:showPercent val="0"/>
          <c:showBubbleSize val="0"/>
        </c:dLbls>
        <c:axId val="265340800"/>
        <c:axId val="265343360"/>
      </c:scatterChart>
      <c:valAx>
        <c:axId val="265340800"/>
        <c:scaling>
          <c:orientation val="minMax"/>
          <c:max val="3000"/>
          <c:min val="0"/>
        </c:scaling>
        <c:delete val="0"/>
        <c:axPos val="b"/>
        <c:majorGridlines/>
        <c:minorGridlines/>
        <c:numFmt formatCode="General" sourceLinked="1"/>
        <c:majorTickMark val="cross"/>
        <c:minorTickMark val="in"/>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65343360"/>
        <c:crosses val="autoZero"/>
        <c:crossBetween val="midCat"/>
        <c:majorUnit val="500"/>
        <c:minorUnit val="100"/>
      </c:valAx>
      <c:valAx>
        <c:axId val="265343360"/>
        <c:scaling>
          <c:orientation val="minMax"/>
          <c:max val="5"/>
          <c:min val="1.5"/>
        </c:scaling>
        <c:delete val="0"/>
        <c:axPos val="l"/>
        <c:majorGridlines/>
        <c:minorGridlines/>
        <c:numFmt formatCode="#,##0.0" sourceLinked="0"/>
        <c:majorTickMark val="cross"/>
        <c:minorTickMark val="in"/>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65340800"/>
        <c:crosses val="autoZero"/>
        <c:crossBetween val="midCat"/>
        <c:majorUnit val="0.5"/>
        <c:minorUnit val="0.1"/>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97" footer="0.3149606200000009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pt-BR"/>
              <a:t>Coeficiente</a:t>
            </a:r>
          </a:p>
        </c:rich>
      </c:tx>
      <c:overlay val="0"/>
    </c:title>
    <c:autoTitleDeleted val="0"/>
    <c:plotArea>
      <c:layout/>
      <c:scatterChart>
        <c:scatterStyle val="smoothMarker"/>
        <c:varyColors val="0"/>
        <c:ser>
          <c:idx val="0"/>
          <c:order val="0"/>
          <c:tx>
            <c:v>coeficiente</c:v>
          </c:tx>
          <c:marker>
            <c:symbol val="none"/>
          </c:marker>
          <c:trendline>
            <c:name>Ajuste</c:name>
            <c:trendlineType val="poly"/>
            <c:order val="3"/>
            <c:dispRSqr val="1"/>
            <c:dispEq val="1"/>
            <c:trendlineLbl>
              <c:numFmt formatCode="General" sourceLinked="0"/>
              <c:txPr>
                <a:bodyPr/>
                <a:lstStyle/>
                <a:p>
                  <a:pPr>
                    <a:defRPr sz="1000" b="0" i="0" u="none" strike="noStrike" baseline="0">
                      <a:solidFill>
                        <a:srgbClr val="000000"/>
                      </a:solidFill>
                      <a:latin typeface="Calibri"/>
                      <a:ea typeface="Calibri"/>
                      <a:cs typeface="Calibri"/>
                    </a:defRPr>
                  </a:pPr>
                  <a:endParaRPr lang="pt-BR"/>
                </a:p>
              </c:txPr>
            </c:trendlineLbl>
          </c:trendline>
          <c:xVal>
            <c:numRef>
              <c:f>'[2]Parâmetros de Investimento'!$H$34:$H$43</c:f>
              <c:numCache>
                <c:formatCode>General</c:formatCode>
                <c:ptCount val="10"/>
                <c:pt idx="0">
                  <c:v>0</c:v>
                </c:pt>
                <c:pt idx="1">
                  <c:v>25</c:v>
                </c:pt>
                <c:pt idx="2">
                  <c:v>50</c:v>
                </c:pt>
                <c:pt idx="3">
                  <c:v>75</c:v>
                </c:pt>
                <c:pt idx="4">
                  <c:v>100</c:v>
                </c:pt>
                <c:pt idx="5">
                  <c:v>150</c:v>
                </c:pt>
                <c:pt idx="6">
                  <c:v>200</c:v>
                </c:pt>
                <c:pt idx="7">
                  <c:v>300</c:v>
                </c:pt>
                <c:pt idx="8">
                  <c:v>400</c:v>
                </c:pt>
                <c:pt idx="9">
                  <c:v>500</c:v>
                </c:pt>
              </c:numCache>
            </c:numRef>
          </c:xVal>
          <c:yVal>
            <c:numRef>
              <c:f>'[2]Parâmetros de Investimento'!$I$34:$I$43</c:f>
              <c:numCache>
                <c:formatCode>General</c:formatCode>
                <c:ptCount val="10"/>
                <c:pt idx="0">
                  <c:v>4.1500000000000004</c:v>
                </c:pt>
                <c:pt idx="1">
                  <c:v>4.07</c:v>
                </c:pt>
                <c:pt idx="2">
                  <c:v>4</c:v>
                </c:pt>
                <c:pt idx="3">
                  <c:v>3.93</c:v>
                </c:pt>
                <c:pt idx="4">
                  <c:v>3.87</c:v>
                </c:pt>
                <c:pt idx="5">
                  <c:v>3.75</c:v>
                </c:pt>
                <c:pt idx="6">
                  <c:v>3.63</c:v>
                </c:pt>
                <c:pt idx="7">
                  <c:v>3.39</c:v>
                </c:pt>
                <c:pt idx="8">
                  <c:v>3.18</c:v>
                </c:pt>
                <c:pt idx="9">
                  <c:v>3</c:v>
                </c:pt>
              </c:numCache>
            </c:numRef>
          </c:yVal>
          <c:smooth val="1"/>
        </c:ser>
        <c:dLbls>
          <c:showLegendKey val="0"/>
          <c:showVal val="0"/>
          <c:showCatName val="0"/>
          <c:showSerName val="0"/>
          <c:showPercent val="0"/>
          <c:showBubbleSize val="0"/>
        </c:dLbls>
        <c:axId val="142400128"/>
        <c:axId val="142586240"/>
      </c:scatterChart>
      <c:valAx>
        <c:axId val="142400128"/>
        <c:scaling>
          <c:orientation val="minMax"/>
          <c:max val="500"/>
        </c:scaling>
        <c:delete val="0"/>
        <c:axPos val="b"/>
        <c:minorGridlines/>
        <c:numFmt formatCode="General" sourceLinked="1"/>
        <c:majorTickMark val="cross"/>
        <c:minorTickMark val="in"/>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142586240"/>
        <c:crosses val="autoZero"/>
        <c:crossBetween val="midCat"/>
        <c:majorUnit val="50"/>
        <c:minorUnit val="10"/>
      </c:valAx>
      <c:valAx>
        <c:axId val="142586240"/>
        <c:scaling>
          <c:orientation val="minMax"/>
          <c:max val="4.5"/>
          <c:min val="3"/>
        </c:scaling>
        <c:delete val="0"/>
        <c:axPos val="l"/>
        <c:majorGridlines/>
        <c:minorGridlines/>
        <c:numFmt formatCode="#,##0.0" sourceLinked="0"/>
        <c:majorTickMark val="cross"/>
        <c:minorTickMark val="in"/>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142400128"/>
        <c:crosses val="autoZero"/>
        <c:crossBetween val="midCat"/>
        <c:majorUnit val="0.5"/>
        <c:minorUnit val="0.1"/>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97" footer="0.3149606200000009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800" b="1" i="0" u="none" strike="noStrike" baseline="0">
              <a:solidFill>
                <a:srgbClr val="000000"/>
              </a:solidFill>
              <a:latin typeface="Calibri"/>
              <a:ea typeface="Calibri"/>
              <a:cs typeface="Calibri"/>
            </a:defRPr>
          </a:pPr>
          <a:endParaRPr lang="pt-BR"/>
        </a:p>
      </c:txPr>
    </c:title>
    <c:autoTitleDeleted val="0"/>
    <c:plotArea>
      <c:layout/>
      <c:scatterChart>
        <c:scatterStyle val="smoothMarker"/>
        <c:varyColors val="0"/>
        <c:ser>
          <c:idx val="0"/>
          <c:order val="0"/>
          <c:tx>
            <c:v>Coeficiente</c:v>
          </c:tx>
          <c:spPr>
            <a:ln w="25400">
              <a:solidFill>
                <a:sysClr val="windowText" lastClr="000000">
                  <a:shade val="95000"/>
                  <a:satMod val="105000"/>
                </a:sysClr>
              </a:solidFill>
            </a:ln>
          </c:spPr>
          <c:marker>
            <c:symbol val="circle"/>
            <c:size val="7"/>
            <c:spPr>
              <a:solidFill>
                <a:srgbClr val="FF0000"/>
              </a:solidFill>
              <a:ln>
                <a:solidFill>
                  <a:sysClr val="windowText" lastClr="000000">
                    <a:shade val="95000"/>
                    <a:satMod val="105000"/>
                  </a:sysClr>
                </a:solidFill>
              </a:ln>
            </c:spPr>
          </c:marker>
          <c:trendline>
            <c:trendlineType val="log"/>
            <c:dispRSqr val="0"/>
            <c:dispEq val="0"/>
          </c:trendline>
          <c:trendline>
            <c:trendlineType val="power"/>
            <c:dispRSqr val="0"/>
            <c:dispEq val="0"/>
          </c:trendline>
          <c:trendline>
            <c:trendlineType val="log"/>
            <c:dispRSqr val="0"/>
            <c:dispEq val="0"/>
          </c:trendline>
          <c:trendline>
            <c:trendlineType val="power"/>
            <c:dispRSqr val="0"/>
            <c:dispEq val="0"/>
          </c:trendline>
          <c:trendline>
            <c:spPr>
              <a:ln w="31750"/>
            </c:spPr>
            <c:trendlineType val="poly"/>
            <c:order val="4"/>
            <c:dispRSqr val="1"/>
            <c:dispEq val="1"/>
            <c:trendlineLbl>
              <c:layout>
                <c:manualLayout>
                  <c:x val="-7.5699912510936347E-4"/>
                  <c:y val="-0.46478237095363162"/>
                </c:manualLayout>
              </c:layout>
              <c:numFmt formatCode="General" sourceLinked="0"/>
              <c:txPr>
                <a:bodyPr/>
                <a:lstStyle/>
                <a:p>
                  <a:pPr>
                    <a:defRPr sz="1000" b="0" i="0" u="none" strike="noStrike" baseline="0">
                      <a:solidFill>
                        <a:srgbClr val="000000"/>
                      </a:solidFill>
                      <a:latin typeface="Calibri"/>
                      <a:ea typeface="Calibri"/>
                      <a:cs typeface="Calibri"/>
                    </a:defRPr>
                  </a:pPr>
                  <a:endParaRPr lang="pt-BR"/>
                </a:p>
              </c:txPr>
            </c:trendlineLbl>
          </c:trendline>
          <c:xVal>
            <c:numRef>
              <c:f>'[1]Coef. Investimento Terminais'!$V$20:$V$42</c:f>
              <c:numCache>
                <c:formatCode>General</c:formatCode>
                <c:ptCount val="23"/>
                <c:pt idx="0">
                  <c:v>0</c:v>
                </c:pt>
                <c:pt idx="1">
                  <c:v>2.5000000000000001E-2</c:v>
                </c:pt>
                <c:pt idx="2">
                  <c:v>0.05</c:v>
                </c:pt>
                <c:pt idx="3">
                  <c:v>7.4999999999999997E-2</c:v>
                </c:pt>
                <c:pt idx="4">
                  <c:v>0.1</c:v>
                </c:pt>
                <c:pt idx="5">
                  <c:v>0.15</c:v>
                </c:pt>
                <c:pt idx="6">
                  <c:v>0.2</c:v>
                </c:pt>
                <c:pt idx="7">
                  <c:v>0.3</c:v>
                </c:pt>
                <c:pt idx="8">
                  <c:v>0.4</c:v>
                </c:pt>
                <c:pt idx="9">
                  <c:v>0.5</c:v>
                </c:pt>
                <c:pt idx="10">
                  <c:v>0.7</c:v>
                </c:pt>
                <c:pt idx="11">
                  <c:v>0.9</c:v>
                </c:pt>
                <c:pt idx="12">
                  <c:v>1</c:v>
                </c:pt>
                <c:pt idx="13">
                  <c:v>1.2</c:v>
                </c:pt>
                <c:pt idx="14">
                  <c:v>1.4</c:v>
                </c:pt>
                <c:pt idx="15">
                  <c:v>1.5</c:v>
                </c:pt>
                <c:pt idx="16">
                  <c:v>1.7</c:v>
                </c:pt>
                <c:pt idx="17">
                  <c:v>1.9</c:v>
                </c:pt>
                <c:pt idx="18">
                  <c:v>2</c:v>
                </c:pt>
                <c:pt idx="19">
                  <c:v>2.2000000000000002</c:v>
                </c:pt>
                <c:pt idx="20">
                  <c:v>2.5</c:v>
                </c:pt>
                <c:pt idx="21">
                  <c:v>2.7</c:v>
                </c:pt>
                <c:pt idx="22">
                  <c:v>3</c:v>
                </c:pt>
              </c:numCache>
            </c:numRef>
          </c:xVal>
          <c:yVal>
            <c:numRef>
              <c:f>'[1]Coef. Investimento Terminais'!$W$20:$W$42</c:f>
              <c:numCache>
                <c:formatCode>General</c:formatCode>
                <c:ptCount val="23"/>
                <c:pt idx="0">
                  <c:v>4.1500000000000004</c:v>
                </c:pt>
                <c:pt idx="1">
                  <c:v>4.07</c:v>
                </c:pt>
                <c:pt idx="2">
                  <c:v>4</c:v>
                </c:pt>
                <c:pt idx="3">
                  <c:v>3.93</c:v>
                </c:pt>
                <c:pt idx="4">
                  <c:v>3.87</c:v>
                </c:pt>
                <c:pt idx="5">
                  <c:v>3.75</c:v>
                </c:pt>
                <c:pt idx="6">
                  <c:v>3.63</c:v>
                </c:pt>
                <c:pt idx="7">
                  <c:v>3.39</c:v>
                </c:pt>
                <c:pt idx="8">
                  <c:v>3.18</c:v>
                </c:pt>
                <c:pt idx="9">
                  <c:v>3</c:v>
                </c:pt>
                <c:pt idx="10">
                  <c:v>2.68</c:v>
                </c:pt>
                <c:pt idx="11">
                  <c:v>2.4500000000000002</c:v>
                </c:pt>
                <c:pt idx="12">
                  <c:v>2.35</c:v>
                </c:pt>
                <c:pt idx="13">
                  <c:v>2.2000000000000002</c:v>
                </c:pt>
                <c:pt idx="14">
                  <c:v>2.1110000000000002</c:v>
                </c:pt>
                <c:pt idx="15">
                  <c:v>2.0499999999999998</c:v>
                </c:pt>
                <c:pt idx="16">
                  <c:v>2.02</c:v>
                </c:pt>
                <c:pt idx="17">
                  <c:v>2.0129999999999999</c:v>
                </c:pt>
                <c:pt idx="18">
                  <c:v>2.0099999999999998</c:v>
                </c:pt>
                <c:pt idx="19">
                  <c:v>1.9970000000000001</c:v>
                </c:pt>
                <c:pt idx="20">
                  <c:v>1.9950000000000001</c:v>
                </c:pt>
                <c:pt idx="21">
                  <c:v>1.994</c:v>
                </c:pt>
                <c:pt idx="22">
                  <c:v>1.9930000000000001</c:v>
                </c:pt>
              </c:numCache>
            </c:numRef>
          </c:yVal>
          <c:smooth val="0"/>
        </c:ser>
        <c:dLbls>
          <c:showLegendKey val="0"/>
          <c:showVal val="0"/>
          <c:showCatName val="0"/>
          <c:showSerName val="0"/>
          <c:showPercent val="0"/>
          <c:showBubbleSize val="0"/>
        </c:dLbls>
        <c:axId val="142603008"/>
        <c:axId val="142604544"/>
      </c:scatterChart>
      <c:valAx>
        <c:axId val="142603008"/>
        <c:scaling>
          <c:orientation val="minMax"/>
          <c:max val="3"/>
          <c:min val="0"/>
        </c:scaling>
        <c:delete val="0"/>
        <c:axPos val="b"/>
        <c:majorGridlines/>
        <c:minorGridlines/>
        <c:numFmt formatCode="General" sourceLinked="1"/>
        <c:majorTickMark val="cross"/>
        <c:minorTickMark val="in"/>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142604544"/>
        <c:crosses val="autoZero"/>
        <c:crossBetween val="midCat"/>
        <c:majorUnit val="0.5"/>
        <c:minorUnit val="0.1"/>
      </c:valAx>
      <c:valAx>
        <c:axId val="142604544"/>
        <c:scaling>
          <c:orientation val="minMax"/>
          <c:max val="5"/>
          <c:min val="1.5"/>
        </c:scaling>
        <c:delete val="0"/>
        <c:axPos val="l"/>
        <c:majorGridlines/>
        <c:minorGridlines/>
        <c:numFmt formatCode="#,##0.0" sourceLinked="0"/>
        <c:majorTickMark val="cross"/>
        <c:minorTickMark val="in"/>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142603008"/>
        <c:crosses val="autoZero"/>
        <c:crossBetween val="midCat"/>
        <c:majorUnit val="0.5"/>
        <c:minorUnit val="0.1"/>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108" footer="0.31496062000000108"/>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428625</xdr:colOff>
      <xdr:row>11</xdr:row>
      <xdr:rowOff>95250</xdr:rowOff>
    </xdr:from>
    <xdr:to>
      <xdr:col>17</xdr:col>
      <xdr:colOff>123825</xdr:colOff>
      <xdr:row>28</xdr:row>
      <xdr:rowOff>85725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381000</xdr:colOff>
      <xdr:row>12</xdr:row>
      <xdr:rowOff>66675</xdr:rowOff>
    </xdr:from>
    <xdr:to>
      <xdr:col>18</xdr:col>
      <xdr:colOff>76200</xdr:colOff>
      <xdr:row>29</xdr:row>
      <xdr:rowOff>57150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323850</xdr:colOff>
      <xdr:row>29</xdr:row>
      <xdr:rowOff>161925</xdr:rowOff>
    </xdr:from>
    <xdr:to>
      <xdr:col>18</xdr:col>
      <xdr:colOff>0</xdr:colOff>
      <xdr:row>46</xdr:row>
      <xdr:rowOff>114300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0</xdr:colOff>
      <xdr:row>19</xdr:row>
      <xdr:rowOff>0</xdr:rowOff>
    </xdr:from>
    <xdr:to>
      <xdr:col>33</xdr:col>
      <xdr:colOff>304800</xdr:colOff>
      <xdr:row>35</xdr:row>
      <xdr:rowOff>152400</xdr:rowOff>
    </xdr:to>
    <xdr:graphicFrame macro="">
      <xdr:nvGraphicFramePr>
        <xdr:cNvPr id="4"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243;pia%20de%20CALCULO%20DE%20INVESTIMENTO%20EM%20DUTOS%20v.0%200104201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PG/SDB/Log&#237;stica/PLANDEPE/NOVO%20POLIDUTO/POLIPARCO/PDE%202021/Duto%20PR%20MS%20POLIPARCO%20%20%20I%20PDE%202021%20Rev.1302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rada de Dados-Parâmetros"/>
      <sheetName val="Entrada de Dados-Abrangência"/>
      <sheetName val="Entrada de Dados-Escolha Termin"/>
      <sheetName val="Resultados"/>
      <sheetName val="Dados Gerais do Projeto"/>
      <sheetName val="Tabelas de Apoio"/>
      <sheetName val="Matriz Distâncias Rodoviárias"/>
      <sheetName val="Demanda por Terminal"/>
      <sheetName val="Demanda Total dos Polos"/>
      <sheetName val="Dimensionamento do Duto 1"/>
      <sheetName val="Dimensionamento do Duto 2"/>
      <sheetName val="Investimento no Duto"/>
      <sheetName val="Investimento Terminais"/>
      <sheetName val="Calculos de Escoamento"/>
      <sheetName val="Custos Operacionais"/>
      <sheetName val="Capital de Giro"/>
      <sheetName val="Avaliação de Tarifa"/>
      <sheetName val="Matriz Dist. Rodoviárias 0  "/>
      <sheetName val="Custo de Transporte Básico"/>
      <sheetName val="Custos de Transporte com Duto"/>
      <sheetName val="Mercado GLP"/>
      <sheetName val="Mercado Gasolina"/>
      <sheetName val="Mercado Nafta"/>
      <sheetName val="Mercado QAV"/>
      <sheetName val="Mercado Diesel"/>
      <sheetName val="Mercado Escuros"/>
      <sheetName val="Matriz Distancias &amp; Altitudes"/>
      <sheetName val="Fluidos"/>
      <sheetName val="Tubos"/>
      <sheetName val="Rugosidade Relativa"/>
      <sheetName val="Parâmetros de Cálculo"/>
      <sheetName val="Coef. Investimento Terminais"/>
      <sheetName val="Plan1"/>
    </sheetNames>
    <sheetDataSet>
      <sheetData sheetId="0">
        <row r="14">
          <cell r="E14">
            <v>2017</v>
          </cell>
        </row>
        <row r="16">
          <cell r="E16">
            <v>2026</v>
          </cell>
        </row>
      </sheetData>
      <sheetData sheetId="1">
        <row r="6">
          <cell r="E6">
            <v>3</v>
          </cell>
        </row>
        <row r="7">
          <cell r="B7" t="str">
            <v>&gt;Seção nº 1</v>
          </cell>
          <cell r="E7" t="str">
            <v>ARAUCARIA</v>
          </cell>
        </row>
        <row r="8">
          <cell r="E8" t="str">
            <v>LONDRINA</v>
          </cell>
        </row>
        <row r="9">
          <cell r="B9" t="str">
            <v>&gt;Seção nº 2</v>
          </cell>
          <cell r="E9" t="str">
            <v>LONDRINA</v>
          </cell>
        </row>
        <row r="10">
          <cell r="E10" t="str">
            <v>CAMPO_GRANDE</v>
          </cell>
        </row>
        <row r="11">
          <cell r="B11" t="str">
            <v>&gt;Seção nº 3</v>
          </cell>
          <cell r="E11" t="str">
            <v>CAMPO_GRANDE</v>
          </cell>
        </row>
        <row r="12">
          <cell r="E12" t="str">
            <v>CUIABA</v>
          </cell>
        </row>
        <row r="13">
          <cell r="B13" t="str">
            <v xml:space="preserve"> </v>
          </cell>
          <cell r="E13" t="str">
            <v xml:space="preserve"> </v>
          </cell>
        </row>
        <row r="14">
          <cell r="E14" t="str">
            <v xml:space="preserve"> </v>
          </cell>
        </row>
        <row r="15">
          <cell r="B15" t="str">
            <v xml:space="preserve"> </v>
          </cell>
          <cell r="E15" t="str">
            <v xml:space="preserve"> </v>
          </cell>
        </row>
        <row r="16">
          <cell r="E16" t="str">
            <v xml:space="preserve"> </v>
          </cell>
        </row>
        <row r="17">
          <cell r="B17" t="str">
            <v xml:space="preserve"> </v>
          </cell>
          <cell r="E17" t="str">
            <v xml:space="preserve"> </v>
          </cell>
        </row>
        <row r="18">
          <cell r="E18" t="str">
            <v xml:space="preserve"> </v>
          </cell>
        </row>
        <row r="19">
          <cell r="B19" t="str">
            <v xml:space="preserve"> </v>
          </cell>
          <cell r="E19" t="str">
            <v xml:space="preserve"> </v>
          </cell>
        </row>
        <row r="20">
          <cell r="E20" t="str">
            <v xml:space="preserve"> </v>
          </cell>
        </row>
        <row r="79">
          <cell r="Q79" t="str">
            <v>SP</v>
          </cell>
        </row>
        <row r="80">
          <cell r="Q80" t="str">
            <v>SP</v>
          </cell>
        </row>
        <row r="81">
          <cell r="Q81" t="str">
            <v>SP</v>
          </cell>
        </row>
        <row r="82">
          <cell r="Q82" t="str">
            <v>MT</v>
          </cell>
        </row>
        <row r="83">
          <cell r="Q83" t="str">
            <v>MS</v>
          </cell>
        </row>
        <row r="84">
          <cell r="Q84" t="str">
            <v>PR</v>
          </cell>
        </row>
        <row r="85">
          <cell r="Q85" t="str">
            <v>PR</v>
          </cell>
        </row>
        <row r="86">
          <cell r="Q86" t="str">
            <v>MT</v>
          </cell>
        </row>
        <row r="87">
          <cell r="Q87" t="str">
            <v>PR</v>
          </cell>
        </row>
        <row r="88">
          <cell r="Q88" t="str">
            <v>MS</v>
          </cell>
        </row>
        <row r="89">
          <cell r="Q89" t="str">
            <v>PR</v>
          </cell>
        </row>
        <row r="90">
          <cell r="Q90" t="str">
            <v>SP</v>
          </cell>
        </row>
        <row r="91">
          <cell r="Q91" t="str">
            <v>PR</v>
          </cell>
        </row>
        <row r="92">
          <cell r="Q92" t="str">
            <v>PR</v>
          </cell>
        </row>
        <row r="93">
          <cell r="Q93" t="str">
            <v>PR</v>
          </cell>
        </row>
        <row r="94">
          <cell r="Q94" t="str">
            <v>PR</v>
          </cell>
        </row>
        <row r="95">
          <cell r="Q95" t="str">
            <v>PR</v>
          </cell>
        </row>
        <row r="96">
          <cell r="Q96" t="str">
            <v>SP</v>
          </cell>
        </row>
        <row r="97">
          <cell r="Q97" t="str">
            <v>PR</v>
          </cell>
        </row>
        <row r="98">
          <cell r="Q98" t="str">
            <v>PR</v>
          </cell>
        </row>
        <row r="99">
          <cell r="Q99" t="str">
            <v>RO</v>
          </cell>
        </row>
        <row r="100">
          <cell r="Q100" t="str">
            <v>SP</v>
          </cell>
        </row>
        <row r="101">
          <cell r="Q101" t="str">
            <v>PR</v>
          </cell>
        </row>
        <row r="102">
          <cell r="Q102" t="str">
            <v>MT</v>
          </cell>
        </row>
        <row r="103">
          <cell r="Q103" t="str">
            <v>MT</v>
          </cell>
        </row>
        <row r="104">
          <cell r="Q104" t="str">
            <v>RO</v>
          </cell>
        </row>
        <row r="105">
          <cell r="Q105" t="str">
            <v xml:space="preserve"> </v>
          </cell>
        </row>
        <row r="106">
          <cell r="Q106" t="str">
            <v xml:space="preserve"> </v>
          </cell>
        </row>
        <row r="107">
          <cell r="Q107" t="str">
            <v xml:space="preserve"> </v>
          </cell>
        </row>
        <row r="108">
          <cell r="Q108" t="str">
            <v xml:space="preserve"> </v>
          </cell>
        </row>
      </sheetData>
      <sheetData sheetId="2">
        <row r="9">
          <cell r="F9">
            <v>3</v>
          </cell>
        </row>
        <row r="10">
          <cell r="F10" t="str">
            <v>LONDRINA</v>
          </cell>
        </row>
        <row r="11">
          <cell r="F11" t="str">
            <v>CAMPO_GRANDE</v>
          </cell>
        </row>
        <row r="12">
          <cell r="F12" t="str">
            <v>CUIABA</v>
          </cell>
        </row>
        <row r="13">
          <cell r="F13" t="str">
            <v>-</v>
          </cell>
        </row>
        <row r="14">
          <cell r="F14" t="str">
            <v>-</v>
          </cell>
        </row>
        <row r="15">
          <cell r="F15" t="str">
            <v>-</v>
          </cell>
        </row>
        <row r="16">
          <cell r="F16" t="str">
            <v>-</v>
          </cell>
        </row>
      </sheetData>
      <sheetData sheetId="3"/>
      <sheetData sheetId="4"/>
      <sheetData sheetId="5">
        <row r="5">
          <cell r="B5" t="str">
            <v>Petróleo &amp; Escuros</v>
          </cell>
        </row>
        <row r="6">
          <cell r="B6" t="str">
            <v>GLP &amp; Claros</v>
          </cell>
        </row>
        <row r="9">
          <cell r="B9" t="str">
            <v>GLP</v>
          </cell>
        </row>
        <row r="10">
          <cell r="B10" t="str">
            <v>Nafta</v>
          </cell>
        </row>
        <row r="11">
          <cell r="B11" t="str">
            <v>Gasolina</v>
          </cell>
        </row>
        <row r="12">
          <cell r="B12" t="str">
            <v>QAV</v>
          </cell>
        </row>
        <row r="13">
          <cell r="B13" t="str">
            <v>Diesel</v>
          </cell>
        </row>
        <row r="14">
          <cell r="B14" t="str">
            <v>Gasóleo</v>
          </cell>
        </row>
        <row r="15">
          <cell r="B15" t="str">
            <v>Óleo Combustível</v>
          </cell>
        </row>
        <row r="16">
          <cell r="B16" t="str">
            <v>Claros</v>
          </cell>
        </row>
        <row r="17">
          <cell r="B17" t="str">
            <v>Escuros</v>
          </cell>
        </row>
        <row r="18">
          <cell r="B18" t="str">
            <v>Petróleo</v>
          </cell>
        </row>
        <row r="39">
          <cell r="J39" t="str">
            <v>CAMPO_GRANDE</v>
          </cell>
          <cell r="K39" t="str">
            <v>MS</v>
          </cell>
          <cell r="M39" t="str">
            <v xml:space="preserve"> </v>
          </cell>
        </row>
        <row r="40">
          <cell r="J40" t="str">
            <v>CUIABA</v>
          </cell>
          <cell r="K40" t="str">
            <v>MT</v>
          </cell>
          <cell r="M40" t="str">
            <v xml:space="preserve"> </v>
          </cell>
        </row>
        <row r="41">
          <cell r="J41" t="str">
            <v>LONDRINA</v>
          </cell>
          <cell r="K41" t="str">
            <v>PR</v>
          </cell>
          <cell r="M41" t="str">
            <v>SAO_JOSE_DO_RIO_PRETO</v>
          </cell>
        </row>
        <row r="42">
          <cell r="J42" t="str">
            <v>MARINGA</v>
          </cell>
          <cell r="K42" t="str">
            <v>PR</v>
          </cell>
          <cell r="M42" t="str">
            <v>BARRA_DO_GARCAS</v>
          </cell>
        </row>
        <row r="43">
          <cell r="J43" t="str">
            <v>PRESIDENTE_PRUDENTE</v>
          </cell>
          <cell r="K43" t="str">
            <v>SP</v>
          </cell>
          <cell r="M43" t="str">
            <v xml:space="preserve"> </v>
          </cell>
        </row>
        <row r="44">
          <cell r="J44" t="str">
            <v>OURINHOS</v>
          </cell>
          <cell r="K44" t="str">
            <v>SP</v>
          </cell>
          <cell r="M44" t="str">
            <v xml:space="preserve"> </v>
          </cell>
        </row>
        <row r="45">
          <cell r="J45" t="str">
            <v>CASCAVEL</v>
          </cell>
          <cell r="K45" t="str">
            <v>PR</v>
          </cell>
          <cell r="M45" t="str">
            <v xml:space="preserve"> </v>
          </cell>
        </row>
        <row r="46">
          <cell r="J46" t="str">
            <v>VARZEA_GRANDE</v>
          </cell>
          <cell r="K46" t="str">
            <v>MT</v>
          </cell>
          <cell r="M46" t="str">
            <v xml:space="preserve"> </v>
          </cell>
        </row>
        <row r="47">
          <cell r="J47" t="str">
            <v>SINOP</v>
          </cell>
          <cell r="K47" t="str">
            <v>MT</v>
          </cell>
          <cell r="M47" t="str">
            <v xml:space="preserve"> </v>
          </cell>
        </row>
        <row r="48">
          <cell r="J48" t="str">
            <v>DOURADOS</v>
          </cell>
          <cell r="K48" t="str">
            <v>MS</v>
          </cell>
          <cell r="M48" t="str">
            <v xml:space="preserve"> </v>
          </cell>
        </row>
        <row r="49">
          <cell r="J49" t="str">
            <v>PORTO_VELHO</v>
          </cell>
          <cell r="K49" t="str">
            <v>RO</v>
          </cell>
          <cell r="M49" t="str">
            <v xml:space="preserve"> </v>
          </cell>
        </row>
        <row r="50">
          <cell r="J50" t="str">
            <v>CIANORTE</v>
          </cell>
          <cell r="K50" t="str">
            <v>PR</v>
          </cell>
          <cell r="M50" t="str">
            <v>GAVIAO_PEIXOTO</v>
          </cell>
        </row>
        <row r="51">
          <cell r="J51" t="str">
            <v>VILHENA</v>
          </cell>
          <cell r="K51" t="str">
            <v>RO</v>
          </cell>
          <cell r="M51" t="str">
            <v>GUARAPUAVA</v>
          </cell>
        </row>
        <row r="52">
          <cell r="J52" t="str">
            <v>PAICANDU</v>
          </cell>
          <cell r="K52" t="str">
            <v>PR</v>
          </cell>
          <cell r="M52" t="str">
            <v xml:space="preserve"> </v>
          </cell>
        </row>
        <row r="53">
          <cell r="J53" t="str">
            <v>ARACATUBA</v>
          </cell>
          <cell r="K53" t="str">
            <v>SP</v>
          </cell>
          <cell r="M53" t="str">
            <v xml:space="preserve"> </v>
          </cell>
        </row>
        <row r="54">
          <cell r="J54" t="str">
            <v>NOVA_ESPERANCA</v>
          </cell>
          <cell r="K54" t="str">
            <v>PR</v>
          </cell>
          <cell r="M54" t="str">
            <v xml:space="preserve"> </v>
          </cell>
        </row>
        <row r="55">
          <cell r="J55" t="str">
            <v>REGENTE_FEIJO</v>
          </cell>
          <cell r="K55" t="str">
            <v>SP</v>
          </cell>
          <cell r="M55" t="str">
            <v xml:space="preserve"> </v>
          </cell>
        </row>
        <row r="56">
          <cell r="J56" t="str">
            <v>JACAREZINHO</v>
          </cell>
          <cell r="K56" t="str">
            <v>PR</v>
          </cell>
          <cell r="M56" t="str">
            <v xml:space="preserve"> </v>
          </cell>
        </row>
        <row r="57">
          <cell r="J57" t="str">
            <v>DOIS_VIZINHOS</v>
          </cell>
          <cell r="K57" t="str">
            <v>PR</v>
          </cell>
          <cell r="M57" t="str">
            <v xml:space="preserve"> </v>
          </cell>
        </row>
        <row r="58">
          <cell r="J58" t="str">
            <v xml:space="preserve"> </v>
          </cell>
          <cell r="K58" t="str">
            <v xml:space="preserve"> </v>
          </cell>
          <cell r="M58" t="str">
            <v>PONTA_GROSSA</v>
          </cell>
        </row>
        <row r="59">
          <cell r="J59" t="str">
            <v xml:space="preserve"> </v>
          </cell>
          <cell r="K59" t="str">
            <v xml:space="preserve"> </v>
          </cell>
          <cell r="M59" t="str">
            <v xml:space="preserve"> </v>
          </cell>
        </row>
        <row r="60">
          <cell r="J60" t="str">
            <v xml:space="preserve"> </v>
          </cell>
          <cell r="K60" t="str">
            <v xml:space="preserve"> </v>
          </cell>
          <cell r="M60" t="str">
            <v xml:space="preserve"> </v>
          </cell>
        </row>
        <row r="61">
          <cell r="J61" t="str">
            <v xml:space="preserve"> </v>
          </cell>
          <cell r="K61" t="str">
            <v xml:space="preserve"> </v>
          </cell>
          <cell r="M61" t="str">
            <v>RENASCENCA</v>
          </cell>
        </row>
        <row r="62">
          <cell r="J62" t="str">
            <v xml:space="preserve"> </v>
          </cell>
          <cell r="K62" t="str">
            <v xml:space="preserve"> </v>
          </cell>
          <cell r="M62" t="str">
            <v xml:space="preserve"> </v>
          </cell>
        </row>
        <row r="63">
          <cell r="J63" t="str">
            <v xml:space="preserve"> </v>
          </cell>
          <cell r="K63" t="str">
            <v xml:space="preserve"> </v>
          </cell>
          <cell r="M63" t="str">
            <v xml:space="preserve"> </v>
          </cell>
        </row>
        <row r="64">
          <cell r="J64" t="str">
            <v xml:space="preserve"> </v>
          </cell>
          <cell r="K64" t="str">
            <v xml:space="preserve"> </v>
          </cell>
          <cell r="M64" t="str">
            <v xml:space="preserve"> </v>
          </cell>
        </row>
        <row r="65">
          <cell r="J65" t="str">
            <v xml:space="preserve"> </v>
          </cell>
          <cell r="K65" t="str">
            <v xml:space="preserve"> </v>
          </cell>
          <cell r="M65" t="str">
            <v xml:space="preserve"> </v>
          </cell>
        </row>
        <row r="66">
          <cell r="J66" t="str">
            <v xml:space="preserve"> </v>
          </cell>
          <cell r="K66" t="str">
            <v xml:space="preserve"> </v>
          </cell>
          <cell r="M66" t="str">
            <v xml:space="preserve"> </v>
          </cell>
        </row>
        <row r="67">
          <cell r="J67" t="str">
            <v xml:space="preserve"> </v>
          </cell>
          <cell r="K67" t="str">
            <v xml:space="preserve"> </v>
          </cell>
          <cell r="M67" t="str">
            <v xml:space="preserve"> </v>
          </cell>
        </row>
        <row r="68">
          <cell r="J68" t="str">
            <v xml:space="preserve"> </v>
          </cell>
          <cell r="K68" t="str">
            <v xml:space="preserve"> </v>
          </cell>
          <cell r="M68" t="str">
            <v xml:space="preserve"> </v>
          </cell>
        </row>
      </sheetData>
      <sheetData sheetId="6">
        <row r="13">
          <cell r="E13" t="str">
            <v>ARACATUBA</v>
          </cell>
          <cell r="F13">
            <v>499.06654248264152</v>
          </cell>
          <cell r="G13">
            <v>499.06654248264152</v>
          </cell>
          <cell r="H13">
            <v>273.05548292720022</v>
          </cell>
          <cell r="I13">
            <v>304.8969986482993</v>
          </cell>
          <cell r="J13">
            <v>339.98358873873929</v>
          </cell>
          <cell r="K13">
            <v>518.74846012199157</v>
          </cell>
          <cell r="L13">
            <v>659.06895974032284</v>
          </cell>
          <cell r="M13">
            <v>971.70992658092314</v>
          </cell>
          <cell r="N13">
            <v>245.79935912533125</v>
          </cell>
          <cell r="O13">
            <v>441.9179545392567</v>
          </cell>
          <cell r="P13">
            <v>863.5302493815575</v>
          </cell>
          <cell r="Q13" t="str">
            <v xml:space="preserve"> </v>
          </cell>
          <cell r="R13" t="str">
            <v xml:space="preserve"> </v>
          </cell>
          <cell r="S13" t="str">
            <v xml:space="preserve"> </v>
          </cell>
          <cell r="T13" t="str">
            <v xml:space="preserve"> </v>
          </cell>
          <cell r="U13">
            <v>273.05548292720022</v>
          </cell>
          <cell r="V13">
            <v>245.79935912533125</v>
          </cell>
          <cell r="W13" t="str">
            <v>LONDRINA</v>
          </cell>
        </row>
        <row r="14">
          <cell r="E14" t="str">
            <v>REGENTE_FEIJO</v>
          </cell>
          <cell r="F14">
            <v>421.74992017865929</v>
          </cell>
          <cell r="G14">
            <v>421.74992017865929</v>
          </cell>
          <cell r="H14">
            <v>379.23861841926328</v>
          </cell>
          <cell r="I14">
            <v>443.23857978867449</v>
          </cell>
          <cell r="J14">
            <v>483.62587379849299</v>
          </cell>
          <cell r="K14">
            <v>654.30899930940859</v>
          </cell>
          <cell r="L14">
            <v>799.57493008453253</v>
          </cell>
          <cell r="M14">
            <v>856.11665741019169</v>
          </cell>
          <cell r="N14">
            <v>122.26625035310126</v>
          </cell>
          <cell r="O14">
            <v>395.08143367560592</v>
          </cell>
          <cell r="P14">
            <v>893.45163281093585</v>
          </cell>
          <cell r="Q14" t="str">
            <v xml:space="preserve"> </v>
          </cell>
          <cell r="R14" t="str">
            <v xml:space="preserve"> </v>
          </cell>
          <cell r="S14" t="str">
            <v xml:space="preserve"> </v>
          </cell>
          <cell r="T14" t="str">
            <v xml:space="preserve"> </v>
          </cell>
          <cell r="U14">
            <v>379.23861841926328</v>
          </cell>
          <cell r="V14">
            <v>122.26625035310126</v>
          </cell>
          <cell r="W14" t="str">
            <v>LONDRINA</v>
          </cell>
        </row>
        <row r="15">
          <cell r="E15" t="str">
            <v>SAO_JOSE_DO_RIO_PRETO</v>
          </cell>
          <cell r="F15">
            <v>531.40566317379569</v>
          </cell>
          <cell r="G15">
            <v>531.40566317379569</v>
          </cell>
          <cell r="H15">
            <v>168.74459010680826</v>
          </cell>
          <cell r="I15">
            <v>190.24541055842792</v>
          </cell>
          <cell r="J15">
            <v>240.10430112792838</v>
          </cell>
          <cell r="K15">
            <v>456.28492973686002</v>
          </cell>
          <cell r="L15">
            <v>579.86329220679704</v>
          </cell>
          <cell r="M15">
            <v>1028.5105114787441</v>
          </cell>
          <cell r="N15">
            <v>333.07773807020322</v>
          </cell>
          <cell r="O15">
            <v>546.09667685838747</v>
          </cell>
          <cell r="P15">
            <v>915.99612809681832</v>
          </cell>
          <cell r="Q15" t="str">
            <v xml:space="preserve"> </v>
          </cell>
          <cell r="R15" t="str">
            <v xml:space="preserve"> </v>
          </cell>
          <cell r="S15" t="str">
            <v xml:space="preserve"> </v>
          </cell>
          <cell r="T15" t="str">
            <v xml:space="preserve"> </v>
          </cell>
          <cell r="U15">
            <v>168.74459010680826</v>
          </cell>
          <cell r="V15">
            <v>333.07773807020322</v>
          </cell>
          <cell r="W15" t="str">
            <v xml:space="preserve"> </v>
          </cell>
        </row>
        <row r="16">
          <cell r="E16" t="str">
            <v>BARRA_DO_GARCAS</v>
          </cell>
          <cell r="F16">
            <v>1118.9770318916303</v>
          </cell>
          <cell r="G16">
            <v>1118.9770318916303</v>
          </cell>
          <cell r="H16">
            <v>753.10211317274468</v>
          </cell>
          <cell r="I16">
            <v>621.11371396335733</v>
          </cell>
          <cell r="J16">
            <v>540.3921335523745</v>
          </cell>
          <cell r="K16">
            <v>350.90861687757831</v>
          </cell>
          <cell r="L16">
            <v>467.83614104686706</v>
          </cell>
          <cell r="M16">
            <v>1563.9451981566499</v>
          </cell>
          <cell r="N16">
            <v>833.40229942074382</v>
          </cell>
          <cell r="O16">
            <v>565.71200236255913</v>
          </cell>
          <cell r="P16">
            <v>409.63072442387283</v>
          </cell>
          <cell r="Q16" t="str">
            <v xml:space="preserve"> </v>
          </cell>
          <cell r="R16" t="str">
            <v xml:space="preserve"> </v>
          </cell>
          <cell r="S16" t="str">
            <v xml:space="preserve"> </v>
          </cell>
          <cell r="T16" t="str">
            <v xml:space="preserve"> </v>
          </cell>
          <cell r="U16">
            <v>350.90861687757831</v>
          </cell>
          <cell r="V16">
            <v>409.63072442387283</v>
          </cell>
          <cell r="W16" t="str">
            <v xml:space="preserve"> </v>
          </cell>
        </row>
        <row r="17">
          <cell r="E17" t="str">
            <v>CAMPO_GRANDE</v>
          </cell>
          <cell r="F17">
            <v>781.16247714975862</v>
          </cell>
          <cell r="G17">
            <v>781.16247714975862</v>
          </cell>
          <cell r="H17">
            <v>712.35190446992419</v>
          </cell>
          <cell r="I17">
            <v>697.48314019515215</v>
          </cell>
          <cell r="J17">
            <v>685.17990962575516</v>
          </cell>
          <cell r="K17">
            <v>715.63018475679849</v>
          </cell>
          <cell r="L17">
            <v>879.78129562619893</v>
          </cell>
          <cell r="M17">
            <v>1107.0879497990854</v>
          </cell>
          <cell r="N17">
            <v>477.08811164064713</v>
          </cell>
          <cell r="O17">
            <v>0</v>
          </cell>
          <cell r="P17">
            <v>564.9377432546413</v>
          </cell>
          <cell r="Q17" t="str">
            <v xml:space="preserve"> </v>
          </cell>
          <cell r="R17" t="str">
            <v xml:space="preserve"> </v>
          </cell>
          <cell r="S17" t="str">
            <v xml:space="preserve"> </v>
          </cell>
          <cell r="T17" t="str">
            <v xml:space="preserve"> </v>
          </cell>
          <cell r="U17">
            <v>685.17990962575516</v>
          </cell>
          <cell r="V17">
            <v>0</v>
          </cell>
          <cell r="W17" t="str">
            <v>CAMPO_GRANDE</v>
          </cell>
        </row>
        <row r="18">
          <cell r="E18" t="str">
            <v>CASCAVEL</v>
          </cell>
          <cell r="F18">
            <v>414.11795637968243</v>
          </cell>
          <cell r="G18">
            <v>414.11795637968243</v>
          </cell>
          <cell r="H18">
            <v>714.14777526708042</v>
          </cell>
          <cell r="I18">
            <v>810.18313198990313</v>
          </cell>
          <cell r="J18">
            <v>857.63155446836015</v>
          </cell>
          <cell r="K18">
            <v>1021.9699792563218</v>
          </cell>
          <cell r="L18">
            <v>1172.0269237729326</v>
          </cell>
          <cell r="M18">
            <v>596.06660534955085</v>
          </cell>
          <cell r="N18">
            <v>296.0466006836001</v>
          </cell>
          <cell r="O18">
            <v>513.76746318261587</v>
          </cell>
          <cell r="P18">
            <v>1078.3507539111445</v>
          </cell>
          <cell r="Q18" t="str">
            <v xml:space="preserve"> </v>
          </cell>
          <cell r="R18" t="str">
            <v xml:space="preserve"> </v>
          </cell>
          <cell r="S18" t="str">
            <v xml:space="preserve"> </v>
          </cell>
          <cell r="T18" t="str">
            <v xml:space="preserve"> </v>
          </cell>
          <cell r="U18">
            <v>414.11795637968243</v>
          </cell>
          <cell r="V18">
            <v>296.0466006836001</v>
          </cell>
          <cell r="W18" t="str">
            <v>LONDRINA</v>
          </cell>
        </row>
        <row r="19">
          <cell r="E19" t="str">
            <v>CIANORTE</v>
          </cell>
          <cell r="F19">
            <v>389.24746645572463</v>
          </cell>
          <cell r="G19">
            <v>389.24746645572463</v>
          </cell>
          <cell r="H19">
            <v>564.89322633154916</v>
          </cell>
          <cell r="I19">
            <v>648.26098768713405</v>
          </cell>
          <cell r="J19">
            <v>691.6552003994401</v>
          </cell>
          <cell r="K19">
            <v>854.1096536228805</v>
          </cell>
          <cell r="L19">
            <v>1003.7299584066814</v>
          </cell>
          <cell r="M19">
            <v>710.87566509789769</v>
          </cell>
          <cell r="N19">
            <v>152.32234477327279</v>
          </cell>
          <cell r="O19">
            <v>411.12504500785815</v>
          </cell>
          <cell r="P19">
            <v>969.19328162014313</v>
          </cell>
          <cell r="Q19" t="str">
            <v xml:space="preserve"> </v>
          </cell>
          <cell r="R19" t="str">
            <v xml:space="preserve"> </v>
          </cell>
          <cell r="S19" t="str">
            <v xml:space="preserve"> </v>
          </cell>
          <cell r="T19" t="str">
            <v xml:space="preserve"> </v>
          </cell>
          <cell r="U19">
            <v>389.24746645572463</v>
          </cell>
          <cell r="V19">
            <v>152.32234477327279</v>
          </cell>
          <cell r="W19" t="str">
            <v>LONDRINA</v>
          </cell>
        </row>
        <row r="20">
          <cell r="E20" t="str">
            <v>CUIABA</v>
          </cell>
          <cell r="F20">
            <v>1312.3502220046962</v>
          </cell>
          <cell r="G20">
            <v>1312.3502220046962</v>
          </cell>
          <cell r="H20">
            <v>1072.3934297100486</v>
          </cell>
          <cell r="I20">
            <v>972.92345862920547</v>
          </cell>
          <cell r="J20">
            <v>907.54671694846104</v>
          </cell>
          <cell r="K20">
            <v>756.89932914555982</v>
          </cell>
          <cell r="L20">
            <v>876.58837389017003</v>
          </cell>
          <cell r="M20">
            <v>1671.9109542565823</v>
          </cell>
          <cell r="N20">
            <v>1002.8303578593741</v>
          </cell>
          <cell r="O20">
            <v>564.9377432546413</v>
          </cell>
          <cell r="P20">
            <v>9.4935297966003418E-5</v>
          </cell>
          <cell r="Q20" t="str">
            <v xml:space="preserve"> </v>
          </cell>
          <cell r="R20" t="str">
            <v xml:space="preserve"> </v>
          </cell>
          <cell r="S20" t="str">
            <v xml:space="preserve"> </v>
          </cell>
          <cell r="T20" t="str">
            <v xml:space="preserve"> </v>
          </cell>
          <cell r="U20">
            <v>756.89932914555982</v>
          </cell>
          <cell r="V20">
            <v>9.4935297966003418E-5</v>
          </cell>
          <cell r="W20" t="str">
            <v>CUIABA</v>
          </cell>
        </row>
        <row r="21">
          <cell r="E21" t="str">
            <v>DOIS_VIZINHOS</v>
          </cell>
          <cell r="F21">
            <v>366.48878031476886</v>
          </cell>
          <cell r="G21">
            <v>366.48878031476886</v>
          </cell>
          <cell r="H21">
            <v>737.3248114420486</v>
          </cell>
          <cell r="I21">
            <v>848.55300891852937</v>
          </cell>
          <cell r="J21">
            <v>904.00579111673551</v>
          </cell>
          <cell r="K21">
            <v>1084.5065992754455</v>
          </cell>
          <cell r="L21">
            <v>1229.6698840070749</v>
          </cell>
          <cell r="M21">
            <v>499.19973749974713</v>
          </cell>
          <cell r="N21">
            <v>331.46098858505161</v>
          </cell>
          <cell r="O21">
            <v>609.26078497862432</v>
          </cell>
          <cell r="P21">
            <v>1174.1369586835053</v>
          </cell>
          <cell r="Q21" t="str">
            <v xml:space="preserve"> </v>
          </cell>
          <cell r="R21" t="str">
            <v xml:space="preserve"> </v>
          </cell>
          <cell r="S21" t="str">
            <v xml:space="preserve"> </v>
          </cell>
          <cell r="T21" t="str">
            <v xml:space="preserve"> </v>
          </cell>
          <cell r="U21">
            <v>366.48878031476886</v>
          </cell>
          <cell r="V21">
            <v>331.46098858505161</v>
          </cell>
          <cell r="W21" t="str">
            <v>LONDRINA</v>
          </cell>
        </row>
        <row r="22">
          <cell r="E22" t="str">
            <v>DOURADOS</v>
          </cell>
          <cell r="F22">
            <v>664.93895603255498</v>
          </cell>
          <cell r="G22">
            <v>664.93895603255498</v>
          </cell>
          <cell r="H22">
            <v>732.9210165337978</v>
          </cell>
          <cell r="I22">
            <v>761.90299574289497</v>
          </cell>
          <cell r="J22">
            <v>773.0911073973524</v>
          </cell>
          <cell r="K22">
            <v>857.19676216063078</v>
          </cell>
          <cell r="L22">
            <v>1020.1239173374745</v>
          </cell>
          <cell r="M22">
            <v>928.75001611117136</v>
          </cell>
          <cell r="N22">
            <v>393.03381954772078</v>
          </cell>
          <cell r="O22">
            <v>197.76628529117289</v>
          </cell>
          <cell r="P22">
            <v>752.04472485266081</v>
          </cell>
          <cell r="Q22" t="str">
            <v xml:space="preserve"> </v>
          </cell>
          <cell r="R22" t="str">
            <v xml:space="preserve"> </v>
          </cell>
          <cell r="S22" t="str">
            <v xml:space="preserve"> </v>
          </cell>
          <cell r="T22" t="str">
            <v xml:space="preserve"> </v>
          </cell>
          <cell r="U22">
            <v>664.93895603255498</v>
          </cell>
          <cell r="V22">
            <v>197.76628529117289</v>
          </cell>
          <cell r="W22" t="str">
            <v>CAMPO_GRANDE</v>
          </cell>
        </row>
        <row r="23">
          <cell r="E23" t="str">
            <v>FOZ_DO_IGUACU</v>
          </cell>
          <cell r="F23">
            <v>520.10269638354941</v>
          </cell>
          <cell r="G23">
            <v>520.10269638354941</v>
          </cell>
          <cell r="H23">
            <v>844.72074956246661</v>
          </cell>
          <cell r="I23">
            <v>937.42546109466286</v>
          </cell>
          <cell r="J23">
            <v>981.52035747076866</v>
          </cell>
          <cell r="K23">
            <v>1134.4829739851025</v>
          </cell>
          <cell r="L23">
            <v>1288.0321122602206</v>
          </cell>
          <cell r="M23">
            <v>590.82007146805995</v>
          </cell>
          <cell r="N23">
            <v>426.22095119415422</v>
          </cell>
          <cell r="O23">
            <v>565.37411544481154</v>
          </cell>
          <cell r="P23">
            <v>1119.59656976923</v>
          </cell>
          <cell r="Q23" t="str">
            <v xml:space="preserve"> </v>
          </cell>
          <cell r="R23" t="str">
            <v xml:space="preserve"> </v>
          </cell>
          <cell r="S23" t="str">
            <v xml:space="preserve"> </v>
          </cell>
          <cell r="T23" t="str">
            <v xml:space="preserve"> </v>
          </cell>
          <cell r="U23">
            <v>520.10269638354941</v>
          </cell>
          <cell r="V23">
            <v>426.22095119415422</v>
          </cell>
          <cell r="W23" t="str">
            <v>LONDRINA</v>
          </cell>
        </row>
        <row r="24">
          <cell r="E24" t="str">
            <v>GAVIAO_PEIXOTO</v>
          </cell>
          <cell r="F24">
            <v>427.20387129976933</v>
          </cell>
          <cell r="G24">
            <v>427.20387129976933</v>
          </cell>
          <cell r="H24">
            <v>102.01932012924787</v>
          </cell>
          <cell r="I24">
            <v>242.40460461271425</v>
          </cell>
          <cell r="J24">
            <v>325.63131528722505</v>
          </cell>
          <cell r="K24">
            <v>572.89949902098954</v>
          </cell>
          <cell r="L24">
            <v>675.34603333953055</v>
          </cell>
          <cell r="M24">
            <v>937.47896067137094</v>
          </cell>
          <cell r="N24">
            <v>319.02387171845737</v>
          </cell>
          <cell r="O24">
            <v>652.9928829668778</v>
          </cell>
          <cell r="P24">
            <v>1059.3199427589423</v>
          </cell>
          <cell r="Q24" t="str">
            <v xml:space="preserve"> </v>
          </cell>
          <cell r="R24" t="str">
            <v xml:space="preserve"> </v>
          </cell>
          <cell r="S24" t="str">
            <v xml:space="preserve"> </v>
          </cell>
          <cell r="T24" t="str">
            <v xml:space="preserve"> </v>
          </cell>
          <cell r="U24">
            <v>102.01932012924787</v>
          </cell>
          <cell r="V24">
            <v>319.02387171845737</v>
          </cell>
          <cell r="W24" t="str">
            <v xml:space="preserve"> </v>
          </cell>
        </row>
        <row r="25">
          <cell r="E25" t="str">
            <v>GUARAPUAVA</v>
          </cell>
          <cell r="F25">
            <v>208.07642918175111</v>
          </cell>
          <cell r="G25">
            <v>208.07642918175111</v>
          </cell>
          <cell r="H25">
            <v>598.74231369762845</v>
          </cell>
          <cell r="I25">
            <v>725.56247317224597</v>
          </cell>
          <cell r="J25">
            <v>791.05010669432227</v>
          </cell>
          <cell r="K25">
            <v>995.53112577412344</v>
          </cell>
          <cell r="L25">
            <v>1130.2315830387652</v>
          </cell>
          <cell r="M25">
            <v>503.93611663802449</v>
          </cell>
          <cell r="N25">
            <v>233.4401546164782</v>
          </cell>
          <cell r="O25">
            <v>636.63979099879725</v>
          </cell>
          <cell r="P25">
            <v>1192.8768267598564</v>
          </cell>
          <cell r="Q25" t="str">
            <v xml:space="preserve"> </v>
          </cell>
          <cell r="R25" t="str">
            <v xml:space="preserve"> </v>
          </cell>
          <cell r="S25" t="str">
            <v xml:space="preserve"> </v>
          </cell>
          <cell r="T25" t="str">
            <v xml:space="preserve"> </v>
          </cell>
          <cell r="U25">
            <v>208.07642918175111</v>
          </cell>
          <cell r="V25">
            <v>233.4401546164782</v>
          </cell>
          <cell r="W25" t="str">
            <v xml:space="preserve"> </v>
          </cell>
        </row>
        <row r="26">
          <cell r="E26" t="str">
            <v>JACAREZINHO</v>
          </cell>
          <cell r="F26">
            <v>276.60798111804434</v>
          </cell>
          <cell r="G26">
            <v>276.60798111804434</v>
          </cell>
          <cell r="H26">
            <v>313.53862583321376</v>
          </cell>
          <cell r="I26">
            <v>435.30481787856758</v>
          </cell>
          <cell r="J26">
            <v>503.51473429739167</v>
          </cell>
          <cell r="K26">
            <v>722.2823404482067</v>
          </cell>
          <cell r="L26">
            <v>847.82705324721223</v>
          </cell>
          <cell r="M26">
            <v>760.96084597941513</v>
          </cell>
          <cell r="N26">
            <v>122.17135238263155</v>
          </cell>
          <cell r="O26">
            <v>565.13041003887895</v>
          </cell>
          <cell r="P26">
            <v>1058.4058927784772</v>
          </cell>
          <cell r="Q26" t="str">
            <v xml:space="preserve"> </v>
          </cell>
          <cell r="R26" t="str">
            <v xml:space="preserve"> </v>
          </cell>
          <cell r="S26" t="str">
            <v xml:space="preserve"> </v>
          </cell>
          <cell r="T26" t="str">
            <v xml:space="preserve"> </v>
          </cell>
          <cell r="U26">
            <v>276.60798111804434</v>
          </cell>
          <cell r="V26">
            <v>122.17135238263155</v>
          </cell>
          <cell r="W26" t="str">
            <v>LONDRINA</v>
          </cell>
        </row>
        <row r="27">
          <cell r="E27" t="str">
            <v>LONDRINA</v>
          </cell>
          <cell r="F27">
            <v>309.84869082587034</v>
          </cell>
          <cell r="G27">
            <v>309.84869082587034</v>
          </cell>
          <cell r="H27">
            <v>418.70533730720217</v>
          </cell>
          <cell r="I27">
            <v>517.90336195131454</v>
          </cell>
          <cell r="J27">
            <v>572.80652900695827</v>
          </cell>
          <cell r="K27">
            <v>764.49970857458788</v>
          </cell>
          <cell r="L27">
            <v>903.52761609353911</v>
          </cell>
          <cell r="M27">
            <v>734.61604677546586</v>
          </cell>
          <cell r="N27">
            <v>0</v>
          </cell>
          <cell r="O27">
            <v>477.08811164064713</v>
          </cell>
          <cell r="P27">
            <v>1002.8303578593741</v>
          </cell>
          <cell r="Q27" t="str">
            <v xml:space="preserve"> </v>
          </cell>
          <cell r="R27" t="str">
            <v xml:space="preserve"> </v>
          </cell>
          <cell r="S27" t="str">
            <v xml:space="preserve"> </v>
          </cell>
          <cell r="T27" t="str">
            <v xml:space="preserve"> </v>
          </cell>
          <cell r="U27">
            <v>309.84869082587034</v>
          </cell>
          <cell r="V27">
            <v>0</v>
          </cell>
          <cell r="W27" t="str">
            <v>LONDRINA</v>
          </cell>
        </row>
        <row r="28">
          <cell r="E28" t="str">
            <v>MARINGA</v>
          </cell>
          <cell r="F28">
            <v>352.29374586709287</v>
          </cell>
          <cell r="G28">
            <v>352.29374586709287</v>
          </cell>
          <cell r="H28">
            <v>492.70523594180003</v>
          </cell>
          <cell r="I28">
            <v>580.81657587718303</v>
          </cell>
          <cell r="J28">
            <v>628.33566002576208</v>
          </cell>
          <cell r="K28">
            <v>802.63611488668425</v>
          </cell>
          <cell r="L28">
            <v>948.28083264523229</v>
          </cell>
          <cell r="M28">
            <v>726.28589302284854</v>
          </cell>
          <cell r="N28">
            <v>80.262750862975508</v>
          </cell>
          <cell r="O28">
            <v>429.86881857553442</v>
          </cell>
          <cell r="P28">
            <v>974.50658093304878</v>
          </cell>
          <cell r="Q28" t="str">
            <v xml:space="preserve"> </v>
          </cell>
          <cell r="R28" t="str">
            <v xml:space="preserve"> </v>
          </cell>
          <cell r="S28" t="str">
            <v xml:space="preserve"> </v>
          </cell>
          <cell r="T28" t="str">
            <v xml:space="preserve"> </v>
          </cell>
          <cell r="U28">
            <v>352.29374586709287</v>
          </cell>
          <cell r="V28">
            <v>80.262750862975508</v>
          </cell>
          <cell r="W28" t="str">
            <v>LONDRINA</v>
          </cell>
        </row>
        <row r="29">
          <cell r="E29" t="str">
            <v>NOVA_ESPERANCA</v>
          </cell>
          <cell r="F29">
            <v>390.14491520092116</v>
          </cell>
          <cell r="G29">
            <v>390.14491520092116</v>
          </cell>
          <cell r="H29">
            <v>504.54972238356464</v>
          </cell>
          <cell r="I29">
            <v>582.83809426768266</v>
          </cell>
          <cell r="J29">
            <v>625.2049367968217</v>
          </cell>
          <cell r="K29">
            <v>789.21698652978387</v>
          </cell>
          <cell r="L29">
            <v>937.8936993368485</v>
          </cell>
          <cell r="M29">
            <v>755.71536561374501</v>
          </cell>
          <cell r="N29">
            <v>107.41226034727885</v>
          </cell>
          <cell r="O29">
            <v>392.18922959021808</v>
          </cell>
          <cell r="P29">
            <v>938.70290066239761</v>
          </cell>
          <cell r="Q29" t="str">
            <v xml:space="preserve"> </v>
          </cell>
          <cell r="R29" t="str">
            <v xml:space="preserve"> </v>
          </cell>
          <cell r="S29" t="str">
            <v xml:space="preserve"> </v>
          </cell>
          <cell r="T29" t="str">
            <v xml:space="preserve"> </v>
          </cell>
          <cell r="U29">
            <v>390.14491520092116</v>
          </cell>
          <cell r="V29">
            <v>107.41226034727885</v>
          </cell>
          <cell r="W29" t="str">
            <v>LONDRINA</v>
          </cell>
        </row>
        <row r="30">
          <cell r="E30" t="str">
            <v>OURINHOS</v>
          </cell>
          <cell r="F30">
            <v>294.52681792920026</v>
          </cell>
          <cell r="G30">
            <v>294.52681792920026</v>
          </cell>
          <cell r="H30">
            <v>291.39061282029508</v>
          </cell>
          <cell r="I30">
            <v>412.06711065528935</v>
          </cell>
          <cell r="J30">
            <v>480.52290960357777</v>
          </cell>
          <cell r="K30">
            <v>700.70092229637783</v>
          </cell>
          <cell r="L30">
            <v>825.26274494325037</v>
          </cell>
          <cell r="M30">
            <v>782.81002435530877</v>
          </cell>
          <cell r="N30">
            <v>137.4644244376191</v>
          </cell>
          <cell r="O30">
            <v>564.69402740232761</v>
          </cell>
          <cell r="P30">
            <v>1049.6133036586593</v>
          </cell>
          <cell r="Q30" t="str">
            <v xml:space="preserve"> </v>
          </cell>
          <cell r="R30" t="str">
            <v xml:space="preserve"> </v>
          </cell>
          <cell r="S30" t="str">
            <v xml:space="preserve"> </v>
          </cell>
          <cell r="T30" t="str">
            <v xml:space="preserve"> </v>
          </cell>
          <cell r="U30">
            <v>291.39061282029508</v>
          </cell>
          <cell r="V30">
            <v>137.4644244376191</v>
          </cell>
          <cell r="W30" t="str">
            <v>LONDRINA</v>
          </cell>
        </row>
        <row r="31">
          <cell r="E31" t="str">
            <v>PAICANDU</v>
          </cell>
          <cell r="F31">
            <v>358.02489693693502</v>
          </cell>
          <cell r="G31">
            <v>358.02489693693502</v>
          </cell>
          <cell r="H31">
            <v>504.64112144081844</v>
          </cell>
          <cell r="I31">
            <v>591.79176878086867</v>
          </cell>
          <cell r="J31">
            <v>638.52685495620642</v>
          </cell>
          <cell r="K31">
            <v>810.68870961901337</v>
          </cell>
          <cell r="L31">
            <v>957.08436610992726</v>
          </cell>
          <cell r="M31">
            <v>723.61759069124048</v>
          </cell>
          <cell r="N31">
            <v>92.228442373975469</v>
          </cell>
          <cell r="O31">
            <v>425.5719234104983</v>
          </cell>
          <cell r="P31">
            <v>972.85896205872791</v>
          </cell>
          <cell r="Q31" t="str">
            <v xml:space="preserve"> </v>
          </cell>
          <cell r="R31" t="str">
            <v xml:space="preserve"> </v>
          </cell>
          <cell r="S31" t="str">
            <v xml:space="preserve"> </v>
          </cell>
          <cell r="T31" t="str">
            <v xml:space="preserve"> </v>
          </cell>
          <cell r="U31">
            <v>358.02489693693502</v>
          </cell>
          <cell r="V31">
            <v>92.228442373975469</v>
          </cell>
          <cell r="W31" t="str">
            <v>LONDRINA</v>
          </cell>
        </row>
        <row r="32">
          <cell r="E32" t="str">
            <v>PONTA_GROSSA</v>
          </cell>
          <cell r="F32">
            <v>94.368860670413056</v>
          </cell>
          <cell r="G32">
            <v>94.368860670413056</v>
          </cell>
          <cell r="H32">
            <v>496.79096053389509</v>
          </cell>
          <cell r="I32">
            <v>638.60341025930848</v>
          </cell>
          <cell r="J32">
            <v>713.36316010863641</v>
          </cell>
          <cell r="K32">
            <v>937.77905494241872</v>
          </cell>
          <cell r="L32">
            <v>1060.6476138316218</v>
          </cell>
          <cell r="M32">
            <v>545.97352773515627</v>
          </cell>
          <cell r="N32">
            <v>222.49629255265017</v>
          </cell>
          <cell r="O32">
            <v>688.42917029442742</v>
          </cell>
          <cell r="P32">
            <v>1224.6909699160535</v>
          </cell>
          <cell r="Q32" t="str">
            <v xml:space="preserve"> </v>
          </cell>
          <cell r="R32" t="str">
            <v xml:space="preserve"> </v>
          </cell>
          <cell r="S32" t="str">
            <v xml:space="preserve"> </v>
          </cell>
          <cell r="T32" t="str">
            <v xml:space="preserve"> </v>
          </cell>
          <cell r="U32">
            <v>94.368860670413056</v>
          </cell>
          <cell r="V32">
            <v>222.49629255265017</v>
          </cell>
          <cell r="W32" t="str">
            <v xml:space="preserve"> </v>
          </cell>
        </row>
        <row r="33">
          <cell r="E33" t="str">
            <v>PORTO_VELHO</v>
          </cell>
          <cell r="F33">
            <v>2413.7173899884056</v>
          </cell>
          <cell r="G33">
            <v>2413.7173899884056</v>
          </cell>
          <cell r="H33">
            <v>2203.1947034277323</v>
          </cell>
          <cell r="I33">
            <v>2094.4509027419654</v>
          </cell>
          <cell r="J33">
            <v>2020.8679181171819</v>
          </cell>
          <cell r="K33">
            <v>1825.5996304382707</v>
          </cell>
          <cell r="L33">
            <v>1898.8914395671211</v>
          </cell>
          <cell r="M33">
            <v>2695.1785672606661</v>
          </cell>
          <cell r="N33">
            <v>2105.9779712388681</v>
          </cell>
          <cell r="O33">
            <v>1633.5268396559245</v>
          </cell>
          <cell r="P33">
            <v>1132.2726694462199</v>
          </cell>
          <cell r="Q33" t="str">
            <v xml:space="preserve"> </v>
          </cell>
          <cell r="R33" t="str">
            <v xml:space="preserve"> </v>
          </cell>
          <cell r="S33" t="str">
            <v xml:space="preserve"> </v>
          </cell>
          <cell r="T33" t="str">
            <v xml:space="preserve"> </v>
          </cell>
          <cell r="U33">
            <v>1825.5996304382707</v>
          </cell>
          <cell r="V33">
            <v>1132.2726694462199</v>
          </cell>
          <cell r="W33" t="str">
            <v>CUIABA</v>
          </cell>
        </row>
        <row r="34">
          <cell r="E34" t="str">
            <v>PRESIDENTE_PRUDENTE</v>
          </cell>
          <cell r="F34">
            <v>435.32075446156443</v>
          </cell>
          <cell r="G34">
            <v>435.32075446156443</v>
          </cell>
          <cell r="H34">
            <v>384.51790531131121</v>
          </cell>
          <cell r="I34">
            <v>443.48268487519152</v>
          </cell>
          <cell r="J34">
            <v>481.32991199324783</v>
          </cell>
          <cell r="K34">
            <v>647.42206875445879</v>
          </cell>
          <cell r="L34">
            <v>793.98430709039724</v>
          </cell>
          <cell r="M34">
            <v>867.11353098886991</v>
          </cell>
          <cell r="N34">
            <v>134.23717050010112</v>
          </cell>
          <cell r="O34">
            <v>382.31890784117678</v>
          </cell>
          <cell r="P34">
            <v>879.63414146554408</v>
          </cell>
          <cell r="Q34" t="str">
            <v xml:space="preserve"> </v>
          </cell>
          <cell r="R34" t="str">
            <v xml:space="preserve"> </v>
          </cell>
          <cell r="S34" t="str">
            <v xml:space="preserve"> </v>
          </cell>
          <cell r="T34" t="str">
            <v xml:space="preserve"> </v>
          </cell>
          <cell r="U34">
            <v>384.51790531131121</v>
          </cell>
          <cell r="V34">
            <v>134.23717050010112</v>
          </cell>
          <cell r="W34" t="str">
            <v>LONDRINA</v>
          </cell>
        </row>
        <row r="35">
          <cell r="E35" t="str">
            <v>RENASCENCA</v>
          </cell>
          <cell r="F35">
            <v>362.65632051196644</v>
          </cell>
          <cell r="G35">
            <v>362.65632051196644</v>
          </cell>
          <cell r="H35">
            <v>762.97860480040094</v>
          </cell>
          <cell r="I35">
            <v>879.6250364773415</v>
          </cell>
          <cell r="J35">
            <v>937.84369818614368</v>
          </cell>
          <cell r="K35">
            <v>1123.5469261299265</v>
          </cell>
          <cell r="L35">
            <v>1266.9422816667302</v>
          </cell>
          <cell r="M35">
            <v>453.77670999325295</v>
          </cell>
          <cell r="N35">
            <v>365.22918560825025</v>
          </cell>
          <cell r="O35">
            <v>655.43634398666006</v>
          </cell>
          <cell r="P35">
            <v>1220.2635752464253</v>
          </cell>
          <cell r="Q35" t="str">
            <v xml:space="preserve"> </v>
          </cell>
          <cell r="R35" t="str">
            <v xml:space="preserve"> </v>
          </cell>
          <cell r="S35" t="str">
            <v xml:space="preserve"> </v>
          </cell>
          <cell r="T35" t="str">
            <v xml:space="preserve"> </v>
          </cell>
          <cell r="U35">
            <v>362.65632051196644</v>
          </cell>
          <cell r="V35">
            <v>365.22918560825025</v>
          </cell>
          <cell r="W35" t="str">
            <v xml:space="preserve"> </v>
          </cell>
        </row>
        <row r="36">
          <cell r="E36" t="str">
            <v>SINOP</v>
          </cell>
          <cell r="F36">
            <v>1655.8656355858702</v>
          </cell>
          <cell r="G36">
            <v>1655.8656355858702</v>
          </cell>
          <cell r="H36">
            <v>1321.5922014543994</v>
          </cell>
          <cell r="I36">
            <v>1186.8709629642221</v>
          </cell>
          <cell r="J36">
            <v>1102.3184801013158</v>
          </cell>
          <cell r="K36">
            <v>877.07341909285606</v>
          </cell>
          <cell r="L36">
            <v>931.05968777366741</v>
          </cell>
          <cell r="M36">
            <v>2057.2027433045969</v>
          </cell>
          <cell r="N36">
            <v>1353.7694919553767</v>
          </cell>
          <cell r="O36">
            <v>960.92995591357692</v>
          </cell>
          <cell r="P36">
            <v>417.3565934772202</v>
          </cell>
          <cell r="Q36" t="str">
            <v xml:space="preserve"> </v>
          </cell>
          <cell r="R36" t="str">
            <v xml:space="preserve"> </v>
          </cell>
          <cell r="S36" t="str">
            <v xml:space="preserve"> </v>
          </cell>
          <cell r="T36" t="str">
            <v xml:space="preserve"> </v>
          </cell>
          <cell r="U36">
            <v>877.07341909285606</v>
          </cell>
          <cell r="V36">
            <v>417.3565934772202</v>
          </cell>
          <cell r="W36" t="str">
            <v>CUIABA</v>
          </cell>
        </row>
        <row r="37">
          <cell r="E37" t="str">
            <v>VARZEA_GRANDE</v>
          </cell>
          <cell r="F37">
            <v>1307.9054758337165</v>
          </cell>
          <cell r="G37">
            <v>1307.9054758337165</v>
          </cell>
          <cell r="H37">
            <v>1072.711600896185</v>
          </cell>
          <cell r="I37">
            <v>974.84446485155979</v>
          </cell>
          <cell r="J37">
            <v>910.34477380327792</v>
          </cell>
          <cell r="K37">
            <v>762.67829812486673</v>
          </cell>
          <cell r="L37">
            <v>883.81629076010427</v>
          </cell>
          <cell r="M37">
            <v>1664.7306703705074</v>
          </cell>
          <cell r="N37">
            <v>998.25650794326566</v>
          </cell>
          <cell r="O37">
            <v>557.65121005158676</v>
          </cell>
          <cell r="P37">
            <v>12.425771607187748</v>
          </cell>
          <cell r="Q37" t="str">
            <v xml:space="preserve"> </v>
          </cell>
          <cell r="R37" t="str">
            <v xml:space="preserve"> </v>
          </cell>
          <cell r="S37" t="str">
            <v xml:space="preserve"> </v>
          </cell>
          <cell r="T37" t="str">
            <v xml:space="preserve"> </v>
          </cell>
          <cell r="U37">
            <v>762.67829812486673</v>
          </cell>
          <cell r="V37">
            <v>12.425771607187748</v>
          </cell>
          <cell r="W37" t="str">
            <v>CUIABA</v>
          </cell>
        </row>
        <row r="38">
          <cell r="E38" t="str">
            <v>VILHENA</v>
          </cell>
          <cell r="F38">
            <v>1818.1578206237459</v>
          </cell>
          <cell r="G38">
            <v>1818.1578206237459</v>
          </cell>
          <cell r="H38">
            <v>1611.6803825199916</v>
          </cell>
          <cell r="I38">
            <v>1510.6362945569465</v>
          </cell>
          <cell r="J38">
            <v>1442.015123596424</v>
          </cell>
          <cell r="K38">
            <v>1267.6272868978263</v>
          </cell>
          <cell r="L38">
            <v>1362.8066083270899</v>
          </cell>
          <cell r="M38">
            <v>2121.1738195591197</v>
          </cell>
          <cell r="N38">
            <v>1509.5674683294671</v>
          </cell>
          <cell r="O38">
            <v>1040.1553318873291</v>
          </cell>
          <cell r="P38">
            <v>539.44315988453718</v>
          </cell>
          <cell r="Q38" t="str">
            <v xml:space="preserve"> </v>
          </cell>
          <cell r="R38" t="str">
            <v xml:space="preserve"> </v>
          </cell>
          <cell r="S38" t="str">
            <v xml:space="preserve"> </v>
          </cell>
          <cell r="T38" t="str">
            <v xml:space="preserve"> </v>
          </cell>
          <cell r="U38">
            <v>1267.6272868978263</v>
          </cell>
          <cell r="V38">
            <v>539.44315988453718</v>
          </cell>
          <cell r="W38" t="str">
            <v>CUIABA</v>
          </cell>
        </row>
        <row r="39">
          <cell r="E39" t="str">
            <v xml:space="preserve"> </v>
          </cell>
          <cell r="F39" t="str">
            <v xml:space="preserve"> </v>
          </cell>
          <cell r="G39" t="str">
            <v xml:space="preserve"> </v>
          </cell>
          <cell r="H39" t="str">
            <v xml:space="preserve"> </v>
          </cell>
          <cell r="I39" t="str">
            <v xml:space="preserve"> </v>
          </cell>
          <cell r="J39" t="str">
            <v xml:space="preserve"> </v>
          </cell>
          <cell r="K39" t="str">
            <v xml:space="preserve"> </v>
          </cell>
          <cell r="L39" t="str">
            <v xml:space="preserve"> </v>
          </cell>
          <cell r="M39" t="str">
            <v xml:space="preserve"> </v>
          </cell>
          <cell r="N39" t="str">
            <v xml:space="preserve"> </v>
          </cell>
          <cell r="O39" t="str">
            <v xml:space="preserve"> </v>
          </cell>
          <cell r="P39" t="str">
            <v xml:space="preserve"> </v>
          </cell>
          <cell r="Q39" t="str">
            <v xml:space="preserve"> </v>
          </cell>
          <cell r="R39" t="str">
            <v xml:space="preserve"> </v>
          </cell>
          <cell r="S39" t="str">
            <v xml:space="preserve"> </v>
          </cell>
          <cell r="T39" t="str">
            <v xml:space="preserve"> </v>
          </cell>
          <cell r="U39">
            <v>0</v>
          </cell>
          <cell r="V39">
            <v>0</v>
          </cell>
          <cell r="W39" t="str">
            <v xml:space="preserve"> </v>
          </cell>
        </row>
        <row r="40">
          <cell r="E40" t="str">
            <v xml:space="preserve"> </v>
          </cell>
          <cell r="F40" t="str">
            <v xml:space="preserve"> </v>
          </cell>
          <cell r="G40" t="str">
            <v xml:space="preserve"> </v>
          </cell>
          <cell r="H40" t="str">
            <v xml:space="preserve"> </v>
          </cell>
          <cell r="I40" t="str">
            <v xml:space="preserve"> </v>
          </cell>
          <cell r="J40" t="str">
            <v xml:space="preserve"> </v>
          </cell>
          <cell r="K40" t="str">
            <v xml:space="preserve"> </v>
          </cell>
          <cell r="L40" t="str">
            <v xml:space="preserve"> </v>
          </cell>
          <cell r="M40" t="str">
            <v xml:space="preserve"> </v>
          </cell>
          <cell r="N40" t="str">
            <v xml:space="preserve"> </v>
          </cell>
          <cell r="O40" t="str">
            <v xml:space="preserve"> </v>
          </cell>
          <cell r="P40" t="str">
            <v xml:space="preserve"> </v>
          </cell>
          <cell r="Q40" t="str">
            <v xml:space="preserve"> </v>
          </cell>
          <cell r="R40" t="str">
            <v xml:space="preserve"> </v>
          </cell>
          <cell r="S40" t="str">
            <v xml:space="preserve"> </v>
          </cell>
          <cell r="T40" t="str">
            <v xml:space="preserve"> </v>
          </cell>
          <cell r="U40">
            <v>0</v>
          </cell>
          <cell r="V40">
            <v>0</v>
          </cell>
          <cell r="W40" t="str">
            <v xml:space="preserve"> </v>
          </cell>
        </row>
        <row r="41">
          <cell r="E41" t="str">
            <v xml:space="preserve"> </v>
          </cell>
          <cell r="F41" t="str">
            <v xml:space="preserve"> </v>
          </cell>
          <cell r="G41" t="str">
            <v xml:space="preserve"> </v>
          </cell>
          <cell r="H41" t="str">
            <v xml:space="preserve"> </v>
          </cell>
          <cell r="I41" t="str">
            <v xml:space="preserve"> </v>
          </cell>
          <cell r="J41" t="str">
            <v xml:space="preserve"> </v>
          </cell>
          <cell r="K41" t="str">
            <v xml:space="preserve"> </v>
          </cell>
          <cell r="L41" t="str">
            <v xml:space="preserve"> </v>
          </cell>
          <cell r="M41" t="str">
            <v xml:space="preserve"> </v>
          </cell>
          <cell r="N41" t="str">
            <v xml:space="preserve"> </v>
          </cell>
          <cell r="O41" t="str">
            <v xml:space="preserve"> </v>
          </cell>
          <cell r="P41" t="str">
            <v xml:space="preserve"> </v>
          </cell>
          <cell r="Q41" t="str">
            <v xml:space="preserve"> </v>
          </cell>
          <cell r="R41" t="str">
            <v xml:space="preserve"> </v>
          </cell>
          <cell r="S41" t="str">
            <v xml:space="preserve"> </v>
          </cell>
          <cell r="T41" t="str">
            <v xml:space="preserve"> </v>
          </cell>
          <cell r="U41">
            <v>0</v>
          </cell>
          <cell r="V41">
            <v>0</v>
          </cell>
          <cell r="W41" t="str">
            <v xml:space="preserve"> </v>
          </cell>
        </row>
        <row r="42">
          <cell r="E42" t="str">
            <v xml:space="preserve"> </v>
          </cell>
          <cell r="F42" t="str">
            <v xml:space="preserve"> </v>
          </cell>
          <cell r="G42" t="str">
            <v xml:space="preserve"> </v>
          </cell>
          <cell r="H42" t="str">
            <v xml:space="preserve"> </v>
          </cell>
          <cell r="I42" t="str">
            <v xml:space="preserve"> </v>
          </cell>
          <cell r="J42" t="str">
            <v xml:space="preserve"> </v>
          </cell>
          <cell r="K42" t="str">
            <v xml:space="preserve"> </v>
          </cell>
          <cell r="L42" t="str">
            <v xml:space="preserve"> </v>
          </cell>
          <cell r="M42" t="str">
            <v xml:space="preserve"> </v>
          </cell>
          <cell r="N42" t="str">
            <v xml:space="preserve"> </v>
          </cell>
          <cell r="O42" t="str">
            <v xml:space="preserve"> </v>
          </cell>
          <cell r="P42" t="str">
            <v xml:space="preserve"> </v>
          </cell>
          <cell r="Q42" t="str">
            <v xml:space="preserve"> </v>
          </cell>
          <cell r="R42" t="str">
            <v xml:space="preserve"> </v>
          </cell>
          <cell r="S42" t="str">
            <v xml:space="preserve"> </v>
          </cell>
          <cell r="T42" t="str">
            <v xml:space="preserve"> </v>
          </cell>
          <cell r="U42">
            <v>0</v>
          </cell>
          <cell r="V42">
            <v>0</v>
          </cell>
          <cell r="W42" t="str">
            <v xml:space="preserve"> </v>
          </cell>
        </row>
      </sheetData>
      <sheetData sheetId="7"/>
      <sheetData sheetId="8"/>
      <sheetData sheetId="9">
        <row r="8">
          <cell r="F8" t="str">
            <v>GLP</v>
          </cell>
          <cell r="G8" t="str">
            <v>GAS. A</v>
          </cell>
          <cell r="I8" t="str">
            <v xml:space="preserve"> </v>
          </cell>
          <cell r="J8" t="str">
            <v>DIESEL</v>
          </cell>
          <cell r="K8" t="str">
            <v xml:space="preserve"> </v>
          </cell>
        </row>
      </sheetData>
      <sheetData sheetId="10">
        <row r="7">
          <cell r="E7" t="str">
            <v>ARAUCARIA</v>
          </cell>
          <cell r="G7" t="str">
            <v>LONDRINA</v>
          </cell>
          <cell r="I7">
            <v>309.84869082587034</v>
          </cell>
        </row>
        <row r="8">
          <cell r="E8" t="str">
            <v>LONDRINA</v>
          </cell>
          <cell r="G8" t="str">
            <v>CAMPO_GRANDE</v>
          </cell>
          <cell r="I8">
            <v>477.08811164064713</v>
          </cell>
        </row>
        <row r="9">
          <cell r="E9" t="str">
            <v>CAMPO_GRANDE</v>
          </cell>
          <cell r="G9" t="str">
            <v>CUIABA</v>
          </cell>
          <cell r="I9">
            <v>564.9377432546413</v>
          </cell>
        </row>
        <row r="10">
          <cell r="E10" t="str">
            <v xml:space="preserve"> </v>
          </cell>
          <cell r="G10" t="str">
            <v xml:space="preserve"> </v>
          </cell>
          <cell r="I10" t="str">
            <v xml:space="preserve"> </v>
          </cell>
        </row>
        <row r="11">
          <cell r="E11" t="str">
            <v xml:space="preserve"> </v>
          </cell>
          <cell r="G11" t="str">
            <v xml:space="preserve"> </v>
          </cell>
          <cell r="I11" t="str">
            <v xml:space="preserve"> </v>
          </cell>
        </row>
        <row r="12">
          <cell r="E12" t="str">
            <v xml:space="preserve"> </v>
          </cell>
          <cell r="G12" t="str">
            <v xml:space="preserve"> </v>
          </cell>
          <cell r="I12" t="str">
            <v xml:space="preserve"> </v>
          </cell>
        </row>
        <row r="13">
          <cell r="E13" t="str">
            <v xml:space="preserve"> </v>
          </cell>
          <cell r="G13" t="str">
            <v xml:space="preserve"> </v>
          </cell>
          <cell r="I13" t="str">
            <v xml:space="preserve"> </v>
          </cell>
        </row>
      </sheetData>
      <sheetData sheetId="11">
        <row r="14">
          <cell r="M14">
            <v>18</v>
          </cell>
          <cell r="P14">
            <v>557.72764348656665</v>
          </cell>
        </row>
        <row r="15">
          <cell r="M15">
            <v>12</v>
          </cell>
          <cell r="P15">
            <v>572.50573396877655</v>
          </cell>
        </row>
        <row r="16">
          <cell r="M16">
            <v>8</v>
          </cell>
          <cell r="P16">
            <v>451.95019460371304</v>
          </cell>
        </row>
        <row r="17">
          <cell r="M17" t="str">
            <v xml:space="preserve"> </v>
          </cell>
          <cell r="P17" t="str">
            <v xml:space="preserve"> </v>
          </cell>
        </row>
        <row r="18">
          <cell r="M18" t="str">
            <v xml:space="preserve"> </v>
          </cell>
          <cell r="P18" t="str">
            <v xml:space="preserve"> </v>
          </cell>
        </row>
        <row r="19">
          <cell r="M19" t="str">
            <v xml:space="preserve"> </v>
          </cell>
          <cell r="P19" t="str">
            <v xml:space="preserve"> </v>
          </cell>
        </row>
        <row r="20">
          <cell r="M20" t="str">
            <v xml:space="preserve"> </v>
          </cell>
          <cell r="P20" t="str">
            <v xml:space="preserve"> </v>
          </cell>
        </row>
        <row r="22">
          <cell r="P22">
            <v>1582.1835720590561</v>
          </cell>
        </row>
      </sheetData>
      <sheetData sheetId="12">
        <row r="10">
          <cell r="D10" t="str">
            <v>LONDRINA</v>
          </cell>
          <cell r="K10">
            <v>258743003.44946089</v>
          </cell>
        </row>
        <row r="11">
          <cell r="D11" t="str">
            <v>CAMPO_GRANDE</v>
          </cell>
          <cell r="K11">
            <v>123245099.78909115</v>
          </cell>
        </row>
        <row r="12">
          <cell r="D12" t="str">
            <v>CUIABA</v>
          </cell>
          <cell r="K12">
            <v>137362656.45264772</v>
          </cell>
        </row>
        <row r="13">
          <cell r="D13" t="str">
            <v>-</v>
          </cell>
          <cell r="K13" t="str">
            <v xml:space="preserve"> </v>
          </cell>
        </row>
        <row r="14">
          <cell r="D14" t="str">
            <v>-</v>
          </cell>
          <cell r="K14" t="str">
            <v xml:space="preserve"> </v>
          </cell>
        </row>
        <row r="15">
          <cell r="D15" t="str">
            <v>-</v>
          </cell>
          <cell r="K15" t="str">
            <v xml:space="preserve"> </v>
          </cell>
        </row>
        <row r="16">
          <cell r="D16" t="str">
            <v>-</v>
          </cell>
          <cell r="K16" t="str">
            <v xml:space="preserve"> </v>
          </cell>
        </row>
        <row r="17">
          <cell r="K17">
            <v>519350759.69119978</v>
          </cell>
        </row>
      </sheetData>
      <sheetData sheetId="13"/>
      <sheetData sheetId="14">
        <row r="35">
          <cell r="H35">
            <v>72311472.011712015</v>
          </cell>
        </row>
      </sheetData>
      <sheetData sheetId="15">
        <row r="92">
          <cell r="F92">
            <v>187425819.17278862</v>
          </cell>
        </row>
      </sheetData>
      <sheetData sheetId="16">
        <row r="4">
          <cell r="I4" t="str">
            <v>ARAUCARIA</v>
          </cell>
        </row>
        <row r="5">
          <cell r="I5" t="str">
            <v xml:space="preserve"> a </v>
          </cell>
        </row>
        <row r="6">
          <cell r="I6" t="str">
            <v>LONDRINA</v>
          </cell>
          <cell r="J6" t="str">
            <v>CAMPO_GRANDE</v>
          </cell>
          <cell r="K6" t="str">
            <v>CUIABA</v>
          </cell>
          <cell r="L6" t="str">
            <v xml:space="preserve"> </v>
          </cell>
          <cell r="M6" t="str">
            <v xml:space="preserve"> </v>
          </cell>
          <cell r="N6" t="str">
            <v xml:space="preserve"> </v>
          </cell>
          <cell r="O6" t="str">
            <v xml:space="preserve"> </v>
          </cell>
        </row>
        <row r="101">
          <cell r="J101">
            <v>36.017108948837574</v>
          </cell>
          <cell r="K101">
            <v>51.71601809327872</v>
          </cell>
          <cell r="L101" t="str">
            <v xml:space="preserve"> </v>
          </cell>
          <cell r="M101" t="str">
            <v xml:space="preserve"> </v>
          </cell>
          <cell r="N101" t="str">
            <v xml:space="preserve"> </v>
          </cell>
          <cell r="O101" t="str">
            <v xml:space="preserve"> </v>
          </cell>
        </row>
        <row r="109">
          <cell r="J109">
            <v>7.5493620717102305E-2</v>
          </cell>
          <cell r="K109">
            <v>9.1542862396375824E-2</v>
          </cell>
          <cell r="L109" t="str">
            <v xml:space="preserve"> </v>
          </cell>
          <cell r="M109" t="str">
            <v xml:space="preserve"> </v>
          </cell>
          <cell r="N109" t="str">
            <v xml:space="preserve"> </v>
          </cell>
          <cell r="O109" t="str">
            <v xml:space="preserve"> </v>
          </cell>
        </row>
        <row r="118">
          <cell r="H118">
            <v>44.594549060341365</v>
          </cell>
          <cell r="I118">
            <v>21.567057875103245</v>
          </cell>
          <cell r="J118">
            <v>49.014734202452331</v>
          </cell>
          <cell r="K118">
            <v>95.149580732333746</v>
          </cell>
          <cell r="L118" t="str">
            <v xml:space="preserve"> </v>
          </cell>
          <cell r="M118" t="str">
            <v xml:space="preserve"> </v>
          </cell>
          <cell r="N118" t="str">
            <v xml:space="preserve"> </v>
          </cell>
          <cell r="O118" t="str">
            <v xml:space="preserve"> </v>
          </cell>
        </row>
        <row r="120">
          <cell r="I120">
            <v>19.852488632941061</v>
          </cell>
          <cell r="J120">
            <v>41.262475660947565</v>
          </cell>
          <cell r="K120">
            <v>69.580646576841843</v>
          </cell>
          <cell r="L120" t="str">
            <v xml:space="preserve"> </v>
          </cell>
          <cell r="M120" t="str">
            <v xml:space="preserve"> </v>
          </cell>
          <cell r="N120" t="str">
            <v xml:space="preserve"> </v>
          </cell>
          <cell r="O120" t="str">
            <v xml:space="preserve"> </v>
          </cell>
        </row>
        <row r="121">
          <cell r="I121">
            <v>19.934741481508166</v>
          </cell>
          <cell r="J121">
            <v>41.69806124673444</v>
          </cell>
          <cell r="K121">
            <v>70.919405683290634</v>
          </cell>
          <cell r="L121" t="str">
            <v xml:space="preserve"> </v>
          </cell>
          <cell r="M121" t="str">
            <v xml:space="preserve"> </v>
          </cell>
          <cell r="N121" t="str">
            <v xml:space="preserve"> </v>
          </cell>
          <cell r="O121" t="str">
            <v xml:space="preserve"> </v>
          </cell>
        </row>
        <row r="122">
          <cell r="I122" t="str">
            <v xml:space="preserve"> </v>
          </cell>
          <cell r="J122" t="str">
            <v xml:space="preserve"> </v>
          </cell>
          <cell r="K122" t="str">
            <v xml:space="preserve"> </v>
          </cell>
          <cell r="L122" t="str">
            <v xml:space="preserve"> </v>
          </cell>
          <cell r="M122" t="str">
            <v xml:space="preserve"> </v>
          </cell>
          <cell r="N122" t="str">
            <v xml:space="preserve"> </v>
          </cell>
          <cell r="O122" t="str">
            <v xml:space="preserve"> </v>
          </cell>
        </row>
        <row r="123">
          <cell r="I123" t="str">
            <v xml:space="preserve"> </v>
          </cell>
          <cell r="J123" t="str">
            <v xml:space="preserve"> </v>
          </cell>
          <cell r="K123" t="str">
            <v xml:space="preserve"> </v>
          </cell>
          <cell r="L123" t="str">
            <v xml:space="preserve"> </v>
          </cell>
          <cell r="M123" t="str">
            <v xml:space="preserve"> </v>
          </cell>
          <cell r="N123" t="str">
            <v xml:space="preserve"> </v>
          </cell>
          <cell r="O123" t="str">
            <v xml:space="preserve"> </v>
          </cell>
        </row>
        <row r="124">
          <cell r="I124">
            <v>21.056571156091142</v>
          </cell>
          <cell r="J124">
            <v>46.73939432255078</v>
          </cell>
          <cell r="K124">
            <v>87.582223476938651</v>
          </cell>
          <cell r="L124" t="str">
            <v xml:space="preserve"> </v>
          </cell>
          <cell r="M124" t="str">
            <v xml:space="preserve"> </v>
          </cell>
          <cell r="N124" t="str">
            <v xml:space="preserve"> </v>
          </cell>
          <cell r="O124" t="str">
            <v xml:space="preserve"> </v>
          </cell>
        </row>
        <row r="126">
          <cell r="H126">
            <v>3.2987194855830619E-2</v>
          </cell>
          <cell r="I126">
            <v>6.9605128288967213E-2</v>
          </cell>
          <cell r="J126">
            <v>6.2285477116871532E-2</v>
          </cell>
          <cell r="K126">
            <v>7.0383439819540428E-2</v>
          </cell>
          <cell r="L126" t="str">
            <v xml:space="preserve"> </v>
          </cell>
          <cell r="M126" t="str">
            <v xml:space="preserve"> </v>
          </cell>
          <cell r="N126" t="str">
            <v xml:space="preserve"> </v>
          </cell>
          <cell r="O126" t="str">
            <v xml:space="preserve"> </v>
          </cell>
        </row>
        <row r="128">
          <cell r="I128">
            <v>6.4071558863218886E-2</v>
          </cell>
          <cell r="J128">
            <v>5.243429400126854E-2</v>
          </cell>
          <cell r="K128">
            <v>5.1469751240655226E-2</v>
          </cell>
          <cell r="L128" t="str">
            <v xml:space="preserve"> </v>
          </cell>
          <cell r="M128" t="str">
            <v xml:space="preserve"> </v>
          </cell>
          <cell r="N128" t="str">
            <v xml:space="preserve"> </v>
          </cell>
          <cell r="O128" t="str">
            <v xml:space="preserve"> </v>
          </cell>
        </row>
        <row r="129">
          <cell r="I129">
            <v>6.4337020202906547E-2</v>
          </cell>
          <cell r="J129">
            <v>5.2987814416658452E-2</v>
          </cell>
          <cell r="K129">
            <v>5.2460049571729013E-2</v>
          </cell>
          <cell r="L129" t="str">
            <v xml:space="preserve"> </v>
          </cell>
          <cell r="M129" t="str">
            <v xml:space="preserve"> </v>
          </cell>
          <cell r="N129" t="str">
            <v xml:space="preserve"> </v>
          </cell>
          <cell r="O129" t="str">
            <v xml:space="preserve"> </v>
          </cell>
        </row>
        <row r="130">
          <cell r="I130" t="str">
            <v xml:space="preserve"> </v>
          </cell>
          <cell r="J130" t="str">
            <v xml:space="preserve"> </v>
          </cell>
          <cell r="K130" t="str">
            <v xml:space="preserve"> </v>
          </cell>
          <cell r="L130" t="str">
            <v xml:space="preserve"> </v>
          </cell>
          <cell r="M130" t="str">
            <v xml:space="preserve"> </v>
          </cell>
          <cell r="N130" t="str">
            <v xml:space="preserve"> </v>
          </cell>
          <cell r="O130" t="str">
            <v xml:space="preserve"> </v>
          </cell>
        </row>
        <row r="131">
          <cell r="I131" t="str">
            <v xml:space="preserve"> </v>
          </cell>
          <cell r="J131" t="str">
            <v xml:space="preserve"> </v>
          </cell>
          <cell r="K131" t="str">
            <v xml:space="preserve"> </v>
          </cell>
          <cell r="L131" t="str">
            <v xml:space="preserve"> </v>
          </cell>
          <cell r="M131" t="str">
            <v xml:space="preserve"> </v>
          </cell>
          <cell r="N131" t="str">
            <v xml:space="preserve"> </v>
          </cell>
          <cell r="O131" t="str">
            <v xml:space="preserve"> </v>
          </cell>
        </row>
        <row r="132">
          <cell r="I132">
            <v>6.7957592784939583E-2</v>
          </cell>
          <cell r="J132">
            <v>5.9394088796017951E-2</v>
          </cell>
          <cell r="K132">
            <v>6.4785762668693361E-2</v>
          </cell>
          <cell r="L132" t="str">
            <v xml:space="preserve"> </v>
          </cell>
          <cell r="M132" t="str">
            <v xml:space="preserve"> </v>
          </cell>
          <cell r="N132" t="str">
            <v xml:space="preserve"> </v>
          </cell>
          <cell r="O132" t="str">
            <v xml:space="preserve"> </v>
          </cell>
        </row>
      </sheetData>
      <sheetData sheetId="17"/>
      <sheetData sheetId="18">
        <row r="44">
          <cell r="K44">
            <v>455635224.47800553</v>
          </cell>
        </row>
      </sheetData>
      <sheetData sheetId="19">
        <row r="88">
          <cell r="K88">
            <v>491270531.16769946</v>
          </cell>
        </row>
      </sheetData>
      <sheetData sheetId="20"/>
      <sheetData sheetId="21"/>
      <sheetData sheetId="22"/>
      <sheetData sheetId="23"/>
      <sheetData sheetId="24"/>
      <sheetData sheetId="25"/>
      <sheetData sheetId="26"/>
      <sheetData sheetId="27"/>
      <sheetData sheetId="28"/>
      <sheetData sheetId="29">
        <row r="12">
          <cell r="F12">
            <v>8</v>
          </cell>
          <cell r="G12">
            <v>2.0000000000000001E-4</v>
          </cell>
        </row>
        <row r="13">
          <cell r="F13">
            <v>10</v>
          </cell>
          <cell r="G13">
            <v>1.75E-4</v>
          </cell>
        </row>
        <row r="14">
          <cell r="F14">
            <v>12</v>
          </cell>
          <cell r="G14">
            <v>1.4999999999999999E-4</v>
          </cell>
        </row>
        <row r="15">
          <cell r="F15">
            <v>14</v>
          </cell>
          <cell r="G15">
            <v>1.2999999999999999E-4</v>
          </cell>
        </row>
        <row r="16">
          <cell r="F16">
            <v>16</v>
          </cell>
          <cell r="G16">
            <v>1.11E-4</v>
          </cell>
        </row>
        <row r="17">
          <cell r="F17">
            <v>18</v>
          </cell>
          <cell r="G17">
            <v>9.5000000000000005E-5</v>
          </cell>
        </row>
        <row r="18">
          <cell r="F18">
            <v>20</v>
          </cell>
          <cell r="G18">
            <v>8.5000000000000006E-5</v>
          </cell>
        </row>
        <row r="19">
          <cell r="F19">
            <v>22</v>
          </cell>
          <cell r="G19">
            <v>7.6000000000000004E-5</v>
          </cell>
        </row>
        <row r="20">
          <cell r="F20">
            <v>24</v>
          </cell>
          <cell r="G20">
            <v>6.9999999999999994E-5</v>
          </cell>
        </row>
        <row r="21">
          <cell r="F21">
            <v>26</v>
          </cell>
          <cell r="G21">
            <v>6.4999999999999994E-5</v>
          </cell>
        </row>
        <row r="22">
          <cell r="F22">
            <v>28</v>
          </cell>
          <cell r="G22">
            <v>6.0000000000000002E-5</v>
          </cell>
        </row>
        <row r="23">
          <cell r="F23">
            <v>30</v>
          </cell>
          <cell r="G23">
            <v>5.7000000000000003E-5</v>
          </cell>
        </row>
        <row r="24">
          <cell r="F24">
            <v>32</v>
          </cell>
          <cell r="G24">
            <v>5.5000000000000002E-5</v>
          </cell>
        </row>
        <row r="25">
          <cell r="F25">
            <v>34</v>
          </cell>
          <cell r="G25">
            <v>5.1999999999999997E-5</v>
          </cell>
        </row>
        <row r="26">
          <cell r="F26">
            <v>36</v>
          </cell>
          <cell r="G26">
            <v>5.0000000000000002E-5</v>
          </cell>
        </row>
        <row r="27">
          <cell r="F27">
            <v>38</v>
          </cell>
          <cell r="G27">
            <v>4.6999999999999997E-5</v>
          </cell>
        </row>
        <row r="28">
          <cell r="F28">
            <v>40</v>
          </cell>
          <cell r="G28">
            <v>4.5000000000000003E-5</v>
          </cell>
        </row>
        <row r="29">
          <cell r="F29">
            <v>42</v>
          </cell>
          <cell r="G29">
            <v>4.3999999999999999E-5</v>
          </cell>
        </row>
      </sheetData>
      <sheetData sheetId="30"/>
      <sheetData sheetId="31">
        <row r="20">
          <cell r="V20">
            <v>0</v>
          </cell>
          <cell r="W20">
            <v>4.1500000000000004</v>
          </cell>
        </row>
        <row r="21">
          <cell r="V21">
            <v>2.5000000000000001E-2</v>
          </cell>
          <cell r="W21">
            <v>4.07</v>
          </cell>
        </row>
        <row r="22">
          <cell r="V22">
            <v>0.05</v>
          </cell>
          <cell r="W22">
            <v>4</v>
          </cell>
        </row>
        <row r="23">
          <cell r="V23">
            <v>7.4999999999999997E-2</v>
          </cell>
          <cell r="W23">
            <v>3.93</v>
          </cell>
        </row>
        <row r="24">
          <cell r="V24">
            <v>0.1</v>
          </cell>
          <cell r="W24">
            <v>3.87</v>
          </cell>
        </row>
        <row r="25">
          <cell r="V25">
            <v>0.15</v>
          </cell>
          <cell r="W25">
            <v>3.75</v>
          </cell>
        </row>
        <row r="26">
          <cell r="V26">
            <v>0.2</v>
          </cell>
          <cell r="W26">
            <v>3.63</v>
          </cell>
        </row>
        <row r="27">
          <cell r="V27">
            <v>0.3</v>
          </cell>
          <cell r="W27">
            <v>3.39</v>
          </cell>
        </row>
        <row r="28">
          <cell r="V28">
            <v>0.4</v>
          </cell>
          <cell r="W28">
            <v>3.18</v>
          </cell>
        </row>
        <row r="29">
          <cell r="V29">
            <v>0.5</v>
          </cell>
          <cell r="W29">
            <v>3</v>
          </cell>
        </row>
        <row r="30">
          <cell r="V30">
            <v>0.7</v>
          </cell>
          <cell r="W30">
            <v>2.68</v>
          </cell>
        </row>
        <row r="31">
          <cell r="V31">
            <v>0.9</v>
          </cell>
          <cell r="W31">
            <v>2.4500000000000002</v>
          </cell>
        </row>
        <row r="32">
          <cell r="V32">
            <v>1</v>
          </cell>
          <cell r="W32">
            <v>2.35</v>
          </cell>
        </row>
        <row r="33">
          <cell r="V33">
            <v>1.2</v>
          </cell>
          <cell r="W33">
            <v>2.2000000000000002</v>
          </cell>
        </row>
        <row r="34">
          <cell r="V34">
            <v>1.4</v>
          </cell>
          <cell r="W34">
            <v>2.1110000000000002</v>
          </cell>
        </row>
        <row r="35">
          <cell r="V35">
            <v>1.5</v>
          </cell>
          <cell r="W35">
            <v>2.0499999999999998</v>
          </cell>
        </row>
        <row r="36">
          <cell r="V36">
            <v>1.7</v>
          </cell>
          <cell r="W36">
            <v>2.02</v>
          </cell>
        </row>
        <row r="37">
          <cell r="V37">
            <v>1.9</v>
          </cell>
          <cell r="W37">
            <v>2.0129999999999999</v>
          </cell>
        </row>
        <row r="38">
          <cell r="V38">
            <v>2</v>
          </cell>
          <cell r="W38">
            <v>2.0099999999999998</v>
          </cell>
        </row>
        <row r="39">
          <cell r="V39">
            <v>2.2000000000000002</v>
          </cell>
          <cell r="W39">
            <v>1.9970000000000001</v>
          </cell>
        </row>
        <row r="40">
          <cell r="V40">
            <v>2.5</v>
          </cell>
          <cell r="W40">
            <v>1.9950000000000001</v>
          </cell>
        </row>
        <row r="41">
          <cell r="V41">
            <v>2.7</v>
          </cell>
          <cell r="W41">
            <v>1.994</v>
          </cell>
        </row>
        <row r="42">
          <cell r="V42">
            <v>3</v>
          </cell>
          <cell r="W42">
            <v>1.9930000000000001</v>
          </cell>
        </row>
      </sheetData>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esentação"/>
      <sheetName val="Novo Duto- Resumo Financeiro"/>
      <sheetName val="Avaliação de Tarifa "/>
      <sheetName val="Dimensionamento do Duto"/>
      <sheetName val="Investimento Terminais"/>
      <sheetName val="Investimento no Duto-Resumo"/>
      <sheetName val="Capital de Giro"/>
      <sheetName val="Custos Operacionais"/>
      <sheetName val="Investimento no Duto"/>
      <sheetName val="Cálculos de Escoamento"/>
      <sheetName val="Memória de Cálculo"/>
      <sheetName val="Fluidos"/>
      <sheetName val="Opções de Cálculo"/>
      <sheetName val="Tubos"/>
      <sheetName val="Rugosidade Relativa"/>
      <sheetName val="Parâmetros de Investiment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2">
          <cell r="H22">
            <v>0</v>
          </cell>
          <cell r="I22">
            <v>4.1500000000000004</v>
          </cell>
        </row>
        <row r="23">
          <cell r="H23">
            <v>50</v>
          </cell>
          <cell r="I23">
            <v>4</v>
          </cell>
        </row>
        <row r="24">
          <cell r="H24">
            <v>60</v>
          </cell>
          <cell r="I24">
            <v>3.97</v>
          </cell>
        </row>
        <row r="25">
          <cell r="H25">
            <v>90</v>
          </cell>
          <cell r="I25">
            <v>3.89</v>
          </cell>
        </row>
        <row r="26">
          <cell r="H26">
            <v>100</v>
          </cell>
          <cell r="I26">
            <v>3.87</v>
          </cell>
        </row>
        <row r="27">
          <cell r="H27">
            <v>500</v>
          </cell>
          <cell r="I27">
            <v>3</v>
          </cell>
        </row>
        <row r="28">
          <cell r="H28">
            <v>1000</v>
          </cell>
          <cell r="I28">
            <v>2.35</v>
          </cell>
        </row>
        <row r="29">
          <cell r="H29">
            <v>1500</v>
          </cell>
          <cell r="I29">
            <v>2.1</v>
          </cell>
        </row>
        <row r="30">
          <cell r="H30">
            <v>2000</v>
          </cell>
          <cell r="I30">
            <v>2</v>
          </cell>
        </row>
        <row r="31">
          <cell r="H31">
            <v>2500</v>
          </cell>
          <cell r="I31">
            <v>1.99</v>
          </cell>
        </row>
        <row r="32">
          <cell r="H32">
            <v>3000</v>
          </cell>
          <cell r="I32">
            <v>1.99</v>
          </cell>
        </row>
        <row r="34">
          <cell r="H34">
            <v>0</v>
          </cell>
          <cell r="I34">
            <v>4.1500000000000004</v>
          </cell>
        </row>
        <row r="35">
          <cell r="H35">
            <v>25</v>
          </cell>
          <cell r="I35">
            <v>4.07</v>
          </cell>
        </row>
        <row r="36">
          <cell r="H36">
            <v>50</v>
          </cell>
          <cell r="I36">
            <v>4</v>
          </cell>
        </row>
        <row r="37">
          <cell r="H37">
            <v>75</v>
          </cell>
          <cell r="I37">
            <v>3.93</v>
          </cell>
        </row>
        <row r="38">
          <cell r="H38">
            <v>100</v>
          </cell>
          <cell r="I38">
            <v>3.87</v>
          </cell>
        </row>
        <row r="39">
          <cell r="H39">
            <v>150</v>
          </cell>
          <cell r="I39">
            <v>3.75</v>
          </cell>
        </row>
        <row r="40">
          <cell r="H40">
            <v>200</v>
          </cell>
          <cell r="I40">
            <v>3.63</v>
          </cell>
        </row>
        <row r="41">
          <cell r="H41">
            <v>300</v>
          </cell>
          <cell r="I41">
            <v>3.39</v>
          </cell>
        </row>
        <row r="42">
          <cell r="H42">
            <v>400</v>
          </cell>
          <cell r="I42">
            <v>3.18</v>
          </cell>
        </row>
        <row r="43">
          <cell r="H43">
            <v>500</v>
          </cell>
          <cell r="I43">
            <v>3</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www.fem.unicamp.br/~em672/gervap2.pdf" TargetMode="External"/><Relationship Id="rId1" Type="http://schemas.openxmlformats.org/officeDocument/2006/relationships/hyperlink" Target="http://www.fem.unicamp.br/~em672/gervap2.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E12"/>
  <sheetViews>
    <sheetView workbookViewId="0">
      <selection activeCell="E21" sqref="E21"/>
    </sheetView>
  </sheetViews>
  <sheetFormatPr defaultRowHeight="15" x14ac:dyDescent="0.25"/>
  <cols>
    <col min="4" max="5" width="27.7109375" customWidth="1"/>
  </cols>
  <sheetData>
    <row r="4" spans="4:5" x14ac:dyDescent="0.25">
      <c r="D4" s="149" t="s">
        <v>229</v>
      </c>
      <c r="E4" s="149"/>
    </row>
    <row r="5" spans="4:5" x14ac:dyDescent="0.25">
      <c r="D5" s="138" t="s">
        <v>230</v>
      </c>
      <c r="E5" s="138" t="s">
        <v>231</v>
      </c>
    </row>
    <row r="6" spans="4:5" x14ac:dyDescent="0.25">
      <c r="D6" t="s">
        <v>232</v>
      </c>
      <c r="E6" t="s">
        <v>233</v>
      </c>
    </row>
    <row r="7" spans="4:5" x14ac:dyDescent="0.25">
      <c r="D7" t="s">
        <v>234</v>
      </c>
      <c r="E7" t="s">
        <v>235</v>
      </c>
    </row>
    <row r="8" spans="4:5" x14ac:dyDescent="0.25">
      <c r="D8" t="s">
        <v>236</v>
      </c>
      <c r="E8" t="s">
        <v>237</v>
      </c>
    </row>
    <row r="9" spans="4:5" x14ac:dyDescent="0.25">
      <c r="D9" t="s">
        <v>238</v>
      </c>
      <c r="E9" t="s">
        <v>239</v>
      </c>
    </row>
    <row r="10" spans="4:5" x14ac:dyDescent="0.25">
      <c r="D10" t="s">
        <v>240</v>
      </c>
      <c r="E10" t="s">
        <v>241</v>
      </c>
    </row>
    <row r="11" spans="4:5" x14ac:dyDescent="0.25">
      <c r="D11" t="s">
        <v>242</v>
      </c>
      <c r="E11" t="s">
        <v>243</v>
      </c>
    </row>
    <row r="12" spans="4:5" x14ac:dyDescent="0.25">
      <c r="D12" t="s">
        <v>244</v>
      </c>
      <c r="E12" t="s">
        <v>245</v>
      </c>
    </row>
  </sheetData>
  <mergeCells count="1">
    <mergeCell ref="D4:E4"/>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K31"/>
  <sheetViews>
    <sheetView workbookViewId="0">
      <selection sqref="A1:XFD1048576"/>
    </sheetView>
  </sheetViews>
  <sheetFormatPr defaultRowHeight="15" x14ac:dyDescent="0.25"/>
  <cols>
    <col min="1" max="3" width="9.140625" style="3"/>
    <col min="4" max="4" width="41.7109375" style="3" customWidth="1"/>
    <col min="5" max="5" width="1.7109375" style="3" customWidth="1"/>
    <col min="6" max="6" width="10.7109375" style="3" customWidth="1"/>
    <col min="7" max="8" width="9.140625" style="3"/>
    <col min="9" max="9" width="10.140625" style="3" customWidth="1"/>
    <col min="10" max="259" width="9.140625" style="3"/>
    <col min="260" max="260" width="41.7109375" style="3" customWidth="1"/>
    <col min="261" max="261" width="1.7109375" style="3" customWidth="1"/>
    <col min="262" max="262" width="10.7109375" style="3" customWidth="1"/>
    <col min="263" max="264" width="9.140625" style="3"/>
    <col min="265" max="265" width="10.140625" style="3" customWidth="1"/>
    <col min="266" max="515" width="9.140625" style="3"/>
    <col min="516" max="516" width="41.7109375" style="3" customWidth="1"/>
    <col min="517" max="517" width="1.7109375" style="3" customWidth="1"/>
    <col min="518" max="518" width="10.7109375" style="3" customWidth="1"/>
    <col min="519" max="520" width="9.140625" style="3"/>
    <col min="521" max="521" width="10.140625" style="3" customWidth="1"/>
    <col min="522" max="771" width="9.140625" style="3"/>
    <col min="772" max="772" width="41.7109375" style="3" customWidth="1"/>
    <col min="773" max="773" width="1.7109375" style="3" customWidth="1"/>
    <col min="774" max="774" width="10.7109375" style="3" customWidth="1"/>
    <col min="775" max="776" width="9.140625" style="3"/>
    <col min="777" max="777" width="10.140625" style="3" customWidth="1"/>
    <col min="778" max="1027" width="9.140625" style="3"/>
    <col min="1028" max="1028" width="41.7109375" style="3" customWidth="1"/>
    <col min="1029" max="1029" width="1.7109375" style="3" customWidth="1"/>
    <col min="1030" max="1030" width="10.7109375" style="3" customWidth="1"/>
    <col min="1031" max="1032" width="9.140625" style="3"/>
    <col min="1033" max="1033" width="10.140625" style="3" customWidth="1"/>
    <col min="1034" max="1283" width="9.140625" style="3"/>
    <col min="1284" max="1284" width="41.7109375" style="3" customWidth="1"/>
    <col min="1285" max="1285" width="1.7109375" style="3" customWidth="1"/>
    <col min="1286" max="1286" width="10.7109375" style="3" customWidth="1"/>
    <col min="1287" max="1288" width="9.140625" style="3"/>
    <col min="1289" max="1289" width="10.140625" style="3" customWidth="1"/>
    <col min="1290" max="1539" width="9.140625" style="3"/>
    <col min="1540" max="1540" width="41.7109375" style="3" customWidth="1"/>
    <col min="1541" max="1541" width="1.7109375" style="3" customWidth="1"/>
    <col min="1542" max="1542" width="10.7109375" style="3" customWidth="1"/>
    <col min="1543" max="1544" width="9.140625" style="3"/>
    <col min="1545" max="1545" width="10.140625" style="3" customWidth="1"/>
    <col min="1546" max="1795" width="9.140625" style="3"/>
    <col min="1796" max="1796" width="41.7109375" style="3" customWidth="1"/>
    <col min="1797" max="1797" width="1.7109375" style="3" customWidth="1"/>
    <col min="1798" max="1798" width="10.7109375" style="3" customWidth="1"/>
    <col min="1799" max="1800" width="9.140625" style="3"/>
    <col min="1801" max="1801" width="10.140625" style="3" customWidth="1"/>
    <col min="1802" max="2051" width="9.140625" style="3"/>
    <col min="2052" max="2052" width="41.7109375" style="3" customWidth="1"/>
    <col min="2053" max="2053" width="1.7109375" style="3" customWidth="1"/>
    <col min="2054" max="2054" width="10.7109375" style="3" customWidth="1"/>
    <col min="2055" max="2056" width="9.140625" style="3"/>
    <col min="2057" max="2057" width="10.140625" style="3" customWidth="1"/>
    <col min="2058" max="2307" width="9.140625" style="3"/>
    <col min="2308" max="2308" width="41.7109375" style="3" customWidth="1"/>
    <col min="2309" max="2309" width="1.7109375" style="3" customWidth="1"/>
    <col min="2310" max="2310" width="10.7109375" style="3" customWidth="1"/>
    <col min="2311" max="2312" width="9.140625" style="3"/>
    <col min="2313" max="2313" width="10.140625" style="3" customWidth="1"/>
    <col min="2314" max="2563" width="9.140625" style="3"/>
    <col min="2564" max="2564" width="41.7109375" style="3" customWidth="1"/>
    <col min="2565" max="2565" width="1.7109375" style="3" customWidth="1"/>
    <col min="2566" max="2566" width="10.7109375" style="3" customWidth="1"/>
    <col min="2567" max="2568" width="9.140625" style="3"/>
    <col min="2569" max="2569" width="10.140625" style="3" customWidth="1"/>
    <col min="2570" max="2819" width="9.140625" style="3"/>
    <col min="2820" max="2820" width="41.7109375" style="3" customWidth="1"/>
    <col min="2821" max="2821" width="1.7109375" style="3" customWidth="1"/>
    <col min="2822" max="2822" width="10.7109375" style="3" customWidth="1"/>
    <col min="2823" max="2824" width="9.140625" style="3"/>
    <col min="2825" max="2825" width="10.140625" style="3" customWidth="1"/>
    <col min="2826" max="3075" width="9.140625" style="3"/>
    <col min="3076" max="3076" width="41.7109375" style="3" customWidth="1"/>
    <col min="3077" max="3077" width="1.7109375" style="3" customWidth="1"/>
    <col min="3078" max="3078" width="10.7109375" style="3" customWidth="1"/>
    <col min="3079" max="3080" width="9.140625" style="3"/>
    <col min="3081" max="3081" width="10.140625" style="3" customWidth="1"/>
    <col min="3082" max="3331" width="9.140625" style="3"/>
    <col min="3332" max="3332" width="41.7109375" style="3" customWidth="1"/>
    <col min="3333" max="3333" width="1.7109375" style="3" customWidth="1"/>
    <col min="3334" max="3334" width="10.7109375" style="3" customWidth="1"/>
    <col min="3335" max="3336" width="9.140625" style="3"/>
    <col min="3337" max="3337" width="10.140625" style="3" customWidth="1"/>
    <col min="3338" max="3587" width="9.140625" style="3"/>
    <col min="3588" max="3588" width="41.7109375" style="3" customWidth="1"/>
    <col min="3589" max="3589" width="1.7109375" style="3" customWidth="1"/>
    <col min="3590" max="3590" width="10.7109375" style="3" customWidth="1"/>
    <col min="3591" max="3592" width="9.140625" style="3"/>
    <col min="3593" max="3593" width="10.140625" style="3" customWidth="1"/>
    <col min="3594" max="3843" width="9.140625" style="3"/>
    <col min="3844" max="3844" width="41.7109375" style="3" customWidth="1"/>
    <col min="3845" max="3845" width="1.7109375" style="3" customWidth="1"/>
    <col min="3846" max="3846" width="10.7109375" style="3" customWidth="1"/>
    <col min="3847" max="3848" width="9.140625" style="3"/>
    <col min="3849" max="3849" width="10.140625" style="3" customWidth="1"/>
    <col min="3850" max="4099" width="9.140625" style="3"/>
    <col min="4100" max="4100" width="41.7109375" style="3" customWidth="1"/>
    <col min="4101" max="4101" width="1.7109375" style="3" customWidth="1"/>
    <col min="4102" max="4102" width="10.7109375" style="3" customWidth="1"/>
    <col min="4103" max="4104" width="9.140625" style="3"/>
    <col min="4105" max="4105" width="10.140625" style="3" customWidth="1"/>
    <col min="4106" max="4355" width="9.140625" style="3"/>
    <col min="4356" max="4356" width="41.7109375" style="3" customWidth="1"/>
    <col min="4357" max="4357" width="1.7109375" style="3" customWidth="1"/>
    <col min="4358" max="4358" width="10.7109375" style="3" customWidth="1"/>
    <col min="4359" max="4360" width="9.140625" style="3"/>
    <col min="4361" max="4361" width="10.140625" style="3" customWidth="1"/>
    <col min="4362" max="4611" width="9.140625" style="3"/>
    <col min="4612" max="4612" width="41.7109375" style="3" customWidth="1"/>
    <col min="4613" max="4613" width="1.7109375" style="3" customWidth="1"/>
    <col min="4614" max="4614" width="10.7109375" style="3" customWidth="1"/>
    <col min="4615" max="4616" width="9.140625" style="3"/>
    <col min="4617" max="4617" width="10.140625" style="3" customWidth="1"/>
    <col min="4618" max="4867" width="9.140625" style="3"/>
    <col min="4868" max="4868" width="41.7109375" style="3" customWidth="1"/>
    <col min="4869" max="4869" width="1.7109375" style="3" customWidth="1"/>
    <col min="4870" max="4870" width="10.7109375" style="3" customWidth="1"/>
    <col min="4871" max="4872" width="9.140625" style="3"/>
    <col min="4873" max="4873" width="10.140625" style="3" customWidth="1"/>
    <col min="4874" max="5123" width="9.140625" style="3"/>
    <col min="5124" max="5124" width="41.7109375" style="3" customWidth="1"/>
    <col min="5125" max="5125" width="1.7109375" style="3" customWidth="1"/>
    <col min="5126" max="5126" width="10.7109375" style="3" customWidth="1"/>
    <col min="5127" max="5128" width="9.140625" style="3"/>
    <col min="5129" max="5129" width="10.140625" style="3" customWidth="1"/>
    <col min="5130" max="5379" width="9.140625" style="3"/>
    <col min="5380" max="5380" width="41.7109375" style="3" customWidth="1"/>
    <col min="5381" max="5381" width="1.7109375" style="3" customWidth="1"/>
    <col min="5382" max="5382" width="10.7109375" style="3" customWidth="1"/>
    <col min="5383" max="5384" width="9.140625" style="3"/>
    <col min="5385" max="5385" width="10.140625" style="3" customWidth="1"/>
    <col min="5386" max="5635" width="9.140625" style="3"/>
    <col min="5636" max="5636" width="41.7109375" style="3" customWidth="1"/>
    <col min="5637" max="5637" width="1.7109375" style="3" customWidth="1"/>
    <col min="5638" max="5638" width="10.7109375" style="3" customWidth="1"/>
    <col min="5639" max="5640" width="9.140625" style="3"/>
    <col min="5641" max="5641" width="10.140625" style="3" customWidth="1"/>
    <col min="5642" max="5891" width="9.140625" style="3"/>
    <col min="5892" max="5892" width="41.7109375" style="3" customWidth="1"/>
    <col min="5893" max="5893" width="1.7109375" style="3" customWidth="1"/>
    <col min="5894" max="5894" width="10.7109375" style="3" customWidth="1"/>
    <col min="5895" max="5896" width="9.140625" style="3"/>
    <col min="5897" max="5897" width="10.140625" style="3" customWidth="1"/>
    <col min="5898" max="6147" width="9.140625" style="3"/>
    <col min="6148" max="6148" width="41.7109375" style="3" customWidth="1"/>
    <col min="6149" max="6149" width="1.7109375" style="3" customWidth="1"/>
    <col min="6150" max="6150" width="10.7109375" style="3" customWidth="1"/>
    <col min="6151" max="6152" width="9.140625" style="3"/>
    <col min="6153" max="6153" width="10.140625" style="3" customWidth="1"/>
    <col min="6154" max="6403" width="9.140625" style="3"/>
    <col min="6404" max="6404" width="41.7109375" style="3" customWidth="1"/>
    <col min="6405" max="6405" width="1.7109375" style="3" customWidth="1"/>
    <col min="6406" max="6406" width="10.7109375" style="3" customWidth="1"/>
    <col min="6407" max="6408" width="9.140625" style="3"/>
    <col min="6409" max="6409" width="10.140625" style="3" customWidth="1"/>
    <col min="6410" max="6659" width="9.140625" style="3"/>
    <col min="6660" max="6660" width="41.7109375" style="3" customWidth="1"/>
    <col min="6661" max="6661" width="1.7109375" style="3" customWidth="1"/>
    <col min="6662" max="6662" width="10.7109375" style="3" customWidth="1"/>
    <col min="6663" max="6664" width="9.140625" style="3"/>
    <col min="6665" max="6665" width="10.140625" style="3" customWidth="1"/>
    <col min="6666" max="6915" width="9.140625" style="3"/>
    <col min="6916" max="6916" width="41.7109375" style="3" customWidth="1"/>
    <col min="6917" max="6917" width="1.7109375" style="3" customWidth="1"/>
    <col min="6918" max="6918" width="10.7109375" style="3" customWidth="1"/>
    <col min="6919" max="6920" width="9.140625" style="3"/>
    <col min="6921" max="6921" width="10.140625" style="3" customWidth="1"/>
    <col min="6922" max="7171" width="9.140625" style="3"/>
    <col min="7172" max="7172" width="41.7109375" style="3" customWidth="1"/>
    <col min="7173" max="7173" width="1.7109375" style="3" customWidth="1"/>
    <col min="7174" max="7174" width="10.7109375" style="3" customWidth="1"/>
    <col min="7175" max="7176" width="9.140625" style="3"/>
    <col min="7177" max="7177" width="10.140625" style="3" customWidth="1"/>
    <col min="7178" max="7427" width="9.140625" style="3"/>
    <col min="7428" max="7428" width="41.7109375" style="3" customWidth="1"/>
    <col min="7429" max="7429" width="1.7109375" style="3" customWidth="1"/>
    <col min="7430" max="7430" width="10.7109375" style="3" customWidth="1"/>
    <col min="7431" max="7432" width="9.140625" style="3"/>
    <col min="7433" max="7433" width="10.140625" style="3" customWidth="1"/>
    <col min="7434" max="7683" width="9.140625" style="3"/>
    <col min="7684" max="7684" width="41.7109375" style="3" customWidth="1"/>
    <col min="7685" max="7685" width="1.7109375" style="3" customWidth="1"/>
    <col min="7686" max="7686" width="10.7109375" style="3" customWidth="1"/>
    <col min="7687" max="7688" width="9.140625" style="3"/>
    <col min="7689" max="7689" width="10.140625" style="3" customWidth="1"/>
    <col min="7690" max="7939" width="9.140625" style="3"/>
    <col min="7940" max="7940" width="41.7109375" style="3" customWidth="1"/>
    <col min="7941" max="7941" width="1.7109375" style="3" customWidth="1"/>
    <col min="7942" max="7942" width="10.7109375" style="3" customWidth="1"/>
    <col min="7943" max="7944" width="9.140625" style="3"/>
    <col min="7945" max="7945" width="10.140625" style="3" customWidth="1"/>
    <col min="7946" max="8195" width="9.140625" style="3"/>
    <col min="8196" max="8196" width="41.7109375" style="3" customWidth="1"/>
    <col min="8197" max="8197" width="1.7109375" style="3" customWidth="1"/>
    <col min="8198" max="8198" width="10.7109375" style="3" customWidth="1"/>
    <col min="8199" max="8200" width="9.140625" style="3"/>
    <col min="8201" max="8201" width="10.140625" style="3" customWidth="1"/>
    <col min="8202" max="8451" width="9.140625" style="3"/>
    <col min="8452" max="8452" width="41.7109375" style="3" customWidth="1"/>
    <col min="8453" max="8453" width="1.7109375" style="3" customWidth="1"/>
    <col min="8454" max="8454" width="10.7109375" style="3" customWidth="1"/>
    <col min="8455" max="8456" width="9.140625" style="3"/>
    <col min="8457" max="8457" width="10.140625" style="3" customWidth="1"/>
    <col min="8458" max="8707" width="9.140625" style="3"/>
    <col min="8708" max="8708" width="41.7109375" style="3" customWidth="1"/>
    <col min="8709" max="8709" width="1.7109375" style="3" customWidth="1"/>
    <col min="8710" max="8710" width="10.7109375" style="3" customWidth="1"/>
    <col min="8711" max="8712" width="9.140625" style="3"/>
    <col min="8713" max="8713" width="10.140625" style="3" customWidth="1"/>
    <col min="8714" max="8963" width="9.140625" style="3"/>
    <col min="8964" max="8964" width="41.7109375" style="3" customWidth="1"/>
    <col min="8965" max="8965" width="1.7109375" style="3" customWidth="1"/>
    <col min="8966" max="8966" width="10.7109375" style="3" customWidth="1"/>
    <col min="8967" max="8968" width="9.140625" style="3"/>
    <col min="8969" max="8969" width="10.140625" style="3" customWidth="1"/>
    <col min="8970" max="9219" width="9.140625" style="3"/>
    <col min="9220" max="9220" width="41.7109375" style="3" customWidth="1"/>
    <col min="9221" max="9221" width="1.7109375" style="3" customWidth="1"/>
    <col min="9222" max="9222" width="10.7109375" style="3" customWidth="1"/>
    <col min="9223" max="9224" width="9.140625" style="3"/>
    <col min="9225" max="9225" width="10.140625" style="3" customWidth="1"/>
    <col min="9226" max="9475" width="9.140625" style="3"/>
    <col min="9476" max="9476" width="41.7109375" style="3" customWidth="1"/>
    <col min="9477" max="9477" width="1.7109375" style="3" customWidth="1"/>
    <col min="9478" max="9478" width="10.7109375" style="3" customWidth="1"/>
    <col min="9479" max="9480" width="9.140625" style="3"/>
    <col min="9481" max="9481" width="10.140625" style="3" customWidth="1"/>
    <col min="9482" max="9731" width="9.140625" style="3"/>
    <col min="9732" max="9732" width="41.7109375" style="3" customWidth="1"/>
    <col min="9733" max="9733" width="1.7109375" style="3" customWidth="1"/>
    <col min="9734" max="9734" width="10.7109375" style="3" customWidth="1"/>
    <col min="9735" max="9736" width="9.140625" style="3"/>
    <col min="9737" max="9737" width="10.140625" style="3" customWidth="1"/>
    <col min="9738" max="9987" width="9.140625" style="3"/>
    <col min="9988" max="9988" width="41.7109375" style="3" customWidth="1"/>
    <col min="9989" max="9989" width="1.7109375" style="3" customWidth="1"/>
    <col min="9990" max="9990" width="10.7109375" style="3" customWidth="1"/>
    <col min="9991" max="9992" width="9.140625" style="3"/>
    <col min="9993" max="9993" width="10.140625" style="3" customWidth="1"/>
    <col min="9994" max="10243" width="9.140625" style="3"/>
    <col min="10244" max="10244" width="41.7109375" style="3" customWidth="1"/>
    <col min="10245" max="10245" width="1.7109375" style="3" customWidth="1"/>
    <col min="10246" max="10246" width="10.7109375" style="3" customWidth="1"/>
    <col min="10247" max="10248" width="9.140625" style="3"/>
    <col min="10249" max="10249" width="10.140625" style="3" customWidth="1"/>
    <col min="10250" max="10499" width="9.140625" style="3"/>
    <col min="10500" max="10500" width="41.7109375" style="3" customWidth="1"/>
    <col min="10501" max="10501" width="1.7109375" style="3" customWidth="1"/>
    <col min="10502" max="10502" width="10.7109375" style="3" customWidth="1"/>
    <col min="10503" max="10504" width="9.140625" style="3"/>
    <col min="10505" max="10505" width="10.140625" style="3" customWidth="1"/>
    <col min="10506" max="10755" width="9.140625" style="3"/>
    <col min="10756" max="10756" width="41.7109375" style="3" customWidth="1"/>
    <col min="10757" max="10757" width="1.7109375" style="3" customWidth="1"/>
    <col min="10758" max="10758" width="10.7109375" style="3" customWidth="1"/>
    <col min="10759" max="10760" width="9.140625" style="3"/>
    <col min="10761" max="10761" width="10.140625" style="3" customWidth="1"/>
    <col min="10762" max="11011" width="9.140625" style="3"/>
    <col min="11012" max="11012" width="41.7109375" style="3" customWidth="1"/>
    <col min="11013" max="11013" width="1.7109375" style="3" customWidth="1"/>
    <col min="11014" max="11014" width="10.7109375" style="3" customWidth="1"/>
    <col min="11015" max="11016" width="9.140625" style="3"/>
    <col min="11017" max="11017" width="10.140625" style="3" customWidth="1"/>
    <col min="11018" max="11267" width="9.140625" style="3"/>
    <col min="11268" max="11268" width="41.7109375" style="3" customWidth="1"/>
    <col min="11269" max="11269" width="1.7109375" style="3" customWidth="1"/>
    <col min="11270" max="11270" width="10.7109375" style="3" customWidth="1"/>
    <col min="11271" max="11272" width="9.140625" style="3"/>
    <col min="11273" max="11273" width="10.140625" style="3" customWidth="1"/>
    <col min="11274" max="11523" width="9.140625" style="3"/>
    <col min="11524" max="11524" width="41.7109375" style="3" customWidth="1"/>
    <col min="11525" max="11525" width="1.7109375" style="3" customWidth="1"/>
    <col min="11526" max="11526" width="10.7109375" style="3" customWidth="1"/>
    <col min="11527" max="11528" width="9.140625" style="3"/>
    <col min="11529" max="11529" width="10.140625" style="3" customWidth="1"/>
    <col min="11530" max="11779" width="9.140625" style="3"/>
    <col min="11780" max="11780" width="41.7109375" style="3" customWidth="1"/>
    <col min="11781" max="11781" width="1.7109375" style="3" customWidth="1"/>
    <col min="11782" max="11782" width="10.7109375" style="3" customWidth="1"/>
    <col min="11783" max="11784" width="9.140625" style="3"/>
    <col min="11785" max="11785" width="10.140625" style="3" customWidth="1"/>
    <col min="11786" max="12035" width="9.140625" style="3"/>
    <col min="12036" max="12036" width="41.7109375" style="3" customWidth="1"/>
    <col min="12037" max="12037" width="1.7109375" style="3" customWidth="1"/>
    <col min="12038" max="12038" width="10.7109375" style="3" customWidth="1"/>
    <col min="12039" max="12040" width="9.140625" style="3"/>
    <col min="12041" max="12041" width="10.140625" style="3" customWidth="1"/>
    <col min="12042" max="12291" width="9.140625" style="3"/>
    <col min="12292" max="12292" width="41.7109375" style="3" customWidth="1"/>
    <col min="12293" max="12293" width="1.7109375" style="3" customWidth="1"/>
    <col min="12294" max="12294" width="10.7109375" style="3" customWidth="1"/>
    <col min="12295" max="12296" width="9.140625" style="3"/>
    <col min="12297" max="12297" width="10.140625" style="3" customWidth="1"/>
    <col min="12298" max="12547" width="9.140625" style="3"/>
    <col min="12548" max="12548" width="41.7109375" style="3" customWidth="1"/>
    <col min="12549" max="12549" width="1.7109375" style="3" customWidth="1"/>
    <col min="12550" max="12550" width="10.7109375" style="3" customWidth="1"/>
    <col min="12551" max="12552" width="9.140625" style="3"/>
    <col min="12553" max="12553" width="10.140625" style="3" customWidth="1"/>
    <col min="12554" max="12803" width="9.140625" style="3"/>
    <col min="12804" max="12804" width="41.7109375" style="3" customWidth="1"/>
    <col min="12805" max="12805" width="1.7109375" style="3" customWidth="1"/>
    <col min="12806" max="12806" width="10.7109375" style="3" customWidth="1"/>
    <col min="12807" max="12808" width="9.140625" style="3"/>
    <col min="12809" max="12809" width="10.140625" style="3" customWidth="1"/>
    <col min="12810" max="13059" width="9.140625" style="3"/>
    <col min="13060" max="13060" width="41.7109375" style="3" customWidth="1"/>
    <col min="13061" max="13061" width="1.7109375" style="3" customWidth="1"/>
    <col min="13062" max="13062" width="10.7109375" style="3" customWidth="1"/>
    <col min="13063" max="13064" width="9.140625" style="3"/>
    <col min="13065" max="13065" width="10.140625" style="3" customWidth="1"/>
    <col min="13066" max="13315" width="9.140625" style="3"/>
    <col min="13316" max="13316" width="41.7109375" style="3" customWidth="1"/>
    <col min="13317" max="13317" width="1.7109375" style="3" customWidth="1"/>
    <col min="13318" max="13318" width="10.7109375" style="3" customWidth="1"/>
    <col min="13319" max="13320" width="9.140625" style="3"/>
    <col min="13321" max="13321" width="10.140625" style="3" customWidth="1"/>
    <col min="13322" max="13571" width="9.140625" style="3"/>
    <col min="13572" max="13572" width="41.7109375" style="3" customWidth="1"/>
    <col min="13573" max="13573" width="1.7109375" style="3" customWidth="1"/>
    <col min="13574" max="13574" width="10.7109375" style="3" customWidth="1"/>
    <col min="13575" max="13576" width="9.140625" style="3"/>
    <col min="13577" max="13577" width="10.140625" style="3" customWidth="1"/>
    <col min="13578" max="13827" width="9.140625" style="3"/>
    <col min="13828" max="13828" width="41.7109375" style="3" customWidth="1"/>
    <col min="13829" max="13829" width="1.7109375" style="3" customWidth="1"/>
    <col min="13830" max="13830" width="10.7109375" style="3" customWidth="1"/>
    <col min="13831" max="13832" width="9.140625" style="3"/>
    <col min="13833" max="13833" width="10.140625" style="3" customWidth="1"/>
    <col min="13834" max="14083" width="9.140625" style="3"/>
    <col min="14084" max="14084" width="41.7109375" style="3" customWidth="1"/>
    <col min="14085" max="14085" width="1.7109375" style="3" customWidth="1"/>
    <col min="14086" max="14086" width="10.7109375" style="3" customWidth="1"/>
    <col min="14087" max="14088" width="9.140625" style="3"/>
    <col min="14089" max="14089" width="10.140625" style="3" customWidth="1"/>
    <col min="14090" max="14339" width="9.140625" style="3"/>
    <col min="14340" max="14340" width="41.7109375" style="3" customWidth="1"/>
    <col min="14341" max="14341" width="1.7109375" style="3" customWidth="1"/>
    <col min="14342" max="14342" width="10.7109375" style="3" customWidth="1"/>
    <col min="14343" max="14344" width="9.140625" style="3"/>
    <col min="14345" max="14345" width="10.140625" style="3" customWidth="1"/>
    <col min="14346" max="14595" width="9.140625" style="3"/>
    <col min="14596" max="14596" width="41.7109375" style="3" customWidth="1"/>
    <col min="14597" max="14597" width="1.7109375" style="3" customWidth="1"/>
    <col min="14598" max="14598" width="10.7109375" style="3" customWidth="1"/>
    <col min="14599" max="14600" width="9.140625" style="3"/>
    <col min="14601" max="14601" width="10.140625" style="3" customWidth="1"/>
    <col min="14602" max="14851" width="9.140625" style="3"/>
    <col min="14852" max="14852" width="41.7109375" style="3" customWidth="1"/>
    <col min="14853" max="14853" width="1.7109375" style="3" customWidth="1"/>
    <col min="14854" max="14854" width="10.7109375" style="3" customWidth="1"/>
    <col min="14855" max="14856" width="9.140625" style="3"/>
    <col min="14857" max="14857" width="10.140625" style="3" customWidth="1"/>
    <col min="14858" max="15107" width="9.140625" style="3"/>
    <col min="15108" max="15108" width="41.7109375" style="3" customWidth="1"/>
    <col min="15109" max="15109" width="1.7109375" style="3" customWidth="1"/>
    <col min="15110" max="15110" width="10.7109375" style="3" customWidth="1"/>
    <col min="15111" max="15112" width="9.140625" style="3"/>
    <col min="15113" max="15113" width="10.140625" style="3" customWidth="1"/>
    <col min="15114" max="15363" width="9.140625" style="3"/>
    <col min="15364" max="15364" width="41.7109375" style="3" customWidth="1"/>
    <col min="15365" max="15365" width="1.7109375" style="3" customWidth="1"/>
    <col min="15366" max="15366" width="10.7109375" style="3" customWidth="1"/>
    <col min="15367" max="15368" width="9.140625" style="3"/>
    <col min="15369" max="15369" width="10.140625" style="3" customWidth="1"/>
    <col min="15370" max="15619" width="9.140625" style="3"/>
    <col min="15620" max="15620" width="41.7109375" style="3" customWidth="1"/>
    <col min="15621" max="15621" width="1.7109375" style="3" customWidth="1"/>
    <col min="15622" max="15622" width="10.7109375" style="3" customWidth="1"/>
    <col min="15623" max="15624" width="9.140625" style="3"/>
    <col min="15625" max="15625" width="10.140625" style="3" customWidth="1"/>
    <col min="15626" max="15875" width="9.140625" style="3"/>
    <col min="15876" max="15876" width="41.7109375" style="3" customWidth="1"/>
    <col min="15877" max="15877" width="1.7109375" style="3" customWidth="1"/>
    <col min="15878" max="15878" width="10.7109375" style="3" customWidth="1"/>
    <col min="15879" max="15880" width="9.140625" style="3"/>
    <col min="15881" max="15881" width="10.140625" style="3" customWidth="1"/>
    <col min="15882" max="16131" width="9.140625" style="3"/>
    <col min="16132" max="16132" width="41.7109375" style="3" customWidth="1"/>
    <col min="16133" max="16133" width="1.7109375" style="3" customWidth="1"/>
    <col min="16134" max="16134" width="10.7109375" style="3" customWidth="1"/>
    <col min="16135" max="16136" width="9.140625" style="3"/>
    <col min="16137" max="16137" width="10.140625" style="3" customWidth="1"/>
    <col min="16138" max="16384" width="9.140625" style="3"/>
  </cols>
  <sheetData>
    <row r="6" spans="4:11" s="73" customFormat="1" ht="12.75" customHeight="1" x14ac:dyDescent="0.35">
      <c r="D6" s="77" t="s">
        <v>182</v>
      </c>
      <c r="E6" s="125"/>
      <c r="F6" s="125"/>
      <c r="G6" s="125"/>
      <c r="H6" s="125"/>
    </row>
    <row r="7" spans="4:11" x14ac:dyDescent="0.25">
      <c r="E7" s="126"/>
    </row>
    <row r="8" spans="4:11" x14ac:dyDescent="0.25">
      <c r="D8" s="5" t="s">
        <v>183</v>
      </c>
      <c r="E8" s="127" t="s">
        <v>184</v>
      </c>
      <c r="F8" s="128" t="str">
        <f>CONCATENATE('[1]Dimensionamento do Duto 1'!$F$8,", ",'[1]Dimensionamento do Duto 1'!$G$8,IF('[1]Dimensionamento do Duto 1'!$I$8&lt;&gt;" ",'[1]Dimensionamento do Duto 1'!$I$8, ),", ",IF('[1]Dimensionamento do Duto 1'!$J$8&lt;&gt;" ",'[1]Dimensionamento do Duto 1'!$I$8, ),IF('[1]Dimensionamento do Duto 1'!$J$8&lt;&gt;" ",'[1]Dimensionamento do Duto 1'!$J$8, ),IF('[1]Dimensionamento do Duto 1'!$K$8&lt;&gt;" ",'[1]Dimensionamento do Duto 1'!$K$8, ))</f>
        <v>GLP, GAS. A,  DIESEL</v>
      </c>
      <c r="G8" s="128"/>
      <c r="H8" s="128"/>
      <c r="I8" s="128"/>
      <c r="J8" s="129"/>
    </row>
    <row r="9" spans="4:11" ht="12.75" customHeight="1" x14ac:dyDescent="0.25">
      <c r="D9" s="5" t="s">
        <v>185</v>
      </c>
      <c r="E9" s="127" t="s">
        <v>184</v>
      </c>
      <c r="F9" s="128" t="str">
        <f>CONCATENATE('[1]Entrada de Dados-Abrangência'!E7,"/ ",'[1]Entrada de Dados-Escolha Termin'!F10,"/ ",'[1]Entrada de Dados-Escolha Termin'!F11,"/ ",'[1]Entrada de Dados-Escolha Termin'!F12,"/ ",'[1]Entrada de Dados-Escolha Termin'!F13,"/ ",'[1]Entrada de Dados-Escolha Termin'!F14,"/ ",'[1]Entrada de Dados-Escolha Termin'!F15,"/ ",'[1]Entrada de Dados-Escolha Termin'!F16)</f>
        <v>ARAUCARIA/ LONDRINA/ CAMPO_GRANDE/ CUIABA/ -/ -/ -/ -</v>
      </c>
      <c r="G9" s="128"/>
      <c r="H9" s="128"/>
      <c r="I9" s="128"/>
      <c r="J9" s="129"/>
    </row>
    <row r="10" spans="4:11" x14ac:dyDescent="0.25">
      <c r="D10" s="5" t="s">
        <v>186</v>
      </c>
      <c r="E10" s="127" t="s">
        <v>184</v>
      </c>
      <c r="F10" s="128">
        <f>COUNTIF('[1]Entrada de Dados-Abrangência'!Q79:Q108,"&lt;&gt; ")-COUNTIF('[1]Tabelas de Apoio'!M39:M68,"&lt;&gt; ")</f>
        <v>20</v>
      </c>
      <c r="G10" s="129"/>
      <c r="H10" s="129"/>
      <c r="I10" s="129"/>
      <c r="J10" s="129"/>
    </row>
    <row r="11" spans="4:11" x14ac:dyDescent="0.25">
      <c r="D11" s="5" t="s">
        <v>187</v>
      </c>
      <c r="E11" s="127" t="s">
        <v>184</v>
      </c>
      <c r="F11" s="130">
        <f>SUM(F12:F18)</f>
        <v>1351.8745457211589</v>
      </c>
      <c r="G11" s="128" t="s">
        <v>188</v>
      </c>
      <c r="H11" s="128"/>
      <c r="I11" s="128"/>
      <c r="J11" s="128"/>
      <c r="K11" s="128"/>
    </row>
    <row r="12" spans="4:11" x14ac:dyDescent="0.25">
      <c r="D12" s="131" t="str">
        <f>CONCATENATE('[1]Dimensionamento do Duto 2'!E7," a ",'[1]Dimensionamento do Duto 2'!G7)</f>
        <v>ARAUCARIA a LONDRINA</v>
      </c>
      <c r="E12" s="132" t="s">
        <v>184</v>
      </c>
      <c r="F12" s="133">
        <f>IF(D12&lt;&gt;" ",'[1]Dimensionamento do Duto 2'!I7," ")</f>
        <v>309.84869082587034</v>
      </c>
      <c r="G12" s="134" t="str">
        <f t="shared" ref="G12:G18" si="0">IF(D12&lt;&gt;" ","km"," ")</f>
        <v>km</v>
      </c>
      <c r="H12" s="128"/>
      <c r="I12" s="128"/>
      <c r="J12" s="128"/>
      <c r="K12" s="5"/>
    </row>
    <row r="13" spans="4:11" x14ac:dyDescent="0.25">
      <c r="D13" s="131" t="str">
        <f>IF('[1]Entrada de Dados-Abrangência'!E$6&gt;1,CONCATENATE('[1]Dimensionamento do Duto 2'!E8," a ",'[1]Dimensionamento do Duto 2'!G8)," ")</f>
        <v>LONDRINA a CAMPO_GRANDE</v>
      </c>
      <c r="E13" s="132" t="s">
        <v>184</v>
      </c>
      <c r="F13" s="133">
        <f>IF(D13&lt;&gt;" ",'[1]Dimensionamento do Duto 2'!I8," ")</f>
        <v>477.08811164064713</v>
      </c>
      <c r="G13" s="134" t="str">
        <f t="shared" si="0"/>
        <v>km</v>
      </c>
      <c r="H13" s="128"/>
      <c r="I13" s="128"/>
      <c r="J13" s="128"/>
      <c r="K13" s="5"/>
    </row>
    <row r="14" spans="4:11" x14ac:dyDescent="0.25">
      <c r="D14" s="131" t="str">
        <f>IF('[1]Entrada de Dados-Abrangência'!E$6&gt;2,CONCATENATE('[1]Dimensionamento do Duto 2'!E9," a ",'[1]Dimensionamento do Duto 2'!G9)," ")</f>
        <v>CAMPO_GRANDE a CUIABA</v>
      </c>
      <c r="E14" s="132"/>
      <c r="F14" s="133">
        <f>IF(D14&lt;&gt;" ",'[1]Dimensionamento do Duto 2'!I9," ")</f>
        <v>564.9377432546413</v>
      </c>
      <c r="G14" s="134" t="str">
        <f t="shared" si="0"/>
        <v>km</v>
      </c>
      <c r="H14" s="128"/>
      <c r="I14" s="128"/>
      <c r="J14" s="128"/>
      <c r="K14" s="5"/>
    </row>
    <row r="15" spans="4:11" x14ac:dyDescent="0.25">
      <c r="D15" s="131" t="str">
        <f>IF('[1]Entrada de Dados-Abrangência'!E$6&gt;3,CONCATENATE('[1]Dimensionamento do Duto 2'!E10," a ",'[1]Dimensionamento do Duto 2'!G10)," ")</f>
        <v xml:space="preserve"> </v>
      </c>
      <c r="E15" s="132"/>
      <c r="F15" s="133" t="str">
        <f>IF(D15&lt;&gt;" ",'[1]Dimensionamento do Duto 2'!I10," ")</f>
        <v xml:space="preserve"> </v>
      </c>
      <c r="G15" s="134" t="str">
        <f t="shared" si="0"/>
        <v xml:space="preserve"> </v>
      </c>
      <c r="H15" s="128"/>
      <c r="I15" s="128"/>
      <c r="J15" s="128"/>
      <c r="K15" s="5"/>
    </row>
    <row r="16" spans="4:11" x14ac:dyDescent="0.25">
      <c r="D16" s="131" t="str">
        <f>IF('[1]Entrada de Dados-Abrangência'!E$6&gt;4,CONCATENATE('[1]Dimensionamento do Duto 2'!E11," a ",'[1]Dimensionamento do Duto 2'!G11)," ")</f>
        <v xml:space="preserve"> </v>
      </c>
      <c r="E16" s="132"/>
      <c r="F16" s="133" t="str">
        <f>IF(D16&lt;&gt;" ",'[1]Dimensionamento do Duto 2'!I11," ")</f>
        <v xml:space="preserve"> </v>
      </c>
      <c r="G16" s="134" t="str">
        <f t="shared" si="0"/>
        <v xml:space="preserve"> </v>
      </c>
      <c r="H16" s="128"/>
      <c r="I16" s="128"/>
      <c r="J16" s="128"/>
      <c r="K16" s="5"/>
    </row>
    <row r="17" spans="4:11" ht="12.75" customHeight="1" x14ac:dyDescent="0.25">
      <c r="D17" s="131" t="str">
        <f>IF('[1]Entrada de Dados-Abrangência'!E$6&gt;5,CONCATENATE('[1]Dimensionamento do Duto 2'!E12," a ",'[1]Dimensionamento do Duto 2'!G12)," ")</f>
        <v xml:space="preserve"> </v>
      </c>
      <c r="E17" s="132"/>
      <c r="F17" s="133" t="str">
        <f>IF(D17&lt;&gt;" ",'[1]Dimensionamento do Duto 2'!I12," ")</f>
        <v xml:space="preserve"> </v>
      </c>
      <c r="G17" s="134" t="str">
        <f t="shared" si="0"/>
        <v xml:space="preserve"> </v>
      </c>
      <c r="H17" s="128"/>
      <c r="I17" s="128"/>
      <c r="J17" s="128"/>
      <c r="K17" s="5"/>
    </row>
    <row r="18" spans="4:11" x14ac:dyDescent="0.25">
      <c r="D18" s="131" t="str">
        <f>IF('[1]Entrada de Dados-Abrangência'!E$6&gt;6,CONCATENATE('[1]Dimensionamento do Duto 2'!E13," a ",'[1]Dimensionamento do Duto 2'!G13)," ")</f>
        <v xml:space="preserve"> </v>
      </c>
      <c r="E18" s="132"/>
      <c r="F18" s="133" t="str">
        <f>IF(D18&lt;&gt;" ",'[1]Dimensionamento do Duto 2'!I13," ")</f>
        <v xml:space="preserve"> </v>
      </c>
      <c r="G18" s="134" t="str">
        <f t="shared" si="0"/>
        <v xml:space="preserve"> </v>
      </c>
      <c r="H18" s="128"/>
      <c r="I18" s="128"/>
      <c r="J18" s="128"/>
      <c r="K18" s="5"/>
    </row>
    <row r="19" spans="4:11" x14ac:dyDescent="0.25">
      <c r="D19" s="131"/>
      <c r="E19" s="132"/>
      <c r="F19" s="133"/>
      <c r="G19" s="134"/>
      <c r="H19" s="128"/>
      <c r="I19" s="128"/>
      <c r="J19" s="128"/>
      <c r="K19" s="5"/>
    </row>
    <row r="20" spans="4:11" x14ac:dyDescent="0.25">
      <c r="D20" s="5" t="s">
        <v>189</v>
      </c>
      <c r="E20" s="127"/>
      <c r="F20" s="128"/>
      <c r="G20" s="128"/>
      <c r="H20" s="128"/>
      <c r="I20" s="128"/>
      <c r="J20" s="129"/>
    </row>
    <row r="21" spans="4:11" x14ac:dyDescent="0.25">
      <c r="D21" s="131" t="str">
        <f>CONCATENATE('[1]Dimensionamento do Duto 2'!E7," a ",'[1]Dimensionamento do Duto 2'!G7)</f>
        <v>ARAUCARIA a LONDRINA</v>
      </c>
      <c r="E21" s="127" t="s">
        <v>184</v>
      </c>
      <c r="F21" s="128">
        <f>IF(D21&lt;&gt;" ",'[1]Investimento no Duto'!M14," ")</f>
        <v>18</v>
      </c>
      <c r="G21" s="128" t="str">
        <f t="shared" ref="G21:G27" si="1">IF(D21&lt;&gt;" ","pol"," ")</f>
        <v>pol</v>
      </c>
      <c r="H21" s="128"/>
      <c r="I21" s="128"/>
      <c r="J21" s="129"/>
    </row>
    <row r="22" spans="4:11" x14ac:dyDescent="0.25">
      <c r="D22" s="131" t="str">
        <f>IF('[1]Entrada de Dados-Abrangência'!E$6&gt;1,CONCATENATE('[1]Dimensionamento do Duto 2'!E8," a ",'[1]Dimensionamento do Duto 2'!G8)," ")</f>
        <v>LONDRINA a CAMPO_GRANDE</v>
      </c>
      <c r="E22" s="127" t="s">
        <v>184</v>
      </c>
      <c r="F22" s="128">
        <f>IF(D22&lt;&gt;" ",'[1]Investimento no Duto'!M15," ")</f>
        <v>12</v>
      </c>
      <c r="G22" s="128" t="str">
        <f t="shared" si="1"/>
        <v>pol</v>
      </c>
      <c r="H22" s="128"/>
      <c r="I22" s="128"/>
      <c r="J22" s="129"/>
    </row>
    <row r="23" spans="4:11" x14ac:dyDescent="0.25">
      <c r="D23" s="131" t="str">
        <f>IF('[1]Entrada de Dados-Abrangência'!E$6&gt;2,CONCATENATE('[1]Dimensionamento do Duto 2'!E9," a ",'[1]Dimensionamento do Duto 2'!G9)," ")</f>
        <v>CAMPO_GRANDE a CUIABA</v>
      </c>
      <c r="E23" s="127" t="s">
        <v>184</v>
      </c>
      <c r="F23" s="128">
        <f>IF(D23&lt;&gt;" ",'[1]Investimento no Duto'!M16," ")</f>
        <v>8</v>
      </c>
      <c r="G23" s="128" t="str">
        <f t="shared" si="1"/>
        <v>pol</v>
      </c>
      <c r="H23" s="128"/>
      <c r="I23" s="128"/>
      <c r="J23" s="129"/>
    </row>
    <row r="24" spans="4:11" x14ac:dyDescent="0.25">
      <c r="D24" s="131" t="str">
        <f>IF('[1]Entrada de Dados-Abrangência'!E$6&gt;3,CONCATENATE('[1]Dimensionamento do Duto 2'!E10," a ",'[1]Dimensionamento do Duto 2'!G10)," ")</f>
        <v xml:space="preserve"> </v>
      </c>
      <c r="E24" s="127" t="s">
        <v>184</v>
      </c>
      <c r="F24" s="128" t="str">
        <f>IF(D24&lt;&gt;" ",'[1]Investimento no Duto'!M17," ")</f>
        <v xml:space="preserve"> </v>
      </c>
      <c r="G24" s="128" t="str">
        <f t="shared" si="1"/>
        <v xml:space="preserve"> </v>
      </c>
      <c r="H24" s="128"/>
      <c r="I24" s="128"/>
      <c r="J24" s="129"/>
    </row>
    <row r="25" spans="4:11" x14ac:dyDescent="0.25">
      <c r="D25" s="131" t="str">
        <f>IF('[1]Entrada de Dados-Abrangência'!E$6&gt;4,CONCATENATE('[1]Dimensionamento do Duto 2'!E11," a ",'[1]Dimensionamento do Duto 2'!G11)," ")</f>
        <v xml:space="preserve"> </v>
      </c>
      <c r="E25" s="127" t="s">
        <v>184</v>
      </c>
      <c r="F25" s="128" t="str">
        <f>IF(D25&lt;&gt;" ",'[1]Investimento no Duto'!M18," ")</f>
        <v xml:space="preserve"> </v>
      </c>
      <c r="G25" s="128" t="str">
        <f t="shared" si="1"/>
        <v xml:space="preserve"> </v>
      </c>
      <c r="I25" s="129"/>
      <c r="J25" s="129"/>
    </row>
    <row r="26" spans="4:11" x14ac:dyDescent="0.25">
      <c r="D26" s="131" t="str">
        <f>IF('[1]Entrada de Dados-Abrangência'!E$6&gt;5,CONCATENATE('[1]Dimensionamento do Duto 2'!E12," a ",'[1]Dimensionamento do Duto 2'!G12)," ")</f>
        <v xml:space="preserve"> </v>
      </c>
      <c r="E26" s="127" t="s">
        <v>184</v>
      </c>
      <c r="F26" s="128" t="str">
        <f>IF(D26&lt;&gt;" ",'[1]Investimento no Duto'!M19," ")</f>
        <v xml:space="preserve"> </v>
      </c>
      <c r="G26" s="128" t="str">
        <f t="shared" si="1"/>
        <v xml:space="preserve"> </v>
      </c>
      <c r="I26" s="129"/>
      <c r="J26" s="129"/>
    </row>
    <row r="27" spans="4:11" x14ac:dyDescent="0.25">
      <c r="D27" s="131" t="str">
        <f>IF('[1]Entrada de Dados-Abrangência'!E$6&gt;6,CONCATENATE('[1]Dimensionamento do Duto 2'!E13," a ",'[1]Dimensionamento do Duto 2'!G13)," ")</f>
        <v xml:space="preserve"> </v>
      </c>
      <c r="E27" s="127" t="s">
        <v>184</v>
      </c>
      <c r="F27" s="128" t="str">
        <f>IF(D27&lt;&gt;" ",'[1]Investimento no Duto'!M20," ")</f>
        <v xml:space="preserve"> </v>
      </c>
      <c r="G27" s="128" t="str">
        <f t="shared" si="1"/>
        <v xml:space="preserve"> </v>
      </c>
    </row>
    <row r="29" spans="4:11" x14ac:dyDescent="0.25">
      <c r="D29" s="5" t="s">
        <v>190</v>
      </c>
      <c r="E29" s="127" t="s">
        <v>184</v>
      </c>
      <c r="F29" s="128">
        <f>'[1]Entrada de Dados-Escolha Termin'!$F$9</f>
        <v>3</v>
      </c>
      <c r="G29" s="129"/>
      <c r="H29" s="129"/>
    </row>
    <row r="30" spans="4:11" x14ac:dyDescent="0.25">
      <c r="D30" s="5" t="s">
        <v>191</v>
      </c>
      <c r="E30" s="127" t="s">
        <v>184</v>
      </c>
      <c r="F30" s="128" t="s">
        <v>192</v>
      </c>
      <c r="G30" s="135">
        <f>'[1]Entrada de Dados-Parâmetros'!E14</f>
        <v>2017</v>
      </c>
      <c r="H30" s="128"/>
    </row>
    <row r="31" spans="4:11" x14ac:dyDescent="0.25">
      <c r="D31" s="5" t="s">
        <v>193</v>
      </c>
      <c r="E31" s="127" t="s">
        <v>184</v>
      </c>
      <c r="F31" s="5">
        <f>'[1]Entrada de Dados-Parâmetros'!E16</f>
        <v>2026</v>
      </c>
      <c r="G31" s="5" t="s">
        <v>194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5:N33"/>
  <sheetViews>
    <sheetView workbookViewId="0">
      <selection activeCell="E5" sqref="E5"/>
    </sheetView>
  </sheetViews>
  <sheetFormatPr defaultRowHeight="15" x14ac:dyDescent="0.25"/>
  <cols>
    <col min="7" max="7" width="9.140625" style="4"/>
    <col min="10" max="10" width="12.42578125" customWidth="1"/>
    <col min="11" max="11" width="13.28515625" customWidth="1"/>
    <col min="12" max="12" width="10.42578125" customWidth="1"/>
  </cols>
  <sheetData>
    <row r="5" spans="7:14" x14ac:dyDescent="0.25">
      <c r="G5" s="150" t="s">
        <v>118</v>
      </c>
      <c r="H5" s="150"/>
      <c r="I5" s="150"/>
      <c r="J5" s="150"/>
      <c r="K5" s="151" t="s">
        <v>249</v>
      </c>
      <c r="L5" s="152"/>
      <c r="M5" s="152"/>
      <c r="N5" s="153"/>
    </row>
    <row r="6" spans="7:14" x14ac:dyDescent="0.25">
      <c r="G6" s="150"/>
      <c r="H6" s="150"/>
      <c r="I6" s="150"/>
      <c r="J6" s="150"/>
      <c r="K6" s="154"/>
      <c r="L6" s="155"/>
      <c r="M6" s="155"/>
      <c r="N6" s="156"/>
    </row>
    <row r="7" spans="7:14" x14ac:dyDescent="0.25">
      <c r="G7" s="139" t="s">
        <v>247</v>
      </c>
      <c r="H7" s="150" t="s">
        <v>246</v>
      </c>
      <c r="I7" s="150"/>
      <c r="J7" s="150"/>
      <c r="K7" s="139" t="s">
        <v>71</v>
      </c>
      <c r="L7" s="139" t="s">
        <v>220</v>
      </c>
      <c r="M7" s="139" t="s">
        <v>221</v>
      </c>
      <c r="N7" s="81" t="s">
        <v>248</v>
      </c>
    </row>
    <row r="8" spans="7:14" x14ac:dyDescent="0.25">
      <c r="G8" s="146" t="s">
        <v>203</v>
      </c>
      <c r="H8" s="136" t="s">
        <v>215</v>
      </c>
      <c r="K8" s="143">
        <v>55.242089203907376</v>
      </c>
      <c r="L8" s="140">
        <v>0</v>
      </c>
      <c r="M8" s="140">
        <v>0</v>
      </c>
      <c r="N8" s="144">
        <v>55.242089203907376</v>
      </c>
    </row>
    <row r="9" spans="7:14" x14ac:dyDescent="0.25">
      <c r="G9" s="147" t="s">
        <v>203</v>
      </c>
      <c r="H9" s="136" t="s">
        <v>217</v>
      </c>
      <c r="K9" s="142">
        <v>27.546839955352795</v>
      </c>
      <c r="L9" s="145">
        <v>0</v>
      </c>
      <c r="M9" s="145">
        <v>0</v>
      </c>
      <c r="N9" s="141">
        <v>27.546839955352795</v>
      </c>
    </row>
    <row r="10" spans="7:14" x14ac:dyDescent="0.25">
      <c r="G10" s="147" t="s">
        <v>203</v>
      </c>
      <c r="H10" s="136" t="s">
        <v>222</v>
      </c>
      <c r="K10" s="142">
        <v>79.444665429941836</v>
      </c>
      <c r="L10" s="145">
        <v>186.57246048835768</v>
      </c>
      <c r="M10" s="145">
        <v>1527.4853841345275</v>
      </c>
      <c r="N10" s="141">
        <v>1793.5025100528269</v>
      </c>
    </row>
    <row r="11" spans="7:14" x14ac:dyDescent="0.25">
      <c r="G11" s="148" t="s">
        <v>198</v>
      </c>
      <c r="H11" s="136" t="s">
        <v>223</v>
      </c>
      <c r="K11" s="142">
        <v>0</v>
      </c>
      <c r="L11" s="145">
        <v>8.4798238291570396</v>
      </c>
      <c r="M11" s="145">
        <v>29.978216634731396</v>
      </c>
      <c r="N11" s="141">
        <v>38.458040463888437</v>
      </c>
    </row>
    <row r="12" spans="7:14" x14ac:dyDescent="0.25">
      <c r="G12" s="147" t="s">
        <v>196</v>
      </c>
      <c r="H12" s="136" t="s">
        <v>197</v>
      </c>
      <c r="K12" s="142">
        <v>170.86207714954784</v>
      </c>
      <c r="L12" s="145">
        <v>310.29861985355649</v>
      </c>
      <c r="M12" s="145">
        <v>1253.5658434840968</v>
      </c>
      <c r="N12" s="141">
        <v>1734.7265404872012</v>
      </c>
    </row>
    <row r="13" spans="7:14" x14ac:dyDescent="0.25">
      <c r="G13" s="147" t="s">
        <v>200</v>
      </c>
      <c r="H13" s="136" t="s">
        <v>206</v>
      </c>
      <c r="K13" s="142">
        <v>157.71918266228687</v>
      </c>
      <c r="L13" s="145">
        <v>35.744049384712945</v>
      </c>
      <c r="M13" s="145">
        <v>188.13149636247141</v>
      </c>
      <c r="N13" s="141">
        <v>381.59472840947126</v>
      </c>
    </row>
    <row r="14" spans="7:14" x14ac:dyDescent="0.25">
      <c r="G14" s="147" t="s">
        <v>200</v>
      </c>
      <c r="H14" s="137" t="s">
        <v>212</v>
      </c>
      <c r="K14" s="142">
        <v>0</v>
      </c>
      <c r="L14" s="145">
        <v>17.720739326449177</v>
      </c>
      <c r="M14" s="145">
        <v>93.711952842089204</v>
      </c>
      <c r="N14" s="141">
        <v>111.43269216853838</v>
      </c>
    </row>
    <row r="15" spans="7:14" x14ac:dyDescent="0.25">
      <c r="G15" s="147" t="s">
        <v>198</v>
      </c>
      <c r="H15" s="136" t="s">
        <v>199</v>
      </c>
      <c r="K15" s="142">
        <v>254.49863548954028</v>
      </c>
      <c r="L15" s="145">
        <v>190.47111828487493</v>
      </c>
      <c r="M15" s="145">
        <v>999.64437609095671</v>
      </c>
      <c r="N15" s="141">
        <v>1444.614129865372</v>
      </c>
    </row>
    <row r="16" spans="7:14" x14ac:dyDescent="0.25">
      <c r="G16" s="147" t="s">
        <v>200</v>
      </c>
      <c r="H16" s="136" t="s">
        <v>219</v>
      </c>
      <c r="K16" s="142">
        <v>11.691823838430112</v>
      </c>
      <c r="L16" s="145">
        <v>0</v>
      </c>
      <c r="M16" s="145">
        <v>0</v>
      </c>
      <c r="N16" s="141">
        <v>11.691823838430112</v>
      </c>
    </row>
    <row r="17" spans="7:14" x14ac:dyDescent="0.25">
      <c r="G17" s="147" t="s">
        <v>196</v>
      </c>
      <c r="H17" s="136" t="s">
        <v>209</v>
      </c>
      <c r="K17" s="142">
        <v>0</v>
      </c>
      <c r="L17" s="145">
        <v>30.400149478592983</v>
      </c>
      <c r="M17" s="145">
        <v>143.62532035743939</v>
      </c>
      <c r="N17" s="141">
        <v>174.02546983603239</v>
      </c>
    </row>
    <row r="18" spans="7:14" x14ac:dyDescent="0.25">
      <c r="G18" s="147" t="s">
        <v>200</v>
      </c>
      <c r="H18" s="136" t="s">
        <v>224</v>
      </c>
      <c r="K18" s="142">
        <v>0</v>
      </c>
      <c r="L18" s="145">
        <v>0</v>
      </c>
      <c r="M18" s="145">
        <v>0</v>
      </c>
      <c r="N18" s="141">
        <v>0</v>
      </c>
    </row>
    <row r="19" spans="7:14" x14ac:dyDescent="0.25">
      <c r="G19" s="148" t="s">
        <v>203</v>
      </c>
      <c r="H19" s="136" t="s">
        <v>225</v>
      </c>
      <c r="K19" s="142">
        <v>0</v>
      </c>
      <c r="L19" s="145">
        <v>0</v>
      </c>
      <c r="M19" s="145">
        <v>0</v>
      </c>
      <c r="N19" s="141">
        <v>0</v>
      </c>
    </row>
    <row r="20" spans="7:14" x14ac:dyDescent="0.25">
      <c r="G20" s="147" t="s">
        <v>200</v>
      </c>
      <c r="H20" s="136" t="s">
        <v>226</v>
      </c>
      <c r="K20" s="142">
        <v>0</v>
      </c>
      <c r="L20" s="145">
        <v>160.62550067846431</v>
      </c>
      <c r="M20" s="145">
        <v>964.99383530415184</v>
      </c>
      <c r="N20" s="141">
        <v>1125.6193359826161</v>
      </c>
    </row>
    <row r="21" spans="7:14" x14ac:dyDescent="0.25">
      <c r="G21" s="147" t="s">
        <v>200</v>
      </c>
      <c r="H21" s="136" t="s">
        <v>218</v>
      </c>
      <c r="K21" s="142">
        <v>14.996640121418965</v>
      </c>
      <c r="L21" s="145">
        <v>0</v>
      </c>
      <c r="M21" s="145">
        <v>0</v>
      </c>
      <c r="N21" s="141">
        <v>14.996640121418965</v>
      </c>
    </row>
    <row r="22" spans="7:14" x14ac:dyDescent="0.25">
      <c r="G22" s="147" t="s">
        <v>200</v>
      </c>
      <c r="H22" s="136" t="s">
        <v>201</v>
      </c>
      <c r="K22" s="142">
        <v>304.3554570821434</v>
      </c>
      <c r="L22" s="145">
        <v>169.22509975783808</v>
      </c>
      <c r="M22" s="145">
        <v>750.18023805583471</v>
      </c>
      <c r="N22" s="141">
        <v>1223.7607948958162</v>
      </c>
    </row>
    <row r="23" spans="7:14" x14ac:dyDescent="0.25">
      <c r="G23" s="147" t="s">
        <v>200</v>
      </c>
      <c r="H23" s="136" t="s">
        <v>202</v>
      </c>
      <c r="K23" s="142">
        <v>0</v>
      </c>
      <c r="L23" s="145">
        <v>139.69274861474497</v>
      </c>
      <c r="M23" s="145">
        <v>912.74145549358582</v>
      </c>
      <c r="N23" s="141">
        <v>1052.4342041083307</v>
      </c>
    </row>
    <row r="24" spans="7:14" x14ac:dyDescent="0.25">
      <c r="G24" s="147" t="s">
        <v>200</v>
      </c>
      <c r="H24" s="136" t="s">
        <v>216</v>
      </c>
      <c r="K24" s="142">
        <v>0</v>
      </c>
      <c r="L24" s="145">
        <v>12.830174107400849</v>
      </c>
      <c r="M24" s="145">
        <v>30.777207208325052</v>
      </c>
      <c r="N24" s="141">
        <v>43.607381315725902</v>
      </c>
    </row>
    <row r="25" spans="7:14" x14ac:dyDescent="0.25">
      <c r="G25" s="147" t="s">
        <v>203</v>
      </c>
      <c r="H25" s="136" t="s">
        <v>205</v>
      </c>
      <c r="K25" s="142">
        <v>6.2012890459707739</v>
      </c>
      <c r="L25" s="145">
        <v>108.08859993553763</v>
      </c>
      <c r="M25" s="145">
        <v>380.04782387499677</v>
      </c>
      <c r="N25" s="141">
        <v>494.33771285650516</v>
      </c>
    </row>
    <row r="26" spans="7:14" x14ac:dyDescent="0.25">
      <c r="G26" s="147" t="s">
        <v>200</v>
      </c>
      <c r="H26" s="136" t="s">
        <v>214</v>
      </c>
      <c r="K26" s="142">
        <v>0</v>
      </c>
      <c r="L26" s="145">
        <v>13.374368931979138</v>
      </c>
      <c r="M26" s="145">
        <v>42.357644806536591</v>
      </c>
      <c r="N26" s="141">
        <v>55.732013738515732</v>
      </c>
    </row>
    <row r="27" spans="7:14" x14ac:dyDescent="0.25">
      <c r="G27" s="147" t="s">
        <v>200</v>
      </c>
      <c r="H27" s="136" t="s">
        <v>227</v>
      </c>
      <c r="K27" s="142">
        <v>65.881223686219357</v>
      </c>
      <c r="L27" s="145">
        <v>0.45563617401289064</v>
      </c>
      <c r="M27" s="145">
        <v>26.618097231030902</v>
      </c>
      <c r="N27" s="141">
        <v>92.954957091263154</v>
      </c>
    </row>
    <row r="28" spans="7:14" x14ac:dyDescent="0.25">
      <c r="G28" s="147" t="s">
        <v>210</v>
      </c>
      <c r="H28" s="136" t="s">
        <v>211</v>
      </c>
      <c r="K28" s="142">
        <v>7.4456867109451697</v>
      </c>
      <c r="L28" s="145">
        <v>35.482505954215725</v>
      </c>
      <c r="M28" s="145">
        <v>129.74884104347137</v>
      </c>
      <c r="N28" s="141">
        <v>172.67703370863228</v>
      </c>
    </row>
    <row r="29" spans="7:14" x14ac:dyDescent="0.25">
      <c r="G29" s="147" t="s">
        <v>203</v>
      </c>
      <c r="H29" s="136" t="s">
        <v>204</v>
      </c>
      <c r="K29" s="142">
        <v>14.827204756928525</v>
      </c>
      <c r="L29" s="145">
        <v>135.20170416321764</v>
      </c>
      <c r="M29" s="145">
        <v>661.0979038081183</v>
      </c>
      <c r="N29" s="141">
        <v>811.12681272826444</v>
      </c>
    </row>
    <row r="30" spans="7:14" x14ac:dyDescent="0.25">
      <c r="G30" s="148" t="s">
        <v>200</v>
      </c>
      <c r="H30" s="136" t="s">
        <v>228</v>
      </c>
      <c r="K30" s="142">
        <v>65.881223686219357</v>
      </c>
      <c r="L30" s="145">
        <v>0.45563617401289064</v>
      </c>
      <c r="M30" s="145">
        <v>26.618097231030902</v>
      </c>
      <c r="N30" s="141">
        <v>92.954957091263154</v>
      </c>
    </row>
    <row r="31" spans="7:14" x14ac:dyDescent="0.25">
      <c r="G31" s="147" t="s">
        <v>198</v>
      </c>
      <c r="H31" s="136" t="s">
        <v>208</v>
      </c>
      <c r="K31" s="142">
        <v>0</v>
      </c>
      <c r="L31" s="145">
        <v>36.198735817995001</v>
      </c>
      <c r="M31" s="145">
        <v>167.73189465918031</v>
      </c>
      <c r="N31" s="141">
        <v>203.93063047717533</v>
      </c>
    </row>
    <row r="32" spans="7:14" x14ac:dyDescent="0.25">
      <c r="G32" s="147" t="s">
        <v>198</v>
      </c>
      <c r="H32" s="136" t="s">
        <v>207</v>
      </c>
      <c r="K32" s="142">
        <v>7.7600084965536116</v>
      </c>
      <c r="L32" s="145">
        <v>67.359314126410126</v>
      </c>
      <c r="M32" s="145">
        <v>178.06083476765173</v>
      </c>
      <c r="N32" s="141">
        <v>253.18015739061548</v>
      </c>
    </row>
    <row r="33" spans="7:14" x14ac:dyDescent="0.25">
      <c r="G33" s="147" t="s">
        <v>210</v>
      </c>
      <c r="H33" s="136" t="s">
        <v>213</v>
      </c>
      <c r="K33" s="142">
        <v>0</v>
      </c>
      <c r="L33" s="145">
        <v>2.5121406672771283</v>
      </c>
      <c r="M33" s="145">
        <v>64.608185760161007</v>
      </c>
      <c r="N33" s="141">
        <v>67.12032642743813</v>
      </c>
    </row>
  </sheetData>
  <mergeCells count="3">
    <mergeCell ref="G5:J6"/>
    <mergeCell ref="H7:J7"/>
    <mergeCell ref="K5:N6"/>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35"/>
  <sheetViews>
    <sheetView tabSelected="1" topLeftCell="A10" workbookViewId="0">
      <selection activeCell="M5" sqref="M5:M6"/>
    </sheetView>
  </sheetViews>
  <sheetFormatPr defaultRowHeight="15" x14ac:dyDescent="0.25"/>
  <cols>
    <col min="1" max="4" width="9.140625" style="3"/>
    <col min="5" max="5" width="18.5703125" style="3" customWidth="1"/>
    <col min="6" max="6" width="20" style="3" customWidth="1"/>
    <col min="7" max="7" width="13.7109375" style="3" customWidth="1"/>
    <col min="8" max="9" width="9.140625" style="3"/>
    <col min="10" max="10" width="11" style="3" customWidth="1"/>
    <col min="11" max="11" width="15.5703125" style="3" customWidth="1"/>
    <col min="12" max="12" width="23.85546875" style="3" customWidth="1"/>
    <col min="13" max="260" width="9.140625" style="3"/>
    <col min="261" max="261" width="18.5703125" style="3" customWidth="1"/>
    <col min="262" max="262" width="20" style="3" customWidth="1"/>
    <col min="263" max="263" width="13.7109375" style="3" customWidth="1"/>
    <col min="264" max="265" width="9.140625" style="3"/>
    <col min="266" max="266" width="11" style="3" customWidth="1"/>
    <col min="267" max="267" width="15.5703125" style="3" customWidth="1"/>
    <col min="268" max="268" width="23.85546875" style="3" customWidth="1"/>
    <col min="269" max="516" width="9.140625" style="3"/>
    <col min="517" max="517" width="18.5703125" style="3" customWidth="1"/>
    <col min="518" max="518" width="20" style="3" customWidth="1"/>
    <col min="519" max="519" width="13.7109375" style="3" customWidth="1"/>
    <col min="520" max="521" width="9.140625" style="3"/>
    <col min="522" max="522" width="11" style="3" customWidth="1"/>
    <col min="523" max="523" width="15.5703125" style="3" customWidth="1"/>
    <col min="524" max="524" width="23.85546875" style="3" customWidth="1"/>
    <col min="525" max="772" width="9.140625" style="3"/>
    <col min="773" max="773" width="18.5703125" style="3" customWidth="1"/>
    <col min="774" max="774" width="20" style="3" customWidth="1"/>
    <col min="775" max="775" width="13.7109375" style="3" customWidth="1"/>
    <col min="776" max="777" width="9.140625" style="3"/>
    <col min="778" max="778" width="11" style="3" customWidth="1"/>
    <col min="779" max="779" width="15.5703125" style="3" customWidth="1"/>
    <col min="780" max="780" width="23.85546875" style="3" customWidth="1"/>
    <col min="781" max="1028" width="9.140625" style="3"/>
    <col min="1029" max="1029" width="18.5703125" style="3" customWidth="1"/>
    <col min="1030" max="1030" width="20" style="3" customWidth="1"/>
    <col min="1031" max="1031" width="13.7109375" style="3" customWidth="1"/>
    <col min="1032" max="1033" width="9.140625" style="3"/>
    <col min="1034" max="1034" width="11" style="3" customWidth="1"/>
    <col min="1035" max="1035" width="15.5703125" style="3" customWidth="1"/>
    <col min="1036" max="1036" width="23.85546875" style="3" customWidth="1"/>
    <col min="1037" max="1284" width="9.140625" style="3"/>
    <col min="1285" max="1285" width="18.5703125" style="3" customWidth="1"/>
    <col min="1286" max="1286" width="20" style="3" customWidth="1"/>
    <col min="1287" max="1287" width="13.7109375" style="3" customWidth="1"/>
    <col min="1288" max="1289" width="9.140625" style="3"/>
    <col min="1290" max="1290" width="11" style="3" customWidth="1"/>
    <col min="1291" max="1291" width="15.5703125" style="3" customWidth="1"/>
    <col min="1292" max="1292" width="23.85546875" style="3" customWidth="1"/>
    <col min="1293" max="1540" width="9.140625" style="3"/>
    <col min="1541" max="1541" width="18.5703125" style="3" customWidth="1"/>
    <col min="1542" max="1542" width="20" style="3" customWidth="1"/>
    <col min="1543" max="1543" width="13.7109375" style="3" customWidth="1"/>
    <col min="1544" max="1545" width="9.140625" style="3"/>
    <col min="1546" max="1546" width="11" style="3" customWidth="1"/>
    <col min="1547" max="1547" width="15.5703125" style="3" customWidth="1"/>
    <col min="1548" max="1548" width="23.85546875" style="3" customWidth="1"/>
    <col min="1549" max="1796" width="9.140625" style="3"/>
    <col min="1797" max="1797" width="18.5703125" style="3" customWidth="1"/>
    <col min="1798" max="1798" width="20" style="3" customWidth="1"/>
    <col min="1799" max="1799" width="13.7109375" style="3" customWidth="1"/>
    <col min="1800" max="1801" width="9.140625" style="3"/>
    <col min="1802" max="1802" width="11" style="3" customWidth="1"/>
    <col min="1803" max="1803" width="15.5703125" style="3" customWidth="1"/>
    <col min="1804" max="1804" width="23.85546875" style="3" customWidth="1"/>
    <col min="1805" max="2052" width="9.140625" style="3"/>
    <col min="2053" max="2053" width="18.5703125" style="3" customWidth="1"/>
    <col min="2054" max="2054" width="20" style="3" customWidth="1"/>
    <col min="2055" max="2055" width="13.7109375" style="3" customWidth="1"/>
    <col min="2056" max="2057" width="9.140625" style="3"/>
    <col min="2058" max="2058" width="11" style="3" customWidth="1"/>
    <col min="2059" max="2059" width="15.5703125" style="3" customWidth="1"/>
    <col min="2060" max="2060" width="23.85546875" style="3" customWidth="1"/>
    <col min="2061" max="2308" width="9.140625" style="3"/>
    <col min="2309" max="2309" width="18.5703125" style="3" customWidth="1"/>
    <col min="2310" max="2310" width="20" style="3" customWidth="1"/>
    <col min="2311" max="2311" width="13.7109375" style="3" customWidth="1"/>
    <col min="2312" max="2313" width="9.140625" style="3"/>
    <col min="2314" max="2314" width="11" style="3" customWidth="1"/>
    <col min="2315" max="2315" width="15.5703125" style="3" customWidth="1"/>
    <col min="2316" max="2316" width="23.85546875" style="3" customWidth="1"/>
    <col min="2317" max="2564" width="9.140625" style="3"/>
    <col min="2565" max="2565" width="18.5703125" style="3" customWidth="1"/>
    <col min="2566" max="2566" width="20" style="3" customWidth="1"/>
    <col min="2567" max="2567" width="13.7109375" style="3" customWidth="1"/>
    <col min="2568" max="2569" width="9.140625" style="3"/>
    <col min="2570" max="2570" width="11" style="3" customWidth="1"/>
    <col min="2571" max="2571" width="15.5703125" style="3" customWidth="1"/>
    <col min="2572" max="2572" width="23.85546875" style="3" customWidth="1"/>
    <col min="2573" max="2820" width="9.140625" style="3"/>
    <col min="2821" max="2821" width="18.5703125" style="3" customWidth="1"/>
    <col min="2822" max="2822" width="20" style="3" customWidth="1"/>
    <col min="2823" max="2823" width="13.7109375" style="3" customWidth="1"/>
    <col min="2824" max="2825" width="9.140625" style="3"/>
    <col min="2826" max="2826" width="11" style="3" customWidth="1"/>
    <col min="2827" max="2827" width="15.5703125" style="3" customWidth="1"/>
    <col min="2828" max="2828" width="23.85546875" style="3" customWidth="1"/>
    <col min="2829" max="3076" width="9.140625" style="3"/>
    <col min="3077" max="3077" width="18.5703125" style="3" customWidth="1"/>
    <col min="3078" max="3078" width="20" style="3" customWidth="1"/>
    <col min="3079" max="3079" width="13.7109375" style="3" customWidth="1"/>
    <col min="3080" max="3081" width="9.140625" style="3"/>
    <col min="3082" max="3082" width="11" style="3" customWidth="1"/>
    <col min="3083" max="3083" width="15.5703125" style="3" customWidth="1"/>
    <col min="3084" max="3084" width="23.85546875" style="3" customWidth="1"/>
    <col min="3085" max="3332" width="9.140625" style="3"/>
    <col min="3333" max="3333" width="18.5703125" style="3" customWidth="1"/>
    <col min="3334" max="3334" width="20" style="3" customWidth="1"/>
    <col min="3335" max="3335" width="13.7109375" style="3" customWidth="1"/>
    <col min="3336" max="3337" width="9.140625" style="3"/>
    <col min="3338" max="3338" width="11" style="3" customWidth="1"/>
    <col min="3339" max="3339" width="15.5703125" style="3" customWidth="1"/>
    <col min="3340" max="3340" width="23.85546875" style="3" customWidth="1"/>
    <col min="3341" max="3588" width="9.140625" style="3"/>
    <col min="3589" max="3589" width="18.5703125" style="3" customWidth="1"/>
    <col min="3590" max="3590" width="20" style="3" customWidth="1"/>
    <col min="3591" max="3591" width="13.7109375" style="3" customWidth="1"/>
    <col min="3592" max="3593" width="9.140625" style="3"/>
    <col min="3594" max="3594" width="11" style="3" customWidth="1"/>
    <col min="3595" max="3595" width="15.5703125" style="3" customWidth="1"/>
    <col min="3596" max="3596" width="23.85546875" style="3" customWidth="1"/>
    <col min="3597" max="3844" width="9.140625" style="3"/>
    <col min="3845" max="3845" width="18.5703125" style="3" customWidth="1"/>
    <col min="3846" max="3846" width="20" style="3" customWidth="1"/>
    <col min="3847" max="3847" width="13.7109375" style="3" customWidth="1"/>
    <col min="3848" max="3849" width="9.140625" style="3"/>
    <col min="3850" max="3850" width="11" style="3" customWidth="1"/>
    <col min="3851" max="3851" width="15.5703125" style="3" customWidth="1"/>
    <col min="3852" max="3852" width="23.85546875" style="3" customWidth="1"/>
    <col min="3853" max="4100" width="9.140625" style="3"/>
    <col min="4101" max="4101" width="18.5703125" style="3" customWidth="1"/>
    <col min="4102" max="4102" width="20" style="3" customWidth="1"/>
    <col min="4103" max="4103" width="13.7109375" style="3" customWidth="1"/>
    <col min="4104" max="4105" width="9.140625" style="3"/>
    <col min="4106" max="4106" width="11" style="3" customWidth="1"/>
    <col min="4107" max="4107" width="15.5703125" style="3" customWidth="1"/>
    <col min="4108" max="4108" width="23.85546875" style="3" customWidth="1"/>
    <col min="4109" max="4356" width="9.140625" style="3"/>
    <col min="4357" max="4357" width="18.5703125" style="3" customWidth="1"/>
    <col min="4358" max="4358" width="20" style="3" customWidth="1"/>
    <col min="4359" max="4359" width="13.7109375" style="3" customWidth="1"/>
    <col min="4360" max="4361" width="9.140625" style="3"/>
    <col min="4362" max="4362" width="11" style="3" customWidth="1"/>
    <col min="4363" max="4363" width="15.5703125" style="3" customWidth="1"/>
    <col min="4364" max="4364" width="23.85546875" style="3" customWidth="1"/>
    <col min="4365" max="4612" width="9.140625" style="3"/>
    <col min="4613" max="4613" width="18.5703125" style="3" customWidth="1"/>
    <col min="4614" max="4614" width="20" style="3" customWidth="1"/>
    <col min="4615" max="4615" width="13.7109375" style="3" customWidth="1"/>
    <col min="4616" max="4617" width="9.140625" style="3"/>
    <col min="4618" max="4618" width="11" style="3" customWidth="1"/>
    <col min="4619" max="4619" width="15.5703125" style="3" customWidth="1"/>
    <col min="4620" max="4620" width="23.85546875" style="3" customWidth="1"/>
    <col min="4621" max="4868" width="9.140625" style="3"/>
    <col min="4869" max="4869" width="18.5703125" style="3" customWidth="1"/>
    <col min="4870" max="4870" width="20" style="3" customWidth="1"/>
    <col min="4871" max="4871" width="13.7109375" style="3" customWidth="1"/>
    <col min="4872" max="4873" width="9.140625" style="3"/>
    <col min="4874" max="4874" width="11" style="3" customWidth="1"/>
    <col min="4875" max="4875" width="15.5703125" style="3" customWidth="1"/>
    <col min="4876" max="4876" width="23.85546875" style="3" customWidth="1"/>
    <col min="4877" max="5124" width="9.140625" style="3"/>
    <col min="5125" max="5125" width="18.5703125" style="3" customWidth="1"/>
    <col min="5126" max="5126" width="20" style="3" customWidth="1"/>
    <col min="5127" max="5127" width="13.7109375" style="3" customWidth="1"/>
    <col min="5128" max="5129" width="9.140625" style="3"/>
    <col min="5130" max="5130" width="11" style="3" customWidth="1"/>
    <col min="5131" max="5131" width="15.5703125" style="3" customWidth="1"/>
    <col min="5132" max="5132" width="23.85546875" style="3" customWidth="1"/>
    <col min="5133" max="5380" width="9.140625" style="3"/>
    <col min="5381" max="5381" width="18.5703125" style="3" customWidth="1"/>
    <col min="5382" max="5382" width="20" style="3" customWidth="1"/>
    <col min="5383" max="5383" width="13.7109375" style="3" customWidth="1"/>
    <col min="5384" max="5385" width="9.140625" style="3"/>
    <col min="5386" max="5386" width="11" style="3" customWidth="1"/>
    <col min="5387" max="5387" width="15.5703125" style="3" customWidth="1"/>
    <col min="5388" max="5388" width="23.85546875" style="3" customWidth="1"/>
    <col min="5389" max="5636" width="9.140625" style="3"/>
    <col min="5637" max="5637" width="18.5703125" style="3" customWidth="1"/>
    <col min="5638" max="5638" width="20" style="3" customWidth="1"/>
    <col min="5639" max="5639" width="13.7109375" style="3" customWidth="1"/>
    <col min="5640" max="5641" width="9.140625" style="3"/>
    <col min="5642" max="5642" width="11" style="3" customWidth="1"/>
    <col min="5643" max="5643" width="15.5703125" style="3" customWidth="1"/>
    <col min="5644" max="5644" width="23.85546875" style="3" customWidth="1"/>
    <col min="5645" max="5892" width="9.140625" style="3"/>
    <col min="5893" max="5893" width="18.5703125" style="3" customWidth="1"/>
    <col min="5894" max="5894" width="20" style="3" customWidth="1"/>
    <col min="5895" max="5895" width="13.7109375" style="3" customWidth="1"/>
    <col min="5896" max="5897" width="9.140625" style="3"/>
    <col min="5898" max="5898" width="11" style="3" customWidth="1"/>
    <col min="5899" max="5899" width="15.5703125" style="3" customWidth="1"/>
    <col min="5900" max="5900" width="23.85546875" style="3" customWidth="1"/>
    <col min="5901" max="6148" width="9.140625" style="3"/>
    <col min="6149" max="6149" width="18.5703125" style="3" customWidth="1"/>
    <col min="6150" max="6150" width="20" style="3" customWidth="1"/>
    <col min="6151" max="6151" width="13.7109375" style="3" customWidth="1"/>
    <col min="6152" max="6153" width="9.140625" style="3"/>
    <col min="6154" max="6154" width="11" style="3" customWidth="1"/>
    <col min="6155" max="6155" width="15.5703125" style="3" customWidth="1"/>
    <col min="6156" max="6156" width="23.85546875" style="3" customWidth="1"/>
    <col min="6157" max="6404" width="9.140625" style="3"/>
    <col min="6405" max="6405" width="18.5703125" style="3" customWidth="1"/>
    <col min="6406" max="6406" width="20" style="3" customWidth="1"/>
    <col min="6407" max="6407" width="13.7109375" style="3" customWidth="1"/>
    <col min="6408" max="6409" width="9.140625" style="3"/>
    <col min="6410" max="6410" width="11" style="3" customWidth="1"/>
    <col min="6411" max="6411" width="15.5703125" style="3" customWidth="1"/>
    <col min="6412" max="6412" width="23.85546875" style="3" customWidth="1"/>
    <col min="6413" max="6660" width="9.140625" style="3"/>
    <col min="6661" max="6661" width="18.5703125" style="3" customWidth="1"/>
    <col min="6662" max="6662" width="20" style="3" customWidth="1"/>
    <col min="6663" max="6663" width="13.7109375" style="3" customWidth="1"/>
    <col min="6664" max="6665" width="9.140625" style="3"/>
    <col min="6666" max="6666" width="11" style="3" customWidth="1"/>
    <col min="6667" max="6667" width="15.5703125" style="3" customWidth="1"/>
    <col min="6668" max="6668" width="23.85546875" style="3" customWidth="1"/>
    <col min="6669" max="6916" width="9.140625" style="3"/>
    <col min="6917" max="6917" width="18.5703125" style="3" customWidth="1"/>
    <col min="6918" max="6918" width="20" style="3" customWidth="1"/>
    <col min="6919" max="6919" width="13.7109375" style="3" customWidth="1"/>
    <col min="6920" max="6921" width="9.140625" style="3"/>
    <col min="6922" max="6922" width="11" style="3" customWidth="1"/>
    <col min="6923" max="6923" width="15.5703125" style="3" customWidth="1"/>
    <col min="6924" max="6924" width="23.85546875" style="3" customWidth="1"/>
    <col min="6925" max="7172" width="9.140625" style="3"/>
    <col min="7173" max="7173" width="18.5703125" style="3" customWidth="1"/>
    <col min="7174" max="7174" width="20" style="3" customWidth="1"/>
    <col min="7175" max="7175" width="13.7109375" style="3" customWidth="1"/>
    <col min="7176" max="7177" width="9.140625" style="3"/>
    <col min="7178" max="7178" width="11" style="3" customWidth="1"/>
    <col min="7179" max="7179" width="15.5703125" style="3" customWidth="1"/>
    <col min="7180" max="7180" width="23.85546875" style="3" customWidth="1"/>
    <col min="7181" max="7428" width="9.140625" style="3"/>
    <col min="7429" max="7429" width="18.5703125" style="3" customWidth="1"/>
    <col min="7430" max="7430" width="20" style="3" customWidth="1"/>
    <col min="7431" max="7431" width="13.7109375" style="3" customWidth="1"/>
    <col min="7432" max="7433" width="9.140625" style="3"/>
    <col min="7434" max="7434" width="11" style="3" customWidth="1"/>
    <col min="7435" max="7435" width="15.5703125" style="3" customWidth="1"/>
    <col min="7436" max="7436" width="23.85546875" style="3" customWidth="1"/>
    <col min="7437" max="7684" width="9.140625" style="3"/>
    <col min="7685" max="7685" width="18.5703125" style="3" customWidth="1"/>
    <col min="7686" max="7686" width="20" style="3" customWidth="1"/>
    <col min="7687" max="7687" width="13.7109375" style="3" customWidth="1"/>
    <col min="7688" max="7689" width="9.140625" style="3"/>
    <col min="7690" max="7690" width="11" style="3" customWidth="1"/>
    <col min="7691" max="7691" width="15.5703125" style="3" customWidth="1"/>
    <col min="7692" max="7692" width="23.85546875" style="3" customWidth="1"/>
    <col min="7693" max="7940" width="9.140625" style="3"/>
    <col min="7941" max="7941" width="18.5703125" style="3" customWidth="1"/>
    <col min="7942" max="7942" width="20" style="3" customWidth="1"/>
    <col min="7943" max="7943" width="13.7109375" style="3" customWidth="1"/>
    <col min="7944" max="7945" width="9.140625" style="3"/>
    <col min="7946" max="7946" width="11" style="3" customWidth="1"/>
    <col min="7947" max="7947" width="15.5703125" style="3" customWidth="1"/>
    <col min="7948" max="7948" width="23.85546875" style="3" customWidth="1"/>
    <col min="7949" max="8196" width="9.140625" style="3"/>
    <col min="8197" max="8197" width="18.5703125" style="3" customWidth="1"/>
    <col min="8198" max="8198" width="20" style="3" customWidth="1"/>
    <col min="8199" max="8199" width="13.7109375" style="3" customWidth="1"/>
    <col min="8200" max="8201" width="9.140625" style="3"/>
    <col min="8202" max="8202" width="11" style="3" customWidth="1"/>
    <col min="8203" max="8203" width="15.5703125" style="3" customWidth="1"/>
    <col min="8204" max="8204" width="23.85546875" style="3" customWidth="1"/>
    <col min="8205" max="8452" width="9.140625" style="3"/>
    <col min="8453" max="8453" width="18.5703125" style="3" customWidth="1"/>
    <col min="8454" max="8454" width="20" style="3" customWidth="1"/>
    <col min="8455" max="8455" width="13.7109375" style="3" customWidth="1"/>
    <col min="8456" max="8457" width="9.140625" style="3"/>
    <col min="8458" max="8458" width="11" style="3" customWidth="1"/>
    <col min="8459" max="8459" width="15.5703125" style="3" customWidth="1"/>
    <col min="8460" max="8460" width="23.85546875" style="3" customWidth="1"/>
    <col min="8461" max="8708" width="9.140625" style="3"/>
    <col min="8709" max="8709" width="18.5703125" style="3" customWidth="1"/>
    <col min="8710" max="8710" width="20" style="3" customWidth="1"/>
    <col min="8711" max="8711" width="13.7109375" style="3" customWidth="1"/>
    <col min="8712" max="8713" width="9.140625" style="3"/>
    <col min="8714" max="8714" width="11" style="3" customWidth="1"/>
    <col min="8715" max="8715" width="15.5703125" style="3" customWidth="1"/>
    <col min="8716" max="8716" width="23.85546875" style="3" customWidth="1"/>
    <col min="8717" max="8964" width="9.140625" style="3"/>
    <col min="8965" max="8965" width="18.5703125" style="3" customWidth="1"/>
    <col min="8966" max="8966" width="20" style="3" customWidth="1"/>
    <col min="8967" max="8967" width="13.7109375" style="3" customWidth="1"/>
    <col min="8968" max="8969" width="9.140625" style="3"/>
    <col min="8970" max="8970" width="11" style="3" customWidth="1"/>
    <col min="8971" max="8971" width="15.5703125" style="3" customWidth="1"/>
    <col min="8972" max="8972" width="23.85546875" style="3" customWidth="1"/>
    <col min="8973" max="9220" width="9.140625" style="3"/>
    <col min="9221" max="9221" width="18.5703125" style="3" customWidth="1"/>
    <col min="9222" max="9222" width="20" style="3" customWidth="1"/>
    <col min="9223" max="9223" width="13.7109375" style="3" customWidth="1"/>
    <col min="9224" max="9225" width="9.140625" style="3"/>
    <col min="9226" max="9226" width="11" style="3" customWidth="1"/>
    <col min="9227" max="9227" width="15.5703125" style="3" customWidth="1"/>
    <col min="9228" max="9228" width="23.85546875" style="3" customWidth="1"/>
    <col min="9229" max="9476" width="9.140625" style="3"/>
    <col min="9477" max="9477" width="18.5703125" style="3" customWidth="1"/>
    <col min="9478" max="9478" width="20" style="3" customWidth="1"/>
    <col min="9479" max="9479" width="13.7109375" style="3" customWidth="1"/>
    <col min="9480" max="9481" width="9.140625" style="3"/>
    <col min="9482" max="9482" width="11" style="3" customWidth="1"/>
    <col min="9483" max="9483" width="15.5703125" style="3" customWidth="1"/>
    <col min="9484" max="9484" width="23.85546875" style="3" customWidth="1"/>
    <col min="9485" max="9732" width="9.140625" style="3"/>
    <col min="9733" max="9733" width="18.5703125" style="3" customWidth="1"/>
    <col min="9734" max="9734" width="20" style="3" customWidth="1"/>
    <col min="9735" max="9735" width="13.7109375" style="3" customWidth="1"/>
    <col min="9736" max="9737" width="9.140625" style="3"/>
    <col min="9738" max="9738" width="11" style="3" customWidth="1"/>
    <col min="9739" max="9739" width="15.5703125" style="3" customWidth="1"/>
    <col min="9740" max="9740" width="23.85546875" style="3" customWidth="1"/>
    <col min="9741" max="9988" width="9.140625" style="3"/>
    <col min="9989" max="9989" width="18.5703125" style="3" customWidth="1"/>
    <col min="9990" max="9990" width="20" style="3" customWidth="1"/>
    <col min="9991" max="9991" width="13.7109375" style="3" customWidth="1"/>
    <col min="9992" max="9993" width="9.140625" style="3"/>
    <col min="9994" max="9994" width="11" style="3" customWidth="1"/>
    <col min="9995" max="9995" width="15.5703125" style="3" customWidth="1"/>
    <col min="9996" max="9996" width="23.85546875" style="3" customWidth="1"/>
    <col min="9997" max="10244" width="9.140625" style="3"/>
    <col min="10245" max="10245" width="18.5703125" style="3" customWidth="1"/>
    <col min="10246" max="10246" width="20" style="3" customWidth="1"/>
    <col min="10247" max="10247" width="13.7109375" style="3" customWidth="1"/>
    <col min="10248" max="10249" width="9.140625" style="3"/>
    <col min="10250" max="10250" width="11" style="3" customWidth="1"/>
    <col min="10251" max="10251" width="15.5703125" style="3" customWidth="1"/>
    <col min="10252" max="10252" width="23.85546875" style="3" customWidth="1"/>
    <col min="10253" max="10500" width="9.140625" style="3"/>
    <col min="10501" max="10501" width="18.5703125" style="3" customWidth="1"/>
    <col min="10502" max="10502" width="20" style="3" customWidth="1"/>
    <col min="10503" max="10503" width="13.7109375" style="3" customWidth="1"/>
    <col min="10504" max="10505" width="9.140625" style="3"/>
    <col min="10506" max="10506" width="11" style="3" customWidth="1"/>
    <col min="10507" max="10507" width="15.5703125" style="3" customWidth="1"/>
    <col min="10508" max="10508" width="23.85546875" style="3" customWidth="1"/>
    <col min="10509" max="10756" width="9.140625" style="3"/>
    <col min="10757" max="10757" width="18.5703125" style="3" customWidth="1"/>
    <col min="10758" max="10758" width="20" style="3" customWidth="1"/>
    <col min="10759" max="10759" width="13.7109375" style="3" customWidth="1"/>
    <col min="10760" max="10761" width="9.140625" style="3"/>
    <col min="10762" max="10762" width="11" style="3" customWidth="1"/>
    <col min="10763" max="10763" width="15.5703125" style="3" customWidth="1"/>
    <col min="10764" max="10764" width="23.85546875" style="3" customWidth="1"/>
    <col min="10765" max="11012" width="9.140625" style="3"/>
    <col min="11013" max="11013" width="18.5703125" style="3" customWidth="1"/>
    <col min="11014" max="11014" width="20" style="3" customWidth="1"/>
    <col min="11015" max="11015" width="13.7109375" style="3" customWidth="1"/>
    <col min="11016" max="11017" width="9.140625" style="3"/>
    <col min="11018" max="11018" width="11" style="3" customWidth="1"/>
    <col min="11019" max="11019" width="15.5703125" style="3" customWidth="1"/>
    <col min="11020" max="11020" width="23.85546875" style="3" customWidth="1"/>
    <col min="11021" max="11268" width="9.140625" style="3"/>
    <col min="11269" max="11269" width="18.5703125" style="3" customWidth="1"/>
    <col min="11270" max="11270" width="20" style="3" customWidth="1"/>
    <col min="11271" max="11271" width="13.7109375" style="3" customWidth="1"/>
    <col min="11272" max="11273" width="9.140625" style="3"/>
    <col min="11274" max="11274" width="11" style="3" customWidth="1"/>
    <col min="11275" max="11275" width="15.5703125" style="3" customWidth="1"/>
    <col min="11276" max="11276" width="23.85546875" style="3" customWidth="1"/>
    <col min="11277" max="11524" width="9.140625" style="3"/>
    <col min="11525" max="11525" width="18.5703125" style="3" customWidth="1"/>
    <col min="11526" max="11526" width="20" style="3" customWidth="1"/>
    <col min="11527" max="11527" width="13.7109375" style="3" customWidth="1"/>
    <col min="11528" max="11529" width="9.140625" style="3"/>
    <col min="11530" max="11530" width="11" style="3" customWidth="1"/>
    <col min="11531" max="11531" width="15.5703125" style="3" customWidth="1"/>
    <col min="11532" max="11532" width="23.85546875" style="3" customWidth="1"/>
    <col min="11533" max="11780" width="9.140625" style="3"/>
    <col min="11781" max="11781" width="18.5703125" style="3" customWidth="1"/>
    <col min="11782" max="11782" width="20" style="3" customWidth="1"/>
    <col min="11783" max="11783" width="13.7109375" style="3" customWidth="1"/>
    <col min="11784" max="11785" width="9.140625" style="3"/>
    <col min="11786" max="11786" width="11" style="3" customWidth="1"/>
    <col min="11787" max="11787" width="15.5703125" style="3" customWidth="1"/>
    <col min="11788" max="11788" width="23.85546875" style="3" customWidth="1"/>
    <col min="11789" max="12036" width="9.140625" style="3"/>
    <col min="12037" max="12037" width="18.5703125" style="3" customWidth="1"/>
    <col min="12038" max="12038" width="20" style="3" customWidth="1"/>
    <col min="12039" max="12039" width="13.7109375" style="3" customWidth="1"/>
    <col min="12040" max="12041" width="9.140625" style="3"/>
    <col min="12042" max="12042" width="11" style="3" customWidth="1"/>
    <col min="12043" max="12043" width="15.5703125" style="3" customWidth="1"/>
    <col min="12044" max="12044" width="23.85546875" style="3" customWidth="1"/>
    <col min="12045" max="12292" width="9.140625" style="3"/>
    <col min="12293" max="12293" width="18.5703125" style="3" customWidth="1"/>
    <col min="12294" max="12294" width="20" style="3" customWidth="1"/>
    <col min="12295" max="12295" width="13.7109375" style="3" customWidth="1"/>
    <col min="12296" max="12297" width="9.140625" style="3"/>
    <col min="12298" max="12298" width="11" style="3" customWidth="1"/>
    <col min="12299" max="12299" width="15.5703125" style="3" customWidth="1"/>
    <col min="12300" max="12300" width="23.85546875" style="3" customWidth="1"/>
    <col min="12301" max="12548" width="9.140625" style="3"/>
    <col min="12549" max="12549" width="18.5703125" style="3" customWidth="1"/>
    <col min="12550" max="12550" width="20" style="3" customWidth="1"/>
    <col min="12551" max="12551" width="13.7109375" style="3" customWidth="1"/>
    <col min="12552" max="12553" width="9.140625" style="3"/>
    <col min="12554" max="12554" width="11" style="3" customWidth="1"/>
    <col min="12555" max="12555" width="15.5703125" style="3" customWidth="1"/>
    <col min="12556" max="12556" width="23.85546875" style="3" customWidth="1"/>
    <col min="12557" max="12804" width="9.140625" style="3"/>
    <col min="12805" max="12805" width="18.5703125" style="3" customWidth="1"/>
    <col min="12806" max="12806" width="20" style="3" customWidth="1"/>
    <col min="12807" max="12807" width="13.7109375" style="3" customWidth="1"/>
    <col min="12808" max="12809" width="9.140625" style="3"/>
    <col min="12810" max="12810" width="11" style="3" customWidth="1"/>
    <col min="12811" max="12811" width="15.5703125" style="3" customWidth="1"/>
    <col min="12812" max="12812" width="23.85546875" style="3" customWidth="1"/>
    <col min="12813" max="13060" width="9.140625" style="3"/>
    <col min="13061" max="13061" width="18.5703125" style="3" customWidth="1"/>
    <col min="13062" max="13062" width="20" style="3" customWidth="1"/>
    <col min="13063" max="13063" width="13.7109375" style="3" customWidth="1"/>
    <col min="13064" max="13065" width="9.140625" style="3"/>
    <col min="13066" max="13066" width="11" style="3" customWidth="1"/>
    <col min="13067" max="13067" width="15.5703125" style="3" customWidth="1"/>
    <col min="13068" max="13068" width="23.85546875" style="3" customWidth="1"/>
    <col min="13069" max="13316" width="9.140625" style="3"/>
    <col min="13317" max="13317" width="18.5703125" style="3" customWidth="1"/>
    <col min="13318" max="13318" width="20" style="3" customWidth="1"/>
    <col min="13319" max="13319" width="13.7109375" style="3" customWidth="1"/>
    <col min="13320" max="13321" width="9.140625" style="3"/>
    <col min="13322" max="13322" width="11" style="3" customWidth="1"/>
    <col min="13323" max="13323" width="15.5703125" style="3" customWidth="1"/>
    <col min="13324" max="13324" width="23.85546875" style="3" customWidth="1"/>
    <col min="13325" max="13572" width="9.140625" style="3"/>
    <col min="13573" max="13573" width="18.5703125" style="3" customWidth="1"/>
    <col min="13574" max="13574" width="20" style="3" customWidth="1"/>
    <col min="13575" max="13575" width="13.7109375" style="3" customWidth="1"/>
    <col min="13576" max="13577" width="9.140625" style="3"/>
    <col min="13578" max="13578" width="11" style="3" customWidth="1"/>
    <col min="13579" max="13579" width="15.5703125" style="3" customWidth="1"/>
    <col min="13580" max="13580" width="23.85546875" style="3" customWidth="1"/>
    <col min="13581" max="13828" width="9.140625" style="3"/>
    <col min="13829" max="13829" width="18.5703125" style="3" customWidth="1"/>
    <col min="13830" max="13830" width="20" style="3" customWidth="1"/>
    <col min="13831" max="13831" width="13.7109375" style="3" customWidth="1"/>
    <col min="13832" max="13833" width="9.140625" style="3"/>
    <col min="13834" max="13834" width="11" style="3" customWidth="1"/>
    <col min="13835" max="13835" width="15.5703125" style="3" customWidth="1"/>
    <col min="13836" max="13836" width="23.85546875" style="3" customWidth="1"/>
    <col min="13837" max="14084" width="9.140625" style="3"/>
    <col min="14085" max="14085" width="18.5703125" style="3" customWidth="1"/>
    <col min="14086" max="14086" width="20" style="3" customWidth="1"/>
    <col min="14087" max="14087" width="13.7109375" style="3" customWidth="1"/>
    <col min="14088" max="14089" width="9.140625" style="3"/>
    <col min="14090" max="14090" width="11" style="3" customWidth="1"/>
    <col min="14091" max="14091" width="15.5703125" style="3" customWidth="1"/>
    <col min="14092" max="14092" width="23.85546875" style="3" customWidth="1"/>
    <col min="14093" max="14340" width="9.140625" style="3"/>
    <col min="14341" max="14341" width="18.5703125" style="3" customWidth="1"/>
    <col min="14342" max="14342" width="20" style="3" customWidth="1"/>
    <col min="14343" max="14343" width="13.7109375" style="3" customWidth="1"/>
    <col min="14344" max="14345" width="9.140625" style="3"/>
    <col min="14346" max="14346" width="11" style="3" customWidth="1"/>
    <col min="14347" max="14347" width="15.5703125" style="3" customWidth="1"/>
    <col min="14348" max="14348" width="23.85546875" style="3" customWidth="1"/>
    <col min="14349" max="14596" width="9.140625" style="3"/>
    <col min="14597" max="14597" width="18.5703125" style="3" customWidth="1"/>
    <col min="14598" max="14598" width="20" style="3" customWidth="1"/>
    <col min="14599" max="14599" width="13.7109375" style="3" customWidth="1"/>
    <col min="14600" max="14601" width="9.140625" style="3"/>
    <col min="14602" max="14602" width="11" style="3" customWidth="1"/>
    <col min="14603" max="14603" width="15.5703125" style="3" customWidth="1"/>
    <col min="14604" max="14604" width="23.85546875" style="3" customWidth="1"/>
    <col min="14605" max="14852" width="9.140625" style="3"/>
    <col min="14853" max="14853" width="18.5703125" style="3" customWidth="1"/>
    <col min="14854" max="14854" width="20" style="3" customWidth="1"/>
    <col min="14855" max="14855" width="13.7109375" style="3" customWidth="1"/>
    <col min="14856" max="14857" width="9.140625" style="3"/>
    <col min="14858" max="14858" width="11" style="3" customWidth="1"/>
    <col min="14859" max="14859" width="15.5703125" style="3" customWidth="1"/>
    <col min="14860" max="14860" width="23.85546875" style="3" customWidth="1"/>
    <col min="14861" max="15108" width="9.140625" style="3"/>
    <col min="15109" max="15109" width="18.5703125" style="3" customWidth="1"/>
    <col min="15110" max="15110" width="20" style="3" customWidth="1"/>
    <col min="15111" max="15111" width="13.7109375" style="3" customWidth="1"/>
    <col min="15112" max="15113" width="9.140625" style="3"/>
    <col min="15114" max="15114" width="11" style="3" customWidth="1"/>
    <col min="15115" max="15115" width="15.5703125" style="3" customWidth="1"/>
    <col min="15116" max="15116" width="23.85546875" style="3" customWidth="1"/>
    <col min="15117" max="15364" width="9.140625" style="3"/>
    <col min="15365" max="15365" width="18.5703125" style="3" customWidth="1"/>
    <col min="15366" max="15366" width="20" style="3" customWidth="1"/>
    <col min="15367" max="15367" width="13.7109375" style="3" customWidth="1"/>
    <col min="15368" max="15369" width="9.140625" style="3"/>
    <col min="15370" max="15370" width="11" style="3" customWidth="1"/>
    <col min="15371" max="15371" width="15.5703125" style="3" customWidth="1"/>
    <col min="15372" max="15372" width="23.85546875" style="3" customWidth="1"/>
    <col min="15373" max="15620" width="9.140625" style="3"/>
    <col min="15621" max="15621" width="18.5703125" style="3" customWidth="1"/>
    <col min="15622" max="15622" width="20" style="3" customWidth="1"/>
    <col min="15623" max="15623" width="13.7109375" style="3" customWidth="1"/>
    <col min="15624" max="15625" width="9.140625" style="3"/>
    <col min="15626" max="15626" width="11" style="3" customWidth="1"/>
    <col min="15627" max="15627" width="15.5703125" style="3" customWidth="1"/>
    <col min="15628" max="15628" width="23.85546875" style="3" customWidth="1"/>
    <col min="15629" max="15876" width="9.140625" style="3"/>
    <col min="15877" max="15877" width="18.5703125" style="3" customWidth="1"/>
    <col min="15878" max="15878" width="20" style="3" customWidth="1"/>
    <col min="15879" max="15879" width="13.7109375" style="3" customWidth="1"/>
    <col min="15880" max="15881" width="9.140625" style="3"/>
    <col min="15882" max="15882" width="11" style="3" customWidth="1"/>
    <col min="15883" max="15883" width="15.5703125" style="3" customWidth="1"/>
    <col min="15884" max="15884" width="23.85546875" style="3" customWidth="1"/>
    <col min="15885" max="16132" width="9.140625" style="3"/>
    <col min="16133" max="16133" width="18.5703125" style="3" customWidth="1"/>
    <col min="16134" max="16134" width="20" style="3" customWidth="1"/>
    <col min="16135" max="16135" width="13.7109375" style="3" customWidth="1"/>
    <col min="16136" max="16137" width="9.140625" style="3"/>
    <col min="16138" max="16138" width="11" style="3" customWidth="1"/>
    <col min="16139" max="16139" width="15.5703125" style="3" customWidth="1"/>
    <col min="16140" max="16140" width="23.85546875" style="3" customWidth="1"/>
    <col min="16141" max="16384" width="9.140625" style="3"/>
  </cols>
  <sheetData>
    <row r="3" spans="2:14" ht="15.75" x14ac:dyDescent="0.25">
      <c r="B3" s="157" t="s">
        <v>0</v>
      </c>
      <c r="C3" s="157"/>
      <c r="D3" s="157"/>
      <c r="E3" s="157"/>
      <c r="F3" s="157"/>
      <c r="H3" s="157" t="s">
        <v>1</v>
      </c>
      <c r="I3" s="157"/>
      <c r="J3" s="157"/>
      <c r="K3" s="157"/>
      <c r="L3" s="157"/>
      <c r="M3" s="4"/>
      <c r="N3" s="4"/>
    </row>
    <row r="4" spans="2:14" ht="15.75" thickBot="1" x14ac:dyDescent="0.3">
      <c r="M4" s="4"/>
      <c r="N4" s="4"/>
    </row>
    <row r="5" spans="2:14" ht="15.75" thickBot="1" x14ac:dyDescent="0.3">
      <c r="B5" s="5" t="s">
        <v>2</v>
      </c>
      <c r="H5" s="3" t="s">
        <v>3</v>
      </c>
      <c r="K5" s="6">
        <v>1</v>
      </c>
      <c r="L5" s="7" t="s">
        <v>4</v>
      </c>
      <c r="M5" s="4" t="s">
        <v>63</v>
      </c>
      <c r="N5" s="4"/>
    </row>
    <row r="6" spans="2:14" ht="15.75" thickBot="1" x14ac:dyDescent="0.3">
      <c r="B6" s="3" t="s">
        <v>5</v>
      </c>
      <c r="E6" s="6">
        <v>80</v>
      </c>
      <c r="F6" s="7" t="s">
        <v>6</v>
      </c>
      <c r="H6" s="3" t="s">
        <v>7</v>
      </c>
      <c r="K6" s="6">
        <v>1</v>
      </c>
      <c r="L6" s="7" t="s">
        <v>6</v>
      </c>
      <c r="M6" s="4" t="s">
        <v>63</v>
      </c>
      <c r="N6" s="4"/>
    </row>
    <row r="7" spans="2:14" ht="15.75" thickBot="1" x14ac:dyDescent="0.3">
      <c r="B7" s="3" t="s">
        <v>8</v>
      </c>
      <c r="E7" s="6">
        <v>2</v>
      </c>
      <c r="F7" s="7" t="s">
        <v>9</v>
      </c>
      <c r="H7" s="3" t="s">
        <v>10</v>
      </c>
      <c r="K7" s="6">
        <v>4</v>
      </c>
      <c r="L7" s="7" t="s">
        <v>4</v>
      </c>
      <c r="M7" s="4" t="s">
        <v>62</v>
      </c>
      <c r="N7" s="4"/>
    </row>
    <row r="8" spans="2:14" ht="15.75" thickBot="1" x14ac:dyDescent="0.3">
      <c r="B8" s="3" t="s">
        <v>11</v>
      </c>
      <c r="E8" s="8" t="str">
        <f>CONCATENATE('[1]Dimensionamento do Duto 1'!$F$8,", ",'[1]Dimensionamento do Duto 1'!$G$8,IF('[1]Dimensionamento do Duto 1'!$I$8&lt;&gt;" ",'[1]Dimensionamento do Duto 1'!$I$8, ),", ",IF('[1]Dimensionamento do Duto 1'!$J$8&lt;&gt;" ",'[1]Dimensionamento do Duto 1'!$I$8, ),IF('[1]Dimensionamento do Duto 1'!$J$8&lt;&gt;" ",'[1]Dimensionamento do Duto 1'!$J$8, ),IF('[1]Dimensionamento do Duto 1'!$K$8&lt;&gt;" ",'[1]Dimensionamento do Duto 1'!$K$8, ))</f>
        <v>GLP, GAS. A,  DIESEL</v>
      </c>
      <c r="H8" s="7" t="s">
        <v>12</v>
      </c>
      <c r="K8" s="6">
        <v>5</v>
      </c>
      <c r="L8" s="7"/>
      <c r="M8" s="4" t="s">
        <v>62</v>
      </c>
      <c r="N8" s="4"/>
    </row>
    <row r="9" spans="2:14" ht="15.75" thickBot="1" x14ac:dyDescent="0.3">
      <c r="B9" s="7" t="s">
        <v>13</v>
      </c>
      <c r="E9" s="9" t="s">
        <v>14</v>
      </c>
      <c r="H9" s="3" t="s">
        <v>15</v>
      </c>
      <c r="K9" s="6">
        <v>6</v>
      </c>
      <c r="L9" s="10" t="s">
        <v>16</v>
      </c>
      <c r="M9" s="4" t="s">
        <v>62</v>
      </c>
      <c r="N9" s="4"/>
    </row>
    <row r="10" spans="2:14" ht="15.75" thickBot="1" x14ac:dyDescent="0.3">
      <c r="B10" s="3" t="s">
        <v>17</v>
      </c>
      <c r="E10" s="11">
        <v>0.8</v>
      </c>
      <c r="H10" s="3" t="s">
        <v>18</v>
      </c>
      <c r="K10" s="6">
        <v>20</v>
      </c>
      <c r="L10" s="10" t="s">
        <v>16</v>
      </c>
      <c r="M10" s="4" t="s">
        <v>62</v>
      </c>
      <c r="N10" s="4"/>
    </row>
    <row r="11" spans="2:14" ht="15.75" thickBot="1" x14ac:dyDescent="0.3">
      <c r="B11" s="3" t="s">
        <v>19</v>
      </c>
      <c r="E11" s="6">
        <v>0.85</v>
      </c>
      <c r="H11" s="7" t="s">
        <v>20</v>
      </c>
      <c r="K11" s="6">
        <v>10</v>
      </c>
      <c r="L11" s="10" t="s">
        <v>21</v>
      </c>
      <c r="M11" s="4" t="s">
        <v>62</v>
      </c>
      <c r="N11" s="4"/>
    </row>
    <row r="12" spans="2:14" ht="15.75" thickBot="1" x14ac:dyDescent="0.3">
      <c r="B12" s="3" t="s">
        <v>22</v>
      </c>
      <c r="E12" s="6">
        <v>2012</v>
      </c>
      <c r="H12" s="3" t="s">
        <v>23</v>
      </c>
      <c r="K12" s="11">
        <v>194</v>
      </c>
      <c r="L12" s="7" t="s">
        <v>24</v>
      </c>
      <c r="M12" s="4" t="s">
        <v>63</v>
      </c>
      <c r="N12" s="4"/>
    </row>
    <row r="13" spans="2:14" ht="15.75" thickBot="1" x14ac:dyDescent="0.3">
      <c r="B13" s="3" t="s">
        <v>25</v>
      </c>
      <c r="E13" s="12">
        <v>4</v>
      </c>
      <c r="F13" s="3" t="s">
        <v>26</v>
      </c>
      <c r="H13" s="7" t="s">
        <v>27</v>
      </c>
      <c r="K13" s="13">
        <v>7400</v>
      </c>
      <c r="L13" s="7" t="s">
        <v>28</v>
      </c>
      <c r="M13" s="4" t="s">
        <v>62</v>
      </c>
      <c r="N13" s="4"/>
    </row>
    <row r="14" spans="2:14" ht="15.75" thickBot="1" x14ac:dyDescent="0.3">
      <c r="B14" s="3" t="s">
        <v>29</v>
      </c>
      <c r="E14" s="14">
        <f>E13+E12+1</f>
        <v>2017</v>
      </c>
      <c r="H14" s="7" t="s">
        <v>30</v>
      </c>
      <c r="K14" s="15">
        <f>K13/1.35</f>
        <v>5481.4814814814808</v>
      </c>
      <c r="L14" s="7" t="s">
        <v>28</v>
      </c>
      <c r="M14" s="4" t="s">
        <v>62</v>
      </c>
      <c r="N14" s="4"/>
    </row>
    <row r="15" spans="2:14" ht="15.75" thickBot="1" x14ac:dyDescent="0.3">
      <c r="B15" s="3" t="s">
        <v>31</v>
      </c>
      <c r="E15" s="6">
        <v>10</v>
      </c>
      <c r="F15" s="7" t="s">
        <v>26</v>
      </c>
      <c r="M15" s="4"/>
      <c r="N15" s="4"/>
    </row>
    <row r="16" spans="2:14" ht="15.75" thickBot="1" x14ac:dyDescent="0.3">
      <c r="B16" s="3" t="s">
        <v>32</v>
      </c>
      <c r="E16" s="16">
        <f>E14+(E15-1)</f>
        <v>2026</v>
      </c>
      <c r="H16" s="5" t="s">
        <v>33</v>
      </c>
      <c r="M16" s="4"/>
      <c r="N16" s="4"/>
    </row>
    <row r="17" spans="2:14" ht="15.75" thickBot="1" x14ac:dyDescent="0.3">
      <c r="M17" s="4"/>
      <c r="N17" s="4"/>
    </row>
    <row r="18" spans="2:14" ht="15.75" thickBot="1" x14ac:dyDescent="0.3">
      <c r="B18" s="5" t="s">
        <v>34</v>
      </c>
      <c r="H18" s="7" t="s">
        <v>35</v>
      </c>
      <c r="K18" s="17">
        <v>9.1957411957411944E-2</v>
      </c>
      <c r="L18" s="7" t="s">
        <v>36</v>
      </c>
      <c r="M18" s="4"/>
      <c r="N18" s="4"/>
    </row>
    <row r="19" spans="2:14" ht="15.75" thickBot="1" x14ac:dyDescent="0.3">
      <c r="B19" s="3" t="s">
        <v>37</v>
      </c>
      <c r="E19" s="6">
        <v>400</v>
      </c>
      <c r="F19" s="7" t="s">
        <v>38</v>
      </c>
      <c r="H19" s="7" t="s">
        <v>39</v>
      </c>
      <c r="K19" s="17">
        <v>8.6145577395577391E-2</v>
      </c>
      <c r="L19" s="7" t="s">
        <v>36</v>
      </c>
      <c r="M19" s="4"/>
      <c r="N19" s="4"/>
    </row>
    <row r="20" spans="2:14" ht="15.75" thickBot="1" x14ac:dyDescent="0.3">
      <c r="B20" s="3" t="s">
        <v>40</v>
      </c>
      <c r="E20" s="6">
        <v>15</v>
      </c>
      <c r="F20" s="7" t="s">
        <v>41</v>
      </c>
      <c r="H20" s="7" t="s">
        <v>42</v>
      </c>
      <c r="I20" s="7"/>
      <c r="K20" s="17">
        <v>0.13264742014742015</v>
      </c>
      <c r="L20" s="7" t="s">
        <v>36</v>
      </c>
    </row>
    <row r="22" spans="2:14" ht="16.5" thickBot="1" x14ac:dyDescent="0.3">
      <c r="B22" s="5" t="s">
        <v>43</v>
      </c>
      <c r="H22" s="157" t="s">
        <v>44</v>
      </c>
      <c r="I22" s="157"/>
      <c r="J22" s="157"/>
      <c r="K22" s="157"/>
      <c r="L22" s="157"/>
    </row>
    <row r="23" spans="2:14" ht="15.75" thickBot="1" x14ac:dyDescent="0.3">
      <c r="B23" s="3" t="s">
        <v>45</v>
      </c>
      <c r="E23" s="18">
        <v>444.39</v>
      </c>
      <c r="F23" s="7" t="s">
        <v>38</v>
      </c>
    </row>
    <row r="24" spans="2:14" ht="15.75" thickBot="1" x14ac:dyDescent="0.3">
      <c r="B24" s="3" t="s">
        <v>46</v>
      </c>
      <c r="E24" s="18">
        <v>636.14</v>
      </c>
      <c r="F24" s="7" t="s">
        <v>38</v>
      </c>
      <c r="H24" s="7" t="s">
        <v>47</v>
      </c>
      <c r="K24" s="6">
        <v>30</v>
      </c>
      <c r="L24" s="3" t="s">
        <v>26</v>
      </c>
    </row>
    <row r="25" spans="2:14" ht="15.75" thickBot="1" x14ac:dyDescent="0.3">
      <c r="B25" s="3" t="s">
        <v>48</v>
      </c>
      <c r="E25" s="19">
        <v>0</v>
      </c>
      <c r="F25" s="7" t="s">
        <v>38</v>
      </c>
      <c r="H25" s="3" t="s">
        <v>49</v>
      </c>
      <c r="K25" s="6">
        <v>10</v>
      </c>
      <c r="L25" s="3" t="s">
        <v>50</v>
      </c>
    </row>
    <row r="26" spans="2:14" ht="15.75" thickBot="1" x14ac:dyDescent="0.3">
      <c r="B26" s="3" t="s">
        <v>51</v>
      </c>
      <c r="E26" s="19">
        <v>0</v>
      </c>
      <c r="F26" s="7" t="s">
        <v>38</v>
      </c>
      <c r="H26" s="7" t="s">
        <v>52</v>
      </c>
      <c r="K26" s="6">
        <v>5</v>
      </c>
      <c r="L26" s="7" t="s">
        <v>53</v>
      </c>
    </row>
    <row r="27" spans="2:14" ht="12.75" customHeight="1" thickBot="1" x14ac:dyDescent="0.3">
      <c r="B27" s="3" t="s">
        <v>54</v>
      </c>
      <c r="E27" s="18">
        <v>686.71</v>
      </c>
      <c r="F27" s="7" t="s">
        <v>38</v>
      </c>
      <c r="H27" s="20"/>
    </row>
    <row r="28" spans="2:14" ht="15.75" thickBot="1" x14ac:dyDescent="0.3">
      <c r="B28" s="7" t="s">
        <v>55</v>
      </c>
      <c r="E28" s="19">
        <v>0</v>
      </c>
      <c r="F28" s="7" t="s">
        <v>38</v>
      </c>
    </row>
    <row r="29" spans="2:14" ht="15.75" thickBot="1" x14ac:dyDescent="0.3">
      <c r="B29" s="3" t="s">
        <v>56</v>
      </c>
      <c r="E29" s="18">
        <v>50</v>
      </c>
      <c r="F29" s="7" t="s">
        <v>57</v>
      </c>
      <c r="H29" s="7"/>
    </row>
    <row r="30" spans="2:14" ht="15.75" thickBot="1" x14ac:dyDescent="0.3">
      <c r="B30" s="3" t="s">
        <v>58</v>
      </c>
      <c r="E30" s="18">
        <v>10</v>
      </c>
      <c r="F30" s="7" t="s">
        <v>59</v>
      </c>
    </row>
    <row r="31" spans="2:14" ht="15.75" thickBot="1" x14ac:dyDescent="0.3">
      <c r="B31" s="7" t="s">
        <v>60</v>
      </c>
      <c r="E31" s="21" t="s">
        <v>61</v>
      </c>
    </row>
    <row r="35" spans="7:7" x14ac:dyDescent="0.25">
      <c r="G35" s="7"/>
    </row>
  </sheetData>
  <mergeCells count="3">
    <mergeCell ref="B3:F3"/>
    <mergeCell ref="H3:L3"/>
    <mergeCell ref="H22:L22"/>
  </mergeCells>
  <dataValidations count="2">
    <dataValidation type="list" allowBlank="1" showInputMessage="1" showErrorMessage="1" prompt="Escolha na lista o produto para cálculo do custo variável" sqref="E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65567 JA65567 SW65567 ACS65567 AMO65567 AWK65567 BGG65567 BQC65567 BZY65567 CJU65567 CTQ65567 DDM65567 DNI65567 DXE65567 EHA65567 EQW65567 FAS65567 FKO65567 FUK65567 GEG65567 GOC65567 GXY65567 HHU65567 HRQ65567 IBM65567 ILI65567 IVE65567 JFA65567 JOW65567 JYS65567 KIO65567 KSK65567 LCG65567 LMC65567 LVY65567 MFU65567 MPQ65567 MZM65567 NJI65567 NTE65567 ODA65567 OMW65567 OWS65567 PGO65567 PQK65567 QAG65567 QKC65567 QTY65567 RDU65567 RNQ65567 RXM65567 SHI65567 SRE65567 TBA65567 TKW65567 TUS65567 UEO65567 UOK65567 UYG65567 VIC65567 VRY65567 WBU65567 WLQ65567 WVM65567 E131103 JA131103 SW131103 ACS131103 AMO131103 AWK131103 BGG131103 BQC131103 BZY131103 CJU131103 CTQ131103 DDM131103 DNI131103 DXE131103 EHA131103 EQW131103 FAS131103 FKO131103 FUK131103 GEG131103 GOC131103 GXY131103 HHU131103 HRQ131103 IBM131103 ILI131103 IVE131103 JFA131103 JOW131103 JYS131103 KIO131103 KSK131103 LCG131103 LMC131103 LVY131103 MFU131103 MPQ131103 MZM131103 NJI131103 NTE131103 ODA131103 OMW131103 OWS131103 PGO131103 PQK131103 QAG131103 QKC131103 QTY131103 RDU131103 RNQ131103 RXM131103 SHI131103 SRE131103 TBA131103 TKW131103 TUS131103 UEO131103 UOK131103 UYG131103 VIC131103 VRY131103 WBU131103 WLQ131103 WVM131103 E196639 JA196639 SW196639 ACS196639 AMO196639 AWK196639 BGG196639 BQC196639 BZY196639 CJU196639 CTQ196639 DDM196639 DNI196639 DXE196639 EHA196639 EQW196639 FAS196639 FKO196639 FUK196639 GEG196639 GOC196639 GXY196639 HHU196639 HRQ196639 IBM196639 ILI196639 IVE196639 JFA196639 JOW196639 JYS196639 KIO196639 KSK196639 LCG196639 LMC196639 LVY196639 MFU196639 MPQ196639 MZM196639 NJI196639 NTE196639 ODA196639 OMW196639 OWS196639 PGO196639 PQK196639 QAG196639 QKC196639 QTY196639 RDU196639 RNQ196639 RXM196639 SHI196639 SRE196639 TBA196639 TKW196639 TUS196639 UEO196639 UOK196639 UYG196639 VIC196639 VRY196639 WBU196639 WLQ196639 WVM196639 E262175 JA262175 SW262175 ACS262175 AMO262175 AWK262175 BGG262175 BQC262175 BZY262175 CJU262175 CTQ262175 DDM262175 DNI262175 DXE262175 EHA262175 EQW262175 FAS262175 FKO262175 FUK262175 GEG262175 GOC262175 GXY262175 HHU262175 HRQ262175 IBM262175 ILI262175 IVE262175 JFA262175 JOW262175 JYS262175 KIO262175 KSK262175 LCG262175 LMC262175 LVY262175 MFU262175 MPQ262175 MZM262175 NJI262175 NTE262175 ODA262175 OMW262175 OWS262175 PGO262175 PQK262175 QAG262175 QKC262175 QTY262175 RDU262175 RNQ262175 RXM262175 SHI262175 SRE262175 TBA262175 TKW262175 TUS262175 UEO262175 UOK262175 UYG262175 VIC262175 VRY262175 WBU262175 WLQ262175 WVM262175 E327711 JA327711 SW327711 ACS327711 AMO327711 AWK327711 BGG327711 BQC327711 BZY327711 CJU327711 CTQ327711 DDM327711 DNI327711 DXE327711 EHA327711 EQW327711 FAS327711 FKO327711 FUK327711 GEG327711 GOC327711 GXY327711 HHU327711 HRQ327711 IBM327711 ILI327711 IVE327711 JFA327711 JOW327711 JYS327711 KIO327711 KSK327711 LCG327711 LMC327711 LVY327711 MFU327711 MPQ327711 MZM327711 NJI327711 NTE327711 ODA327711 OMW327711 OWS327711 PGO327711 PQK327711 QAG327711 QKC327711 QTY327711 RDU327711 RNQ327711 RXM327711 SHI327711 SRE327711 TBA327711 TKW327711 TUS327711 UEO327711 UOK327711 UYG327711 VIC327711 VRY327711 WBU327711 WLQ327711 WVM327711 E393247 JA393247 SW393247 ACS393247 AMO393247 AWK393247 BGG393247 BQC393247 BZY393247 CJU393247 CTQ393247 DDM393247 DNI393247 DXE393247 EHA393247 EQW393247 FAS393247 FKO393247 FUK393247 GEG393247 GOC393247 GXY393247 HHU393247 HRQ393247 IBM393247 ILI393247 IVE393247 JFA393247 JOW393247 JYS393247 KIO393247 KSK393247 LCG393247 LMC393247 LVY393247 MFU393247 MPQ393247 MZM393247 NJI393247 NTE393247 ODA393247 OMW393247 OWS393247 PGO393247 PQK393247 QAG393247 QKC393247 QTY393247 RDU393247 RNQ393247 RXM393247 SHI393247 SRE393247 TBA393247 TKW393247 TUS393247 UEO393247 UOK393247 UYG393247 VIC393247 VRY393247 WBU393247 WLQ393247 WVM393247 E458783 JA458783 SW458783 ACS458783 AMO458783 AWK458783 BGG458783 BQC458783 BZY458783 CJU458783 CTQ458783 DDM458783 DNI458783 DXE458783 EHA458783 EQW458783 FAS458783 FKO458783 FUK458783 GEG458783 GOC458783 GXY458783 HHU458783 HRQ458783 IBM458783 ILI458783 IVE458783 JFA458783 JOW458783 JYS458783 KIO458783 KSK458783 LCG458783 LMC458783 LVY458783 MFU458783 MPQ458783 MZM458783 NJI458783 NTE458783 ODA458783 OMW458783 OWS458783 PGO458783 PQK458783 QAG458783 QKC458783 QTY458783 RDU458783 RNQ458783 RXM458783 SHI458783 SRE458783 TBA458783 TKW458783 TUS458783 UEO458783 UOK458783 UYG458783 VIC458783 VRY458783 WBU458783 WLQ458783 WVM458783 E524319 JA524319 SW524319 ACS524319 AMO524319 AWK524319 BGG524319 BQC524319 BZY524319 CJU524319 CTQ524319 DDM524319 DNI524319 DXE524319 EHA524319 EQW524319 FAS524319 FKO524319 FUK524319 GEG524319 GOC524319 GXY524319 HHU524319 HRQ524319 IBM524319 ILI524319 IVE524319 JFA524319 JOW524319 JYS524319 KIO524319 KSK524319 LCG524319 LMC524319 LVY524319 MFU524319 MPQ524319 MZM524319 NJI524319 NTE524319 ODA524319 OMW524319 OWS524319 PGO524319 PQK524319 QAG524319 QKC524319 QTY524319 RDU524319 RNQ524319 RXM524319 SHI524319 SRE524319 TBA524319 TKW524319 TUS524319 UEO524319 UOK524319 UYG524319 VIC524319 VRY524319 WBU524319 WLQ524319 WVM524319 E589855 JA589855 SW589855 ACS589855 AMO589855 AWK589855 BGG589855 BQC589855 BZY589855 CJU589855 CTQ589855 DDM589855 DNI589855 DXE589855 EHA589855 EQW589855 FAS589855 FKO589855 FUK589855 GEG589855 GOC589855 GXY589855 HHU589855 HRQ589855 IBM589855 ILI589855 IVE589855 JFA589855 JOW589855 JYS589855 KIO589855 KSK589855 LCG589855 LMC589855 LVY589855 MFU589855 MPQ589855 MZM589855 NJI589855 NTE589855 ODA589855 OMW589855 OWS589855 PGO589855 PQK589855 QAG589855 QKC589855 QTY589855 RDU589855 RNQ589855 RXM589855 SHI589855 SRE589855 TBA589855 TKW589855 TUS589855 UEO589855 UOK589855 UYG589855 VIC589855 VRY589855 WBU589855 WLQ589855 WVM589855 E655391 JA655391 SW655391 ACS655391 AMO655391 AWK655391 BGG655391 BQC655391 BZY655391 CJU655391 CTQ655391 DDM655391 DNI655391 DXE655391 EHA655391 EQW655391 FAS655391 FKO655391 FUK655391 GEG655391 GOC655391 GXY655391 HHU655391 HRQ655391 IBM655391 ILI655391 IVE655391 JFA655391 JOW655391 JYS655391 KIO655391 KSK655391 LCG655391 LMC655391 LVY655391 MFU655391 MPQ655391 MZM655391 NJI655391 NTE655391 ODA655391 OMW655391 OWS655391 PGO655391 PQK655391 QAG655391 QKC655391 QTY655391 RDU655391 RNQ655391 RXM655391 SHI655391 SRE655391 TBA655391 TKW655391 TUS655391 UEO655391 UOK655391 UYG655391 VIC655391 VRY655391 WBU655391 WLQ655391 WVM655391 E720927 JA720927 SW720927 ACS720927 AMO720927 AWK720927 BGG720927 BQC720927 BZY720927 CJU720927 CTQ720927 DDM720927 DNI720927 DXE720927 EHA720927 EQW720927 FAS720927 FKO720927 FUK720927 GEG720927 GOC720927 GXY720927 HHU720927 HRQ720927 IBM720927 ILI720927 IVE720927 JFA720927 JOW720927 JYS720927 KIO720927 KSK720927 LCG720927 LMC720927 LVY720927 MFU720927 MPQ720927 MZM720927 NJI720927 NTE720927 ODA720927 OMW720927 OWS720927 PGO720927 PQK720927 QAG720927 QKC720927 QTY720927 RDU720927 RNQ720927 RXM720927 SHI720927 SRE720927 TBA720927 TKW720927 TUS720927 UEO720927 UOK720927 UYG720927 VIC720927 VRY720927 WBU720927 WLQ720927 WVM720927 E786463 JA786463 SW786463 ACS786463 AMO786463 AWK786463 BGG786463 BQC786463 BZY786463 CJU786463 CTQ786463 DDM786463 DNI786463 DXE786463 EHA786463 EQW786463 FAS786463 FKO786463 FUK786463 GEG786463 GOC786463 GXY786463 HHU786463 HRQ786463 IBM786463 ILI786463 IVE786463 JFA786463 JOW786463 JYS786463 KIO786463 KSK786463 LCG786463 LMC786463 LVY786463 MFU786463 MPQ786463 MZM786463 NJI786463 NTE786463 ODA786463 OMW786463 OWS786463 PGO786463 PQK786463 QAG786463 QKC786463 QTY786463 RDU786463 RNQ786463 RXM786463 SHI786463 SRE786463 TBA786463 TKW786463 TUS786463 UEO786463 UOK786463 UYG786463 VIC786463 VRY786463 WBU786463 WLQ786463 WVM786463 E851999 JA851999 SW851999 ACS851999 AMO851999 AWK851999 BGG851999 BQC851999 BZY851999 CJU851999 CTQ851999 DDM851999 DNI851999 DXE851999 EHA851999 EQW851999 FAS851999 FKO851999 FUK851999 GEG851999 GOC851999 GXY851999 HHU851999 HRQ851999 IBM851999 ILI851999 IVE851999 JFA851999 JOW851999 JYS851999 KIO851999 KSK851999 LCG851999 LMC851999 LVY851999 MFU851999 MPQ851999 MZM851999 NJI851999 NTE851999 ODA851999 OMW851999 OWS851999 PGO851999 PQK851999 QAG851999 QKC851999 QTY851999 RDU851999 RNQ851999 RXM851999 SHI851999 SRE851999 TBA851999 TKW851999 TUS851999 UEO851999 UOK851999 UYG851999 VIC851999 VRY851999 WBU851999 WLQ851999 WVM851999 E917535 JA917535 SW917535 ACS917535 AMO917535 AWK917535 BGG917535 BQC917535 BZY917535 CJU917535 CTQ917535 DDM917535 DNI917535 DXE917535 EHA917535 EQW917535 FAS917535 FKO917535 FUK917535 GEG917535 GOC917535 GXY917535 HHU917535 HRQ917535 IBM917535 ILI917535 IVE917535 JFA917535 JOW917535 JYS917535 KIO917535 KSK917535 LCG917535 LMC917535 LVY917535 MFU917535 MPQ917535 MZM917535 NJI917535 NTE917535 ODA917535 OMW917535 OWS917535 PGO917535 PQK917535 QAG917535 QKC917535 QTY917535 RDU917535 RNQ917535 RXM917535 SHI917535 SRE917535 TBA917535 TKW917535 TUS917535 UEO917535 UOK917535 UYG917535 VIC917535 VRY917535 WBU917535 WLQ917535 WVM917535 E983071 JA983071 SW983071 ACS983071 AMO983071 AWK983071 BGG983071 BQC983071 BZY983071 CJU983071 CTQ983071 DDM983071 DNI983071 DXE983071 EHA983071 EQW983071 FAS983071 FKO983071 FUK983071 GEG983071 GOC983071 GXY983071 HHU983071 HRQ983071 IBM983071 ILI983071 IVE983071 JFA983071 JOW983071 JYS983071 KIO983071 KSK983071 LCG983071 LMC983071 LVY983071 MFU983071 MPQ983071 MZM983071 NJI983071 NTE983071 ODA983071 OMW983071 OWS983071 PGO983071 PQK983071 QAG983071 QKC983071 QTY983071 RDU983071 RNQ983071 RXM983071 SHI983071 SRE983071 TBA983071 TKW983071 TUS983071 UEO983071 UOK983071 UYG983071 VIC983071 VRY983071 WBU983071 WLQ983071 WVM983071">
      <formula1>tabela_produto</formula1>
    </dataValidation>
    <dataValidation type="list" allowBlank="1" showInputMessage="1" showErrorMessage="1" sqref="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E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E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E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E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E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E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E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E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E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E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E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E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E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E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formula1>tabela_classe</formula1>
    </dataValidation>
  </dataValidation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0"/>
  <sheetViews>
    <sheetView workbookViewId="0">
      <selection activeCell="P14" sqref="P14"/>
    </sheetView>
  </sheetViews>
  <sheetFormatPr defaultColWidth="9" defaultRowHeight="15" x14ac:dyDescent="0.25"/>
  <cols>
    <col min="1" max="1" width="5.5703125" style="22" customWidth="1"/>
    <col min="2" max="2" width="10.28515625" style="22" customWidth="1"/>
    <col min="3" max="3" width="17.7109375" style="22" customWidth="1"/>
    <col min="4" max="4" width="16.28515625" style="22" customWidth="1"/>
    <col min="5" max="5" width="16.42578125" style="22" customWidth="1"/>
    <col min="6" max="6" width="16.85546875" style="38" customWidth="1"/>
    <col min="7" max="7" width="19.5703125" style="22" customWidth="1"/>
    <col min="8" max="256" width="9" style="22"/>
    <col min="257" max="257" width="5.5703125" style="22" customWidth="1"/>
    <col min="258" max="258" width="10.28515625" style="22" customWidth="1"/>
    <col min="259" max="259" width="17.7109375" style="22" customWidth="1"/>
    <col min="260" max="260" width="16.28515625" style="22" customWidth="1"/>
    <col min="261" max="261" width="16.42578125" style="22" customWidth="1"/>
    <col min="262" max="262" width="16.85546875" style="22" customWidth="1"/>
    <col min="263" max="263" width="19.5703125" style="22" customWidth="1"/>
    <col min="264" max="512" width="9" style="22"/>
    <col min="513" max="513" width="5.5703125" style="22" customWidth="1"/>
    <col min="514" max="514" width="10.28515625" style="22" customWidth="1"/>
    <col min="515" max="515" width="17.7109375" style="22" customWidth="1"/>
    <col min="516" max="516" width="16.28515625" style="22" customWidth="1"/>
    <col min="517" max="517" width="16.42578125" style="22" customWidth="1"/>
    <col min="518" max="518" width="16.85546875" style="22" customWidth="1"/>
    <col min="519" max="519" width="19.5703125" style="22" customWidth="1"/>
    <col min="520" max="768" width="9" style="22"/>
    <col min="769" max="769" width="5.5703125" style="22" customWidth="1"/>
    <col min="770" max="770" width="10.28515625" style="22" customWidth="1"/>
    <col min="771" max="771" width="17.7109375" style="22" customWidth="1"/>
    <col min="772" max="772" width="16.28515625" style="22" customWidth="1"/>
    <col min="773" max="773" width="16.42578125" style="22" customWidth="1"/>
    <col min="774" max="774" width="16.85546875" style="22" customWidth="1"/>
    <col min="775" max="775" width="19.5703125" style="22" customWidth="1"/>
    <col min="776" max="1024" width="9" style="22"/>
    <col min="1025" max="1025" width="5.5703125" style="22" customWidth="1"/>
    <col min="1026" max="1026" width="10.28515625" style="22" customWidth="1"/>
    <col min="1027" max="1027" width="17.7109375" style="22" customWidth="1"/>
    <col min="1028" max="1028" width="16.28515625" style="22" customWidth="1"/>
    <col min="1029" max="1029" width="16.42578125" style="22" customWidth="1"/>
    <col min="1030" max="1030" width="16.85546875" style="22" customWidth="1"/>
    <col min="1031" max="1031" width="19.5703125" style="22" customWidth="1"/>
    <col min="1032" max="1280" width="9" style="22"/>
    <col min="1281" max="1281" width="5.5703125" style="22" customWidth="1"/>
    <col min="1282" max="1282" width="10.28515625" style="22" customWidth="1"/>
    <col min="1283" max="1283" width="17.7109375" style="22" customWidth="1"/>
    <col min="1284" max="1284" width="16.28515625" style="22" customWidth="1"/>
    <col min="1285" max="1285" width="16.42578125" style="22" customWidth="1"/>
    <col min="1286" max="1286" width="16.85546875" style="22" customWidth="1"/>
    <col min="1287" max="1287" width="19.5703125" style="22" customWidth="1"/>
    <col min="1288" max="1536" width="9" style="22"/>
    <col min="1537" max="1537" width="5.5703125" style="22" customWidth="1"/>
    <col min="1538" max="1538" width="10.28515625" style="22" customWidth="1"/>
    <col min="1539" max="1539" width="17.7109375" style="22" customWidth="1"/>
    <col min="1540" max="1540" width="16.28515625" style="22" customWidth="1"/>
    <col min="1541" max="1541" width="16.42578125" style="22" customWidth="1"/>
    <col min="1542" max="1542" width="16.85546875" style="22" customWidth="1"/>
    <col min="1543" max="1543" width="19.5703125" style="22" customWidth="1"/>
    <col min="1544" max="1792" width="9" style="22"/>
    <col min="1793" max="1793" width="5.5703125" style="22" customWidth="1"/>
    <col min="1794" max="1794" width="10.28515625" style="22" customWidth="1"/>
    <col min="1795" max="1795" width="17.7109375" style="22" customWidth="1"/>
    <col min="1796" max="1796" width="16.28515625" style="22" customWidth="1"/>
    <col min="1797" max="1797" width="16.42578125" style="22" customWidth="1"/>
    <col min="1798" max="1798" width="16.85546875" style="22" customWidth="1"/>
    <col min="1799" max="1799" width="19.5703125" style="22" customWidth="1"/>
    <col min="1800" max="2048" width="9" style="22"/>
    <col min="2049" max="2049" width="5.5703125" style="22" customWidth="1"/>
    <col min="2050" max="2050" width="10.28515625" style="22" customWidth="1"/>
    <col min="2051" max="2051" width="17.7109375" style="22" customWidth="1"/>
    <col min="2052" max="2052" width="16.28515625" style="22" customWidth="1"/>
    <col min="2053" max="2053" width="16.42578125" style="22" customWidth="1"/>
    <col min="2054" max="2054" width="16.85546875" style="22" customWidth="1"/>
    <col min="2055" max="2055" width="19.5703125" style="22" customWidth="1"/>
    <col min="2056" max="2304" width="9" style="22"/>
    <col min="2305" max="2305" width="5.5703125" style="22" customWidth="1"/>
    <col min="2306" max="2306" width="10.28515625" style="22" customWidth="1"/>
    <col min="2307" max="2307" width="17.7109375" style="22" customWidth="1"/>
    <col min="2308" max="2308" width="16.28515625" style="22" customWidth="1"/>
    <col min="2309" max="2309" width="16.42578125" style="22" customWidth="1"/>
    <col min="2310" max="2310" width="16.85546875" style="22" customWidth="1"/>
    <col min="2311" max="2311" width="19.5703125" style="22" customWidth="1"/>
    <col min="2312" max="2560" width="9" style="22"/>
    <col min="2561" max="2561" width="5.5703125" style="22" customWidth="1"/>
    <col min="2562" max="2562" width="10.28515625" style="22" customWidth="1"/>
    <col min="2563" max="2563" width="17.7109375" style="22" customWidth="1"/>
    <col min="2564" max="2564" width="16.28515625" style="22" customWidth="1"/>
    <col min="2565" max="2565" width="16.42578125" style="22" customWidth="1"/>
    <col min="2566" max="2566" width="16.85546875" style="22" customWidth="1"/>
    <col min="2567" max="2567" width="19.5703125" style="22" customWidth="1"/>
    <col min="2568" max="2816" width="9" style="22"/>
    <col min="2817" max="2817" width="5.5703125" style="22" customWidth="1"/>
    <col min="2818" max="2818" width="10.28515625" style="22" customWidth="1"/>
    <col min="2819" max="2819" width="17.7109375" style="22" customWidth="1"/>
    <col min="2820" max="2820" width="16.28515625" style="22" customWidth="1"/>
    <col min="2821" max="2821" width="16.42578125" style="22" customWidth="1"/>
    <col min="2822" max="2822" width="16.85546875" style="22" customWidth="1"/>
    <col min="2823" max="2823" width="19.5703125" style="22" customWidth="1"/>
    <col min="2824" max="3072" width="9" style="22"/>
    <col min="3073" max="3073" width="5.5703125" style="22" customWidth="1"/>
    <col min="3074" max="3074" width="10.28515625" style="22" customWidth="1"/>
    <col min="3075" max="3075" width="17.7109375" style="22" customWidth="1"/>
    <col min="3076" max="3076" width="16.28515625" style="22" customWidth="1"/>
    <col min="3077" max="3077" width="16.42578125" style="22" customWidth="1"/>
    <col min="3078" max="3078" width="16.85546875" style="22" customWidth="1"/>
    <col min="3079" max="3079" width="19.5703125" style="22" customWidth="1"/>
    <col min="3080" max="3328" width="9" style="22"/>
    <col min="3329" max="3329" width="5.5703125" style="22" customWidth="1"/>
    <col min="3330" max="3330" width="10.28515625" style="22" customWidth="1"/>
    <col min="3331" max="3331" width="17.7109375" style="22" customWidth="1"/>
    <col min="3332" max="3332" width="16.28515625" style="22" customWidth="1"/>
    <col min="3333" max="3333" width="16.42578125" style="22" customWidth="1"/>
    <col min="3334" max="3334" width="16.85546875" style="22" customWidth="1"/>
    <col min="3335" max="3335" width="19.5703125" style="22" customWidth="1"/>
    <col min="3336" max="3584" width="9" style="22"/>
    <col min="3585" max="3585" width="5.5703125" style="22" customWidth="1"/>
    <col min="3586" max="3586" width="10.28515625" style="22" customWidth="1"/>
    <col min="3587" max="3587" width="17.7109375" style="22" customWidth="1"/>
    <col min="3588" max="3588" width="16.28515625" style="22" customWidth="1"/>
    <col min="3589" max="3589" width="16.42578125" style="22" customWidth="1"/>
    <col min="3590" max="3590" width="16.85546875" style="22" customWidth="1"/>
    <col min="3591" max="3591" width="19.5703125" style="22" customWidth="1"/>
    <col min="3592" max="3840" width="9" style="22"/>
    <col min="3841" max="3841" width="5.5703125" style="22" customWidth="1"/>
    <col min="3842" max="3842" width="10.28515625" style="22" customWidth="1"/>
    <col min="3843" max="3843" width="17.7109375" style="22" customWidth="1"/>
    <col min="3844" max="3844" width="16.28515625" style="22" customWidth="1"/>
    <col min="3845" max="3845" width="16.42578125" style="22" customWidth="1"/>
    <col min="3846" max="3846" width="16.85546875" style="22" customWidth="1"/>
    <col min="3847" max="3847" width="19.5703125" style="22" customWidth="1"/>
    <col min="3848" max="4096" width="9" style="22"/>
    <col min="4097" max="4097" width="5.5703125" style="22" customWidth="1"/>
    <col min="4098" max="4098" width="10.28515625" style="22" customWidth="1"/>
    <col min="4099" max="4099" width="17.7109375" style="22" customWidth="1"/>
    <col min="4100" max="4100" width="16.28515625" style="22" customWidth="1"/>
    <col min="4101" max="4101" width="16.42578125" style="22" customWidth="1"/>
    <col min="4102" max="4102" width="16.85546875" style="22" customWidth="1"/>
    <col min="4103" max="4103" width="19.5703125" style="22" customWidth="1"/>
    <col min="4104" max="4352" width="9" style="22"/>
    <col min="4353" max="4353" width="5.5703125" style="22" customWidth="1"/>
    <col min="4354" max="4354" width="10.28515625" style="22" customWidth="1"/>
    <col min="4355" max="4355" width="17.7109375" style="22" customWidth="1"/>
    <col min="4356" max="4356" width="16.28515625" style="22" customWidth="1"/>
    <col min="4357" max="4357" width="16.42578125" style="22" customWidth="1"/>
    <col min="4358" max="4358" width="16.85546875" style="22" customWidth="1"/>
    <col min="4359" max="4359" width="19.5703125" style="22" customWidth="1"/>
    <col min="4360" max="4608" width="9" style="22"/>
    <col min="4609" max="4609" width="5.5703125" style="22" customWidth="1"/>
    <col min="4610" max="4610" width="10.28515625" style="22" customWidth="1"/>
    <col min="4611" max="4611" width="17.7109375" style="22" customWidth="1"/>
    <col min="4612" max="4612" width="16.28515625" style="22" customWidth="1"/>
    <col min="4613" max="4613" width="16.42578125" style="22" customWidth="1"/>
    <col min="4614" max="4614" width="16.85546875" style="22" customWidth="1"/>
    <col min="4615" max="4615" width="19.5703125" style="22" customWidth="1"/>
    <col min="4616" max="4864" width="9" style="22"/>
    <col min="4865" max="4865" width="5.5703125" style="22" customWidth="1"/>
    <col min="4866" max="4866" width="10.28515625" style="22" customWidth="1"/>
    <col min="4867" max="4867" width="17.7109375" style="22" customWidth="1"/>
    <col min="4868" max="4868" width="16.28515625" style="22" customWidth="1"/>
    <col min="4869" max="4869" width="16.42578125" style="22" customWidth="1"/>
    <col min="4870" max="4870" width="16.85546875" style="22" customWidth="1"/>
    <col min="4871" max="4871" width="19.5703125" style="22" customWidth="1"/>
    <col min="4872" max="5120" width="9" style="22"/>
    <col min="5121" max="5121" width="5.5703125" style="22" customWidth="1"/>
    <col min="5122" max="5122" width="10.28515625" style="22" customWidth="1"/>
    <col min="5123" max="5123" width="17.7109375" style="22" customWidth="1"/>
    <col min="5124" max="5124" width="16.28515625" style="22" customWidth="1"/>
    <col min="5125" max="5125" width="16.42578125" style="22" customWidth="1"/>
    <col min="5126" max="5126" width="16.85546875" style="22" customWidth="1"/>
    <col min="5127" max="5127" width="19.5703125" style="22" customWidth="1"/>
    <col min="5128" max="5376" width="9" style="22"/>
    <col min="5377" max="5377" width="5.5703125" style="22" customWidth="1"/>
    <col min="5378" max="5378" width="10.28515625" style="22" customWidth="1"/>
    <col min="5379" max="5379" width="17.7109375" style="22" customWidth="1"/>
    <col min="5380" max="5380" width="16.28515625" style="22" customWidth="1"/>
    <col min="5381" max="5381" width="16.42578125" style="22" customWidth="1"/>
    <col min="5382" max="5382" width="16.85546875" style="22" customWidth="1"/>
    <col min="5383" max="5383" width="19.5703125" style="22" customWidth="1"/>
    <col min="5384" max="5632" width="9" style="22"/>
    <col min="5633" max="5633" width="5.5703125" style="22" customWidth="1"/>
    <col min="5634" max="5634" width="10.28515625" style="22" customWidth="1"/>
    <col min="5635" max="5635" width="17.7109375" style="22" customWidth="1"/>
    <col min="5636" max="5636" width="16.28515625" style="22" customWidth="1"/>
    <col min="5637" max="5637" width="16.42578125" style="22" customWidth="1"/>
    <col min="5638" max="5638" width="16.85546875" style="22" customWidth="1"/>
    <col min="5639" max="5639" width="19.5703125" style="22" customWidth="1"/>
    <col min="5640" max="5888" width="9" style="22"/>
    <col min="5889" max="5889" width="5.5703125" style="22" customWidth="1"/>
    <col min="5890" max="5890" width="10.28515625" style="22" customWidth="1"/>
    <col min="5891" max="5891" width="17.7109375" style="22" customWidth="1"/>
    <col min="5892" max="5892" width="16.28515625" style="22" customWidth="1"/>
    <col min="5893" max="5893" width="16.42578125" style="22" customWidth="1"/>
    <col min="5894" max="5894" width="16.85546875" style="22" customWidth="1"/>
    <col min="5895" max="5895" width="19.5703125" style="22" customWidth="1"/>
    <col min="5896" max="6144" width="9" style="22"/>
    <col min="6145" max="6145" width="5.5703125" style="22" customWidth="1"/>
    <col min="6146" max="6146" width="10.28515625" style="22" customWidth="1"/>
    <col min="6147" max="6147" width="17.7109375" style="22" customWidth="1"/>
    <col min="6148" max="6148" width="16.28515625" style="22" customWidth="1"/>
    <col min="6149" max="6149" width="16.42578125" style="22" customWidth="1"/>
    <col min="6150" max="6150" width="16.85546875" style="22" customWidth="1"/>
    <col min="6151" max="6151" width="19.5703125" style="22" customWidth="1"/>
    <col min="6152" max="6400" width="9" style="22"/>
    <col min="6401" max="6401" width="5.5703125" style="22" customWidth="1"/>
    <col min="6402" max="6402" width="10.28515625" style="22" customWidth="1"/>
    <col min="6403" max="6403" width="17.7109375" style="22" customWidth="1"/>
    <col min="6404" max="6404" width="16.28515625" style="22" customWidth="1"/>
    <col min="6405" max="6405" width="16.42578125" style="22" customWidth="1"/>
    <col min="6406" max="6406" width="16.85546875" style="22" customWidth="1"/>
    <col min="6407" max="6407" width="19.5703125" style="22" customWidth="1"/>
    <col min="6408" max="6656" width="9" style="22"/>
    <col min="6657" max="6657" width="5.5703125" style="22" customWidth="1"/>
    <col min="6658" max="6658" width="10.28515625" style="22" customWidth="1"/>
    <col min="6659" max="6659" width="17.7109375" style="22" customWidth="1"/>
    <col min="6660" max="6660" width="16.28515625" style="22" customWidth="1"/>
    <col min="6661" max="6661" width="16.42578125" style="22" customWidth="1"/>
    <col min="6662" max="6662" width="16.85546875" style="22" customWidth="1"/>
    <col min="6663" max="6663" width="19.5703125" style="22" customWidth="1"/>
    <col min="6664" max="6912" width="9" style="22"/>
    <col min="6913" max="6913" width="5.5703125" style="22" customWidth="1"/>
    <col min="6914" max="6914" width="10.28515625" style="22" customWidth="1"/>
    <col min="6915" max="6915" width="17.7109375" style="22" customWidth="1"/>
    <col min="6916" max="6916" width="16.28515625" style="22" customWidth="1"/>
    <col min="6917" max="6917" width="16.42578125" style="22" customWidth="1"/>
    <col min="6918" max="6918" width="16.85546875" style="22" customWidth="1"/>
    <col min="6919" max="6919" width="19.5703125" style="22" customWidth="1"/>
    <col min="6920" max="7168" width="9" style="22"/>
    <col min="7169" max="7169" width="5.5703125" style="22" customWidth="1"/>
    <col min="7170" max="7170" width="10.28515625" style="22" customWidth="1"/>
    <col min="7171" max="7171" width="17.7109375" style="22" customWidth="1"/>
    <col min="7172" max="7172" width="16.28515625" style="22" customWidth="1"/>
    <col min="7173" max="7173" width="16.42578125" style="22" customWidth="1"/>
    <col min="7174" max="7174" width="16.85546875" style="22" customWidth="1"/>
    <col min="7175" max="7175" width="19.5703125" style="22" customWidth="1"/>
    <col min="7176" max="7424" width="9" style="22"/>
    <col min="7425" max="7425" width="5.5703125" style="22" customWidth="1"/>
    <col min="7426" max="7426" width="10.28515625" style="22" customWidth="1"/>
    <col min="7427" max="7427" width="17.7109375" style="22" customWidth="1"/>
    <col min="7428" max="7428" width="16.28515625" style="22" customWidth="1"/>
    <col min="7429" max="7429" width="16.42578125" style="22" customWidth="1"/>
    <col min="7430" max="7430" width="16.85546875" style="22" customWidth="1"/>
    <col min="7431" max="7431" width="19.5703125" style="22" customWidth="1"/>
    <col min="7432" max="7680" width="9" style="22"/>
    <col min="7681" max="7681" width="5.5703125" style="22" customWidth="1"/>
    <col min="7682" max="7682" width="10.28515625" style="22" customWidth="1"/>
    <col min="7683" max="7683" width="17.7109375" style="22" customWidth="1"/>
    <col min="7684" max="7684" width="16.28515625" style="22" customWidth="1"/>
    <col min="7685" max="7685" width="16.42578125" style="22" customWidth="1"/>
    <col min="7686" max="7686" width="16.85546875" style="22" customWidth="1"/>
    <col min="7687" max="7687" width="19.5703125" style="22" customWidth="1"/>
    <col min="7688" max="7936" width="9" style="22"/>
    <col min="7937" max="7937" width="5.5703125" style="22" customWidth="1"/>
    <col min="7938" max="7938" width="10.28515625" style="22" customWidth="1"/>
    <col min="7939" max="7939" width="17.7109375" style="22" customWidth="1"/>
    <col min="7940" max="7940" width="16.28515625" style="22" customWidth="1"/>
    <col min="7941" max="7941" width="16.42578125" style="22" customWidth="1"/>
    <col min="7942" max="7942" width="16.85546875" style="22" customWidth="1"/>
    <col min="7943" max="7943" width="19.5703125" style="22" customWidth="1"/>
    <col min="7944" max="8192" width="9" style="22"/>
    <col min="8193" max="8193" width="5.5703125" style="22" customWidth="1"/>
    <col min="8194" max="8194" width="10.28515625" style="22" customWidth="1"/>
    <col min="8195" max="8195" width="17.7109375" style="22" customWidth="1"/>
    <col min="8196" max="8196" width="16.28515625" style="22" customWidth="1"/>
    <col min="8197" max="8197" width="16.42578125" style="22" customWidth="1"/>
    <col min="8198" max="8198" width="16.85546875" style="22" customWidth="1"/>
    <col min="8199" max="8199" width="19.5703125" style="22" customWidth="1"/>
    <col min="8200" max="8448" width="9" style="22"/>
    <col min="8449" max="8449" width="5.5703125" style="22" customWidth="1"/>
    <col min="8450" max="8450" width="10.28515625" style="22" customWidth="1"/>
    <col min="8451" max="8451" width="17.7109375" style="22" customWidth="1"/>
    <col min="8452" max="8452" width="16.28515625" style="22" customWidth="1"/>
    <col min="8453" max="8453" width="16.42578125" style="22" customWidth="1"/>
    <col min="8454" max="8454" width="16.85546875" style="22" customWidth="1"/>
    <col min="8455" max="8455" width="19.5703125" style="22" customWidth="1"/>
    <col min="8456" max="8704" width="9" style="22"/>
    <col min="8705" max="8705" width="5.5703125" style="22" customWidth="1"/>
    <col min="8706" max="8706" width="10.28515625" style="22" customWidth="1"/>
    <col min="8707" max="8707" width="17.7109375" style="22" customWidth="1"/>
    <col min="8708" max="8708" width="16.28515625" style="22" customWidth="1"/>
    <col min="8709" max="8709" width="16.42578125" style="22" customWidth="1"/>
    <col min="8710" max="8710" width="16.85546875" style="22" customWidth="1"/>
    <col min="8711" max="8711" width="19.5703125" style="22" customWidth="1"/>
    <col min="8712" max="8960" width="9" style="22"/>
    <col min="8961" max="8961" width="5.5703125" style="22" customWidth="1"/>
    <col min="8962" max="8962" width="10.28515625" style="22" customWidth="1"/>
    <col min="8963" max="8963" width="17.7109375" style="22" customWidth="1"/>
    <col min="8964" max="8964" width="16.28515625" style="22" customWidth="1"/>
    <col min="8965" max="8965" width="16.42578125" style="22" customWidth="1"/>
    <col min="8966" max="8966" width="16.85546875" style="22" customWidth="1"/>
    <col min="8967" max="8967" width="19.5703125" style="22" customWidth="1"/>
    <col min="8968" max="9216" width="9" style="22"/>
    <col min="9217" max="9217" width="5.5703125" style="22" customWidth="1"/>
    <col min="9218" max="9218" width="10.28515625" style="22" customWidth="1"/>
    <col min="9219" max="9219" width="17.7109375" style="22" customWidth="1"/>
    <col min="9220" max="9220" width="16.28515625" style="22" customWidth="1"/>
    <col min="9221" max="9221" width="16.42578125" style="22" customWidth="1"/>
    <col min="9222" max="9222" width="16.85546875" style="22" customWidth="1"/>
    <col min="9223" max="9223" width="19.5703125" style="22" customWidth="1"/>
    <col min="9224" max="9472" width="9" style="22"/>
    <col min="9473" max="9473" width="5.5703125" style="22" customWidth="1"/>
    <col min="9474" max="9474" width="10.28515625" style="22" customWidth="1"/>
    <col min="9475" max="9475" width="17.7109375" style="22" customWidth="1"/>
    <col min="9476" max="9476" width="16.28515625" style="22" customWidth="1"/>
    <col min="9477" max="9477" width="16.42578125" style="22" customWidth="1"/>
    <col min="9478" max="9478" width="16.85546875" style="22" customWidth="1"/>
    <col min="9479" max="9479" width="19.5703125" style="22" customWidth="1"/>
    <col min="9480" max="9728" width="9" style="22"/>
    <col min="9729" max="9729" width="5.5703125" style="22" customWidth="1"/>
    <col min="9730" max="9730" width="10.28515625" style="22" customWidth="1"/>
    <col min="9731" max="9731" width="17.7109375" style="22" customWidth="1"/>
    <col min="9732" max="9732" width="16.28515625" style="22" customWidth="1"/>
    <col min="9733" max="9733" width="16.42578125" style="22" customWidth="1"/>
    <col min="9734" max="9734" width="16.85546875" style="22" customWidth="1"/>
    <col min="9735" max="9735" width="19.5703125" style="22" customWidth="1"/>
    <col min="9736" max="9984" width="9" style="22"/>
    <col min="9985" max="9985" width="5.5703125" style="22" customWidth="1"/>
    <col min="9986" max="9986" width="10.28515625" style="22" customWidth="1"/>
    <col min="9987" max="9987" width="17.7109375" style="22" customWidth="1"/>
    <col min="9988" max="9988" width="16.28515625" style="22" customWidth="1"/>
    <col min="9989" max="9989" width="16.42578125" style="22" customWidth="1"/>
    <col min="9990" max="9990" width="16.85546875" style="22" customWidth="1"/>
    <col min="9991" max="9991" width="19.5703125" style="22" customWidth="1"/>
    <col min="9992" max="10240" width="9" style="22"/>
    <col min="10241" max="10241" width="5.5703125" style="22" customWidth="1"/>
    <col min="10242" max="10242" width="10.28515625" style="22" customWidth="1"/>
    <col min="10243" max="10243" width="17.7109375" style="22" customWidth="1"/>
    <col min="10244" max="10244" width="16.28515625" style="22" customWidth="1"/>
    <col min="10245" max="10245" width="16.42578125" style="22" customWidth="1"/>
    <col min="10246" max="10246" width="16.85546875" style="22" customWidth="1"/>
    <col min="10247" max="10247" width="19.5703125" style="22" customWidth="1"/>
    <col min="10248" max="10496" width="9" style="22"/>
    <col min="10497" max="10497" width="5.5703125" style="22" customWidth="1"/>
    <col min="10498" max="10498" width="10.28515625" style="22" customWidth="1"/>
    <col min="10499" max="10499" width="17.7109375" style="22" customWidth="1"/>
    <col min="10500" max="10500" width="16.28515625" style="22" customWidth="1"/>
    <col min="10501" max="10501" width="16.42578125" style="22" customWidth="1"/>
    <col min="10502" max="10502" width="16.85546875" style="22" customWidth="1"/>
    <col min="10503" max="10503" width="19.5703125" style="22" customWidth="1"/>
    <col min="10504" max="10752" width="9" style="22"/>
    <col min="10753" max="10753" width="5.5703125" style="22" customWidth="1"/>
    <col min="10754" max="10754" width="10.28515625" style="22" customWidth="1"/>
    <col min="10755" max="10755" width="17.7109375" style="22" customWidth="1"/>
    <col min="10756" max="10756" width="16.28515625" style="22" customWidth="1"/>
    <col min="10757" max="10757" width="16.42578125" style="22" customWidth="1"/>
    <col min="10758" max="10758" width="16.85546875" style="22" customWidth="1"/>
    <col min="10759" max="10759" width="19.5703125" style="22" customWidth="1"/>
    <col min="10760" max="11008" width="9" style="22"/>
    <col min="11009" max="11009" width="5.5703125" style="22" customWidth="1"/>
    <col min="11010" max="11010" width="10.28515625" style="22" customWidth="1"/>
    <col min="11011" max="11011" width="17.7109375" style="22" customWidth="1"/>
    <col min="11012" max="11012" width="16.28515625" style="22" customWidth="1"/>
    <col min="11013" max="11013" width="16.42578125" style="22" customWidth="1"/>
    <col min="11014" max="11014" width="16.85546875" style="22" customWidth="1"/>
    <col min="11015" max="11015" width="19.5703125" style="22" customWidth="1"/>
    <col min="11016" max="11264" width="9" style="22"/>
    <col min="11265" max="11265" width="5.5703125" style="22" customWidth="1"/>
    <col min="11266" max="11266" width="10.28515625" style="22" customWidth="1"/>
    <col min="11267" max="11267" width="17.7109375" style="22" customWidth="1"/>
    <col min="11268" max="11268" width="16.28515625" style="22" customWidth="1"/>
    <col min="11269" max="11269" width="16.42578125" style="22" customWidth="1"/>
    <col min="11270" max="11270" width="16.85546875" style="22" customWidth="1"/>
    <col min="11271" max="11271" width="19.5703125" style="22" customWidth="1"/>
    <col min="11272" max="11520" width="9" style="22"/>
    <col min="11521" max="11521" width="5.5703125" style="22" customWidth="1"/>
    <col min="11522" max="11522" width="10.28515625" style="22" customWidth="1"/>
    <col min="11523" max="11523" width="17.7109375" style="22" customWidth="1"/>
    <col min="11524" max="11524" width="16.28515625" style="22" customWidth="1"/>
    <col min="11525" max="11525" width="16.42578125" style="22" customWidth="1"/>
    <col min="11526" max="11526" width="16.85546875" style="22" customWidth="1"/>
    <col min="11527" max="11527" width="19.5703125" style="22" customWidth="1"/>
    <col min="11528" max="11776" width="9" style="22"/>
    <col min="11777" max="11777" width="5.5703125" style="22" customWidth="1"/>
    <col min="11778" max="11778" width="10.28515625" style="22" customWidth="1"/>
    <col min="11779" max="11779" width="17.7109375" style="22" customWidth="1"/>
    <col min="11780" max="11780" width="16.28515625" style="22" customWidth="1"/>
    <col min="11781" max="11781" width="16.42578125" style="22" customWidth="1"/>
    <col min="11782" max="11782" width="16.85546875" style="22" customWidth="1"/>
    <col min="11783" max="11783" width="19.5703125" style="22" customWidth="1"/>
    <col min="11784" max="12032" width="9" style="22"/>
    <col min="12033" max="12033" width="5.5703125" style="22" customWidth="1"/>
    <col min="12034" max="12034" width="10.28515625" style="22" customWidth="1"/>
    <col min="12035" max="12035" width="17.7109375" style="22" customWidth="1"/>
    <col min="12036" max="12036" width="16.28515625" style="22" customWidth="1"/>
    <col min="12037" max="12037" width="16.42578125" style="22" customWidth="1"/>
    <col min="12038" max="12038" width="16.85546875" style="22" customWidth="1"/>
    <col min="12039" max="12039" width="19.5703125" style="22" customWidth="1"/>
    <col min="12040" max="12288" width="9" style="22"/>
    <col min="12289" max="12289" width="5.5703125" style="22" customWidth="1"/>
    <col min="12290" max="12290" width="10.28515625" style="22" customWidth="1"/>
    <col min="12291" max="12291" width="17.7109375" style="22" customWidth="1"/>
    <col min="12292" max="12292" width="16.28515625" style="22" customWidth="1"/>
    <col min="12293" max="12293" width="16.42578125" style="22" customWidth="1"/>
    <col min="12294" max="12294" width="16.85546875" style="22" customWidth="1"/>
    <col min="12295" max="12295" width="19.5703125" style="22" customWidth="1"/>
    <col min="12296" max="12544" width="9" style="22"/>
    <col min="12545" max="12545" width="5.5703125" style="22" customWidth="1"/>
    <col min="12546" max="12546" width="10.28515625" style="22" customWidth="1"/>
    <col min="12547" max="12547" width="17.7109375" style="22" customWidth="1"/>
    <col min="12548" max="12548" width="16.28515625" style="22" customWidth="1"/>
    <col min="12549" max="12549" width="16.42578125" style="22" customWidth="1"/>
    <col min="12550" max="12550" width="16.85546875" style="22" customWidth="1"/>
    <col min="12551" max="12551" width="19.5703125" style="22" customWidth="1"/>
    <col min="12552" max="12800" width="9" style="22"/>
    <col min="12801" max="12801" width="5.5703125" style="22" customWidth="1"/>
    <col min="12802" max="12802" width="10.28515625" style="22" customWidth="1"/>
    <col min="12803" max="12803" width="17.7109375" style="22" customWidth="1"/>
    <col min="12804" max="12804" width="16.28515625" style="22" customWidth="1"/>
    <col min="12805" max="12805" width="16.42578125" style="22" customWidth="1"/>
    <col min="12806" max="12806" width="16.85546875" style="22" customWidth="1"/>
    <col min="12807" max="12807" width="19.5703125" style="22" customWidth="1"/>
    <col min="12808" max="13056" width="9" style="22"/>
    <col min="13057" max="13057" width="5.5703125" style="22" customWidth="1"/>
    <col min="13058" max="13058" width="10.28515625" style="22" customWidth="1"/>
    <col min="13059" max="13059" width="17.7109375" style="22" customWidth="1"/>
    <col min="13060" max="13060" width="16.28515625" style="22" customWidth="1"/>
    <col min="13061" max="13061" width="16.42578125" style="22" customWidth="1"/>
    <col min="13062" max="13062" width="16.85546875" style="22" customWidth="1"/>
    <col min="13063" max="13063" width="19.5703125" style="22" customWidth="1"/>
    <col min="13064" max="13312" width="9" style="22"/>
    <col min="13313" max="13313" width="5.5703125" style="22" customWidth="1"/>
    <col min="13314" max="13314" width="10.28515625" style="22" customWidth="1"/>
    <col min="13315" max="13315" width="17.7109375" style="22" customWidth="1"/>
    <col min="13316" max="13316" width="16.28515625" style="22" customWidth="1"/>
    <col min="13317" max="13317" width="16.42578125" style="22" customWidth="1"/>
    <col min="13318" max="13318" width="16.85546875" style="22" customWidth="1"/>
    <col min="13319" max="13319" width="19.5703125" style="22" customWidth="1"/>
    <col min="13320" max="13568" width="9" style="22"/>
    <col min="13569" max="13569" width="5.5703125" style="22" customWidth="1"/>
    <col min="13570" max="13570" width="10.28515625" style="22" customWidth="1"/>
    <col min="13571" max="13571" width="17.7109375" style="22" customWidth="1"/>
    <col min="13572" max="13572" width="16.28515625" style="22" customWidth="1"/>
    <col min="13573" max="13573" width="16.42578125" style="22" customWidth="1"/>
    <col min="13574" max="13574" width="16.85546875" style="22" customWidth="1"/>
    <col min="13575" max="13575" width="19.5703125" style="22" customWidth="1"/>
    <col min="13576" max="13824" width="9" style="22"/>
    <col min="13825" max="13825" width="5.5703125" style="22" customWidth="1"/>
    <col min="13826" max="13826" width="10.28515625" style="22" customWidth="1"/>
    <col min="13827" max="13827" width="17.7109375" style="22" customWidth="1"/>
    <col min="13828" max="13828" width="16.28515625" style="22" customWidth="1"/>
    <col min="13829" max="13829" width="16.42578125" style="22" customWidth="1"/>
    <col min="13830" max="13830" width="16.85546875" style="22" customWidth="1"/>
    <col min="13831" max="13831" width="19.5703125" style="22" customWidth="1"/>
    <col min="13832" max="14080" width="9" style="22"/>
    <col min="14081" max="14081" width="5.5703125" style="22" customWidth="1"/>
    <col min="14082" max="14082" width="10.28515625" style="22" customWidth="1"/>
    <col min="14083" max="14083" width="17.7109375" style="22" customWidth="1"/>
    <col min="14084" max="14084" width="16.28515625" style="22" customWidth="1"/>
    <col min="14085" max="14085" width="16.42578125" style="22" customWidth="1"/>
    <col min="14086" max="14086" width="16.85546875" style="22" customWidth="1"/>
    <col min="14087" max="14087" width="19.5703125" style="22" customWidth="1"/>
    <col min="14088" max="14336" width="9" style="22"/>
    <col min="14337" max="14337" width="5.5703125" style="22" customWidth="1"/>
    <col min="14338" max="14338" width="10.28515625" style="22" customWidth="1"/>
    <col min="14339" max="14339" width="17.7109375" style="22" customWidth="1"/>
    <col min="14340" max="14340" width="16.28515625" style="22" customWidth="1"/>
    <col min="14341" max="14341" width="16.42578125" style="22" customWidth="1"/>
    <col min="14342" max="14342" width="16.85546875" style="22" customWidth="1"/>
    <col min="14343" max="14343" width="19.5703125" style="22" customWidth="1"/>
    <col min="14344" max="14592" width="9" style="22"/>
    <col min="14593" max="14593" width="5.5703125" style="22" customWidth="1"/>
    <col min="14594" max="14594" width="10.28515625" style="22" customWidth="1"/>
    <col min="14595" max="14595" width="17.7109375" style="22" customWidth="1"/>
    <col min="14596" max="14596" width="16.28515625" style="22" customWidth="1"/>
    <col min="14597" max="14597" width="16.42578125" style="22" customWidth="1"/>
    <col min="14598" max="14598" width="16.85546875" style="22" customWidth="1"/>
    <col min="14599" max="14599" width="19.5703125" style="22" customWidth="1"/>
    <col min="14600" max="14848" width="9" style="22"/>
    <col min="14849" max="14849" width="5.5703125" style="22" customWidth="1"/>
    <col min="14850" max="14850" width="10.28515625" style="22" customWidth="1"/>
    <col min="14851" max="14851" width="17.7109375" style="22" customWidth="1"/>
    <col min="14852" max="14852" width="16.28515625" style="22" customWidth="1"/>
    <col min="14853" max="14853" width="16.42578125" style="22" customWidth="1"/>
    <col min="14854" max="14854" width="16.85546875" style="22" customWidth="1"/>
    <col min="14855" max="14855" width="19.5703125" style="22" customWidth="1"/>
    <col min="14856" max="15104" width="9" style="22"/>
    <col min="15105" max="15105" width="5.5703125" style="22" customWidth="1"/>
    <col min="15106" max="15106" width="10.28515625" style="22" customWidth="1"/>
    <col min="15107" max="15107" width="17.7109375" style="22" customWidth="1"/>
    <col min="15108" max="15108" width="16.28515625" style="22" customWidth="1"/>
    <col min="15109" max="15109" width="16.42578125" style="22" customWidth="1"/>
    <col min="15110" max="15110" width="16.85546875" style="22" customWidth="1"/>
    <col min="15111" max="15111" width="19.5703125" style="22" customWidth="1"/>
    <col min="15112" max="15360" width="9" style="22"/>
    <col min="15361" max="15361" width="5.5703125" style="22" customWidth="1"/>
    <col min="15362" max="15362" width="10.28515625" style="22" customWidth="1"/>
    <col min="15363" max="15363" width="17.7109375" style="22" customWidth="1"/>
    <col min="15364" max="15364" width="16.28515625" style="22" customWidth="1"/>
    <col min="15365" max="15365" width="16.42578125" style="22" customWidth="1"/>
    <col min="15366" max="15366" width="16.85546875" style="22" customWidth="1"/>
    <col min="15367" max="15367" width="19.5703125" style="22" customWidth="1"/>
    <col min="15368" max="15616" width="9" style="22"/>
    <col min="15617" max="15617" width="5.5703125" style="22" customWidth="1"/>
    <col min="15618" max="15618" width="10.28515625" style="22" customWidth="1"/>
    <col min="15619" max="15619" width="17.7109375" style="22" customWidth="1"/>
    <col min="15620" max="15620" width="16.28515625" style="22" customWidth="1"/>
    <col min="15621" max="15621" width="16.42578125" style="22" customWidth="1"/>
    <col min="15622" max="15622" width="16.85546875" style="22" customWidth="1"/>
    <col min="15623" max="15623" width="19.5703125" style="22" customWidth="1"/>
    <col min="15624" max="15872" width="9" style="22"/>
    <col min="15873" max="15873" width="5.5703125" style="22" customWidth="1"/>
    <col min="15874" max="15874" width="10.28515625" style="22" customWidth="1"/>
    <col min="15875" max="15875" width="17.7109375" style="22" customWidth="1"/>
    <col min="15876" max="15876" width="16.28515625" style="22" customWidth="1"/>
    <col min="15877" max="15877" width="16.42578125" style="22" customWidth="1"/>
    <col min="15878" max="15878" width="16.85546875" style="22" customWidth="1"/>
    <col min="15879" max="15879" width="19.5703125" style="22" customWidth="1"/>
    <col min="15880" max="16128" width="9" style="22"/>
    <col min="16129" max="16129" width="5.5703125" style="22" customWidth="1"/>
    <col min="16130" max="16130" width="10.28515625" style="22" customWidth="1"/>
    <col min="16131" max="16131" width="17.7109375" style="22" customWidth="1"/>
    <col min="16132" max="16132" width="16.28515625" style="22" customWidth="1"/>
    <col min="16133" max="16133" width="16.42578125" style="22" customWidth="1"/>
    <col min="16134" max="16134" width="16.85546875" style="22" customWidth="1"/>
    <col min="16135" max="16135" width="19.5703125" style="22" customWidth="1"/>
    <col min="16136" max="16384" width="9" style="22"/>
  </cols>
  <sheetData>
    <row r="1" spans="2:11" ht="49.5" customHeight="1" x14ac:dyDescent="0.25">
      <c r="B1" s="23" t="s">
        <v>64</v>
      </c>
      <c r="F1" s="22"/>
      <c r="G1" s="24"/>
    </row>
    <row r="2" spans="2:11" x14ac:dyDescent="0.25">
      <c r="D2" s="25"/>
      <c r="E2" s="25"/>
      <c r="F2" s="25"/>
      <c r="G2" s="25"/>
    </row>
    <row r="3" spans="2:11" s="26" customFormat="1" ht="45" x14ac:dyDescent="0.25">
      <c r="B3" s="27" t="s">
        <v>65</v>
      </c>
      <c r="C3" s="27" t="s">
        <v>66</v>
      </c>
      <c r="D3" s="27" t="s">
        <v>67</v>
      </c>
      <c r="E3" s="27" t="s">
        <v>68</v>
      </c>
      <c r="F3" s="27" t="s">
        <v>69</v>
      </c>
      <c r="G3" s="27" t="s">
        <v>70</v>
      </c>
    </row>
    <row r="4" spans="2:11" x14ac:dyDescent="0.25">
      <c r="B4" s="28">
        <v>1</v>
      </c>
      <c r="C4" s="29" t="s">
        <v>71</v>
      </c>
      <c r="D4" s="30">
        <v>0.45</v>
      </c>
      <c r="E4" s="31">
        <v>0.55000000000000004</v>
      </c>
      <c r="F4" s="32">
        <v>25</v>
      </c>
      <c r="G4" s="31">
        <v>0.55000000000000004</v>
      </c>
    </row>
    <row r="5" spans="2:11" x14ac:dyDescent="0.25">
      <c r="B5" s="28">
        <v>2</v>
      </c>
      <c r="C5" s="29" t="s">
        <v>72</v>
      </c>
      <c r="D5" s="30">
        <v>1.04</v>
      </c>
      <c r="E5" s="31">
        <v>0.78</v>
      </c>
      <c r="F5" s="32">
        <v>25</v>
      </c>
      <c r="G5" s="31">
        <v>0.78</v>
      </c>
    </row>
    <row r="6" spans="2:11" x14ac:dyDescent="0.25">
      <c r="B6" s="28">
        <v>3</v>
      </c>
      <c r="C6" s="29" t="s">
        <v>73</v>
      </c>
      <c r="D6" s="30">
        <v>0.75</v>
      </c>
      <c r="E6" s="31">
        <v>0.75</v>
      </c>
      <c r="F6" s="32">
        <v>25</v>
      </c>
      <c r="G6" s="31">
        <v>0.75</v>
      </c>
      <c r="H6" s="33"/>
    </row>
    <row r="7" spans="2:11" x14ac:dyDescent="0.25">
      <c r="B7" s="28">
        <v>4</v>
      </c>
      <c r="C7" s="29" t="s">
        <v>74</v>
      </c>
      <c r="D7" s="30">
        <v>2.5</v>
      </c>
      <c r="E7" s="31">
        <v>0.8</v>
      </c>
      <c r="F7" s="32">
        <v>25</v>
      </c>
      <c r="G7" s="31">
        <v>0.8</v>
      </c>
      <c r="J7" s="34"/>
      <c r="K7" s="35"/>
    </row>
    <row r="8" spans="2:11" x14ac:dyDescent="0.25">
      <c r="B8" s="28">
        <v>5</v>
      </c>
      <c r="C8" s="29" t="s">
        <v>61</v>
      </c>
      <c r="D8" s="30">
        <v>6.8</v>
      </c>
      <c r="E8" s="31">
        <v>0.84</v>
      </c>
      <c r="F8" s="32">
        <v>25</v>
      </c>
      <c r="G8" s="31">
        <v>0.84</v>
      </c>
    </row>
    <row r="9" spans="2:11" x14ac:dyDescent="0.25">
      <c r="B9" s="28">
        <v>6</v>
      </c>
      <c r="C9" s="29" t="s">
        <v>75</v>
      </c>
      <c r="D9" s="30">
        <v>12</v>
      </c>
      <c r="E9" s="31">
        <v>0.9</v>
      </c>
      <c r="F9" s="32">
        <v>80</v>
      </c>
      <c r="G9" s="31">
        <v>0.87</v>
      </c>
    </row>
    <row r="10" spans="2:11" x14ac:dyDescent="0.25">
      <c r="B10" s="28">
        <v>7</v>
      </c>
      <c r="C10" s="29" t="s">
        <v>76</v>
      </c>
      <c r="D10" s="30">
        <v>30</v>
      </c>
      <c r="E10" s="31">
        <v>0.95</v>
      </c>
      <c r="F10" s="32">
        <v>80</v>
      </c>
      <c r="G10" s="31">
        <v>0.94</v>
      </c>
    </row>
    <row r="11" spans="2:11" x14ac:dyDescent="0.25">
      <c r="B11" s="28">
        <v>8</v>
      </c>
      <c r="C11" s="29" t="s">
        <v>77</v>
      </c>
      <c r="D11" s="30">
        <f>AVERAGE(D6:D8)</f>
        <v>3.35</v>
      </c>
      <c r="E11" s="31">
        <f>AVERAGE(E6:E8)</f>
        <v>0.79666666666666675</v>
      </c>
      <c r="F11" s="32">
        <v>25</v>
      </c>
      <c r="G11" s="31">
        <f>AVERAGE(G6:G8)</f>
        <v>0.79666666666666675</v>
      </c>
    </row>
    <row r="12" spans="2:11" x14ac:dyDescent="0.25">
      <c r="B12" s="28">
        <v>9</v>
      </c>
      <c r="C12" s="29" t="s">
        <v>78</v>
      </c>
      <c r="D12" s="30">
        <f>AVERAGE(D9:D10)</f>
        <v>21</v>
      </c>
      <c r="E12" s="31">
        <f>AVERAGE(E9:E10)</f>
        <v>0.92500000000000004</v>
      </c>
      <c r="F12" s="32">
        <v>80</v>
      </c>
      <c r="G12" s="31">
        <f>AVERAGE(G9:G10)</f>
        <v>0.90500000000000003</v>
      </c>
    </row>
    <row r="13" spans="2:11" x14ac:dyDescent="0.25">
      <c r="B13" s="28">
        <v>10</v>
      </c>
      <c r="C13" s="29" t="s">
        <v>79</v>
      </c>
      <c r="D13" s="30">
        <v>7.5</v>
      </c>
      <c r="E13" s="31">
        <v>0.9</v>
      </c>
      <c r="F13" s="32">
        <v>25</v>
      </c>
      <c r="G13" s="31">
        <v>0.85</v>
      </c>
    </row>
    <row r="14" spans="2:11" x14ac:dyDescent="0.25">
      <c r="C14" s="36"/>
      <c r="D14" s="36"/>
      <c r="E14" s="36"/>
      <c r="F14" s="37"/>
      <c r="G14" s="36"/>
    </row>
    <row r="15" spans="2:11" x14ac:dyDescent="0.25">
      <c r="C15" s="36"/>
      <c r="D15" s="36"/>
      <c r="E15" s="36"/>
      <c r="F15" s="37"/>
      <c r="G15" s="36"/>
    </row>
    <row r="16" spans="2:11" x14ac:dyDescent="0.25">
      <c r="B16" s="22" t="s">
        <v>80</v>
      </c>
      <c r="C16" s="36"/>
      <c r="D16" s="36"/>
      <c r="E16" s="36"/>
      <c r="F16" s="37"/>
      <c r="G16" s="36"/>
    </row>
    <row r="17" spans="2:16" ht="30" x14ac:dyDescent="0.25">
      <c r="B17" s="27" t="s">
        <v>65</v>
      </c>
      <c r="C17" s="27" t="s">
        <v>66</v>
      </c>
      <c r="D17" s="27" t="s">
        <v>81</v>
      </c>
      <c r="E17" s="27" t="s">
        <v>82</v>
      </c>
      <c r="F17" s="22"/>
      <c r="G17" s="38"/>
    </row>
    <row r="18" spans="2:16" x14ac:dyDescent="0.25">
      <c r="B18" s="28">
        <v>1</v>
      </c>
      <c r="C18" s="29" t="s">
        <v>71</v>
      </c>
      <c r="D18" s="39">
        <v>37.799999999999997</v>
      </c>
      <c r="E18" s="40">
        <v>0.23</v>
      </c>
      <c r="F18" s="22" t="s">
        <v>83</v>
      </c>
      <c r="G18" s="38"/>
    </row>
    <row r="19" spans="2:16" x14ac:dyDescent="0.25">
      <c r="B19" s="28">
        <v>3</v>
      </c>
      <c r="C19" s="29" t="s">
        <v>73</v>
      </c>
      <c r="D19" s="39">
        <v>20</v>
      </c>
      <c r="E19" s="40">
        <v>0.61</v>
      </c>
      <c r="F19" s="22" t="s">
        <v>84</v>
      </c>
      <c r="G19" s="38"/>
    </row>
    <row r="20" spans="2:16" x14ac:dyDescent="0.25">
      <c r="B20" s="28">
        <v>4</v>
      </c>
      <c r="C20" s="29" t="s">
        <v>74</v>
      </c>
      <c r="D20" s="39">
        <v>20</v>
      </c>
      <c r="E20" s="40">
        <v>2</v>
      </c>
      <c r="F20" s="41" t="s">
        <v>85</v>
      </c>
      <c r="G20" s="38"/>
    </row>
    <row r="21" spans="2:16" x14ac:dyDescent="0.25">
      <c r="B21" s="28">
        <v>5</v>
      </c>
      <c r="C21" s="29" t="s">
        <v>61</v>
      </c>
      <c r="D21" s="39">
        <v>50</v>
      </c>
      <c r="E21" s="40">
        <v>4.5</v>
      </c>
      <c r="F21" s="22" t="s">
        <v>86</v>
      </c>
      <c r="G21" s="38"/>
    </row>
    <row r="22" spans="2:16" x14ac:dyDescent="0.25">
      <c r="B22" s="28">
        <v>5</v>
      </c>
      <c r="C22" s="29" t="s">
        <v>61</v>
      </c>
      <c r="D22" s="39">
        <v>60</v>
      </c>
      <c r="E22" s="40">
        <v>3.3</v>
      </c>
      <c r="F22" s="22" t="s">
        <v>86</v>
      </c>
      <c r="G22" s="38"/>
    </row>
    <row r="23" spans="2:16" x14ac:dyDescent="0.25">
      <c r="B23" s="28">
        <v>5</v>
      </c>
      <c r="C23" s="29" t="s">
        <v>61</v>
      </c>
      <c r="D23" s="39">
        <v>20</v>
      </c>
      <c r="E23" s="40">
        <v>2.99</v>
      </c>
      <c r="F23" s="41" t="s">
        <v>85</v>
      </c>
      <c r="G23" s="38"/>
    </row>
    <row r="24" spans="2:16" x14ac:dyDescent="0.25">
      <c r="B24" s="28">
        <v>7</v>
      </c>
      <c r="C24" s="29" t="s">
        <v>76</v>
      </c>
      <c r="D24" s="39">
        <v>60</v>
      </c>
      <c r="E24" s="40">
        <v>620</v>
      </c>
      <c r="F24" s="22" t="s">
        <v>87</v>
      </c>
      <c r="G24" s="38"/>
      <c r="I24" s="24"/>
      <c r="J24" s="24"/>
      <c r="K24" s="24"/>
      <c r="L24" s="24"/>
      <c r="M24" s="24"/>
      <c r="N24" s="24"/>
      <c r="O24" s="24"/>
      <c r="P24" s="24"/>
    </row>
    <row r="25" spans="2:16" x14ac:dyDescent="0.25">
      <c r="B25" s="28">
        <v>3</v>
      </c>
      <c r="C25" s="29" t="s">
        <v>73</v>
      </c>
      <c r="D25" s="42" t="s">
        <v>88</v>
      </c>
      <c r="E25" s="40">
        <v>0.45</v>
      </c>
      <c r="F25" s="43" t="s">
        <v>89</v>
      </c>
      <c r="G25" s="38"/>
    </row>
    <row r="26" spans="2:16" x14ac:dyDescent="0.25">
      <c r="B26" s="28">
        <v>5</v>
      </c>
      <c r="C26" s="29" t="s">
        <v>61</v>
      </c>
      <c r="D26" s="39">
        <v>37.799999999999997</v>
      </c>
      <c r="E26" s="44" t="s">
        <v>90</v>
      </c>
      <c r="F26" s="22" t="s">
        <v>91</v>
      </c>
      <c r="G26" s="38"/>
    </row>
    <row r="27" spans="2:16" x14ac:dyDescent="0.25">
      <c r="B27" s="28">
        <v>5</v>
      </c>
      <c r="C27" s="29" t="s">
        <v>61</v>
      </c>
      <c r="D27" s="39">
        <v>54.5</v>
      </c>
      <c r="E27" s="45" t="s">
        <v>92</v>
      </c>
      <c r="F27" s="22" t="s">
        <v>91</v>
      </c>
      <c r="G27" s="38"/>
    </row>
    <row r="28" spans="2:16" x14ac:dyDescent="0.25">
      <c r="B28" s="28">
        <v>3</v>
      </c>
      <c r="C28" s="29" t="s">
        <v>73</v>
      </c>
      <c r="D28" s="39">
        <v>15.6</v>
      </c>
      <c r="E28" s="45">
        <v>0.88</v>
      </c>
      <c r="F28" s="22" t="s">
        <v>91</v>
      </c>
      <c r="G28" s="38"/>
    </row>
    <row r="29" spans="2:16" x14ac:dyDescent="0.25">
      <c r="B29" s="28">
        <v>3</v>
      </c>
      <c r="C29" s="29" t="s">
        <v>73</v>
      </c>
      <c r="D29" s="39">
        <v>37.799999999999997</v>
      </c>
      <c r="E29" s="45">
        <v>0.71</v>
      </c>
      <c r="F29" s="22" t="s">
        <v>91</v>
      </c>
      <c r="G29" s="38"/>
    </row>
    <row r="30" spans="2:16" x14ac:dyDescent="0.25">
      <c r="D30" s="46"/>
    </row>
  </sheetData>
  <hyperlinks>
    <hyperlink ref="F20" r:id="rId1"/>
    <hyperlink ref="F23" r:id="rId2"/>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1"/>
  <sheetViews>
    <sheetView topLeftCell="A6" workbookViewId="0">
      <selection activeCell="I17" sqref="I17"/>
    </sheetView>
  </sheetViews>
  <sheetFormatPr defaultColWidth="9" defaultRowHeight="15" x14ac:dyDescent="0.25"/>
  <cols>
    <col min="1" max="1" width="5.5703125" style="22" customWidth="1"/>
    <col min="2" max="2" width="9" style="22" customWidth="1"/>
    <col min="3" max="3" width="10.5703125" style="22" customWidth="1"/>
    <col min="4" max="4" width="11" style="22" customWidth="1"/>
    <col min="5" max="5" width="9.42578125" style="22" bestFit="1" customWidth="1"/>
    <col min="6" max="9" width="14.5703125" style="25" customWidth="1"/>
    <col min="10" max="10" width="13.28515625" style="22" customWidth="1"/>
    <col min="11" max="11" width="12.5703125" style="22" customWidth="1"/>
    <col min="12" max="13" width="9" style="22" customWidth="1"/>
    <col min="14" max="14" width="13" style="22" bestFit="1" customWidth="1"/>
    <col min="15" max="256" width="9" style="22"/>
    <col min="257" max="257" width="5.5703125" style="22" customWidth="1"/>
    <col min="258" max="258" width="9" style="22" customWidth="1"/>
    <col min="259" max="259" width="10.5703125" style="22" customWidth="1"/>
    <col min="260" max="260" width="11" style="22" customWidth="1"/>
    <col min="261" max="261" width="9.42578125" style="22" bestFit="1" customWidth="1"/>
    <col min="262" max="265" width="14.5703125" style="22" customWidth="1"/>
    <col min="266" max="266" width="13.28515625" style="22" customWidth="1"/>
    <col min="267" max="267" width="12.5703125" style="22" customWidth="1"/>
    <col min="268" max="269" width="9" style="22" customWidth="1"/>
    <col min="270" max="270" width="13" style="22" bestFit="1" customWidth="1"/>
    <col min="271" max="512" width="9" style="22"/>
    <col min="513" max="513" width="5.5703125" style="22" customWidth="1"/>
    <col min="514" max="514" width="9" style="22" customWidth="1"/>
    <col min="515" max="515" width="10.5703125" style="22" customWidth="1"/>
    <col min="516" max="516" width="11" style="22" customWidth="1"/>
    <col min="517" max="517" width="9.42578125" style="22" bestFit="1" customWidth="1"/>
    <col min="518" max="521" width="14.5703125" style="22" customWidth="1"/>
    <col min="522" max="522" width="13.28515625" style="22" customWidth="1"/>
    <col min="523" max="523" width="12.5703125" style="22" customWidth="1"/>
    <col min="524" max="525" width="9" style="22" customWidth="1"/>
    <col min="526" max="526" width="13" style="22" bestFit="1" customWidth="1"/>
    <col min="527" max="768" width="9" style="22"/>
    <col min="769" max="769" width="5.5703125" style="22" customWidth="1"/>
    <col min="770" max="770" width="9" style="22" customWidth="1"/>
    <col min="771" max="771" width="10.5703125" style="22" customWidth="1"/>
    <col min="772" max="772" width="11" style="22" customWidth="1"/>
    <col min="773" max="773" width="9.42578125" style="22" bestFit="1" customWidth="1"/>
    <col min="774" max="777" width="14.5703125" style="22" customWidth="1"/>
    <col min="778" max="778" width="13.28515625" style="22" customWidth="1"/>
    <col min="779" max="779" width="12.5703125" style="22" customWidth="1"/>
    <col min="780" max="781" width="9" style="22" customWidth="1"/>
    <col min="782" max="782" width="13" style="22" bestFit="1" customWidth="1"/>
    <col min="783" max="1024" width="9" style="22"/>
    <col min="1025" max="1025" width="5.5703125" style="22" customWidth="1"/>
    <col min="1026" max="1026" width="9" style="22" customWidth="1"/>
    <col min="1027" max="1027" width="10.5703125" style="22" customWidth="1"/>
    <col min="1028" max="1028" width="11" style="22" customWidth="1"/>
    <col min="1029" max="1029" width="9.42578125" style="22" bestFit="1" customWidth="1"/>
    <col min="1030" max="1033" width="14.5703125" style="22" customWidth="1"/>
    <col min="1034" max="1034" width="13.28515625" style="22" customWidth="1"/>
    <col min="1035" max="1035" width="12.5703125" style="22" customWidth="1"/>
    <col min="1036" max="1037" width="9" style="22" customWidth="1"/>
    <col min="1038" max="1038" width="13" style="22" bestFit="1" customWidth="1"/>
    <col min="1039" max="1280" width="9" style="22"/>
    <col min="1281" max="1281" width="5.5703125" style="22" customWidth="1"/>
    <col min="1282" max="1282" width="9" style="22" customWidth="1"/>
    <col min="1283" max="1283" width="10.5703125" style="22" customWidth="1"/>
    <col min="1284" max="1284" width="11" style="22" customWidth="1"/>
    <col min="1285" max="1285" width="9.42578125" style="22" bestFit="1" customWidth="1"/>
    <col min="1286" max="1289" width="14.5703125" style="22" customWidth="1"/>
    <col min="1290" max="1290" width="13.28515625" style="22" customWidth="1"/>
    <col min="1291" max="1291" width="12.5703125" style="22" customWidth="1"/>
    <col min="1292" max="1293" width="9" style="22" customWidth="1"/>
    <col min="1294" max="1294" width="13" style="22" bestFit="1" customWidth="1"/>
    <col min="1295" max="1536" width="9" style="22"/>
    <col min="1537" max="1537" width="5.5703125" style="22" customWidth="1"/>
    <col min="1538" max="1538" width="9" style="22" customWidth="1"/>
    <col min="1539" max="1539" width="10.5703125" style="22" customWidth="1"/>
    <col min="1540" max="1540" width="11" style="22" customWidth="1"/>
    <col min="1541" max="1541" width="9.42578125" style="22" bestFit="1" customWidth="1"/>
    <col min="1542" max="1545" width="14.5703125" style="22" customWidth="1"/>
    <col min="1546" max="1546" width="13.28515625" style="22" customWidth="1"/>
    <col min="1547" max="1547" width="12.5703125" style="22" customWidth="1"/>
    <col min="1548" max="1549" width="9" style="22" customWidth="1"/>
    <col min="1550" max="1550" width="13" style="22" bestFit="1" customWidth="1"/>
    <col min="1551" max="1792" width="9" style="22"/>
    <col min="1793" max="1793" width="5.5703125" style="22" customWidth="1"/>
    <col min="1794" max="1794" width="9" style="22" customWidth="1"/>
    <col min="1795" max="1795" width="10.5703125" style="22" customWidth="1"/>
    <col min="1796" max="1796" width="11" style="22" customWidth="1"/>
    <col min="1797" max="1797" width="9.42578125" style="22" bestFit="1" customWidth="1"/>
    <col min="1798" max="1801" width="14.5703125" style="22" customWidth="1"/>
    <col min="1802" max="1802" width="13.28515625" style="22" customWidth="1"/>
    <col min="1803" max="1803" width="12.5703125" style="22" customWidth="1"/>
    <col min="1804" max="1805" width="9" style="22" customWidth="1"/>
    <col min="1806" max="1806" width="13" style="22" bestFit="1" customWidth="1"/>
    <col min="1807" max="2048" width="9" style="22"/>
    <col min="2049" max="2049" width="5.5703125" style="22" customWidth="1"/>
    <col min="2050" max="2050" width="9" style="22" customWidth="1"/>
    <col min="2051" max="2051" width="10.5703125" style="22" customWidth="1"/>
    <col min="2052" max="2052" width="11" style="22" customWidth="1"/>
    <col min="2053" max="2053" width="9.42578125" style="22" bestFit="1" customWidth="1"/>
    <col min="2054" max="2057" width="14.5703125" style="22" customWidth="1"/>
    <col min="2058" max="2058" width="13.28515625" style="22" customWidth="1"/>
    <col min="2059" max="2059" width="12.5703125" style="22" customWidth="1"/>
    <col min="2060" max="2061" width="9" style="22" customWidth="1"/>
    <col min="2062" max="2062" width="13" style="22" bestFit="1" customWidth="1"/>
    <col min="2063" max="2304" width="9" style="22"/>
    <col min="2305" max="2305" width="5.5703125" style="22" customWidth="1"/>
    <col min="2306" max="2306" width="9" style="22" customWidth="1"/>
    <col min="2307" max="2307" width="10.5703125" style="22" customWidth="1"/>
    <col min="2308" max="2308" width="11" style="22" customWidth="1"/>
    <col min="2309" max="2309" width="9.42578125" style="22" bestFit="1" customWidth="1"/>
    <col min="2310" max="2313" width="14.5703125" style="22" customWidth="1"/>
    <col min="2314" max="2314" width="13.28515625" style="22" customWidth="1"/>
    <col min="2315" max="2315" width="12.5703125" style="22" customWidth="1"/>
    <col min="2316" max="2317" width="9" style="22" customWidth="1"/>
    <col min="2318" max="2318" width="13" style="22" bestFit="1" customWidth="1"/>
    <col min="2319" max="2560" width="9" style="22"/>
    <col min="2561" max="2561" width="5.5703125" style="22" customWidth="1"/>
    <col min="2562" max="2562" width="9" style="22" customWidth="1"/>
    <col min="2563" max="2563" width="10.5703125" style="22" customWidth="1"/>
    <col min="2564" max="2564" width="11" style="22" customWidth="1"/>
    <col min="2565" max="2565" width="9.42578125" style="22" bestFit="1" customWidth="1"/>
    <col min="2566" max="2569" width="14.5703125" style="22" customWidth="1"/>
    <col min="2570" max="2570" width="13.28515625" style="22" customWidth="1"/>
    <col min="2571" max="2571" width="12.5703125" style="22" customWidth="1"/>
    <col min="2572" max="2573" width="9" style="22" customWidth="1"/>
    <col min="2574" max="2574" width="13" style="22" bestFit="1" customWidth="1"/>
    <col min="2575" max="2816" width="9" style="22"/>
    <col min="2817" max="2817" width="5.5703125" style="22" customWidth="1"/>
    <col min="2818" max="2818" width="9" style="22" customWidth="1"/>
    <col min="2819" max="2819" width="10.5703125" style="22" customWidth="1"/>
    <col min="2820" max="2820" width="11" style="22" customWidth="1"/>
    <col min="2821" max="2821" width="9.42578125" style="22" bestFit="1" customWidth="1"/>
    <col min="2822" max="2825" width="14.5703125" style="22" customWidth="1"/>
    <col min="2826" max="2826" width="13.28515625" style="22" customWidth="1"/>
    <col min="2827" max="2827" width="12.5703125" style="22" customWidth="1"/>
    <col min="2828" max="2829" width="9" style="22" customWidth="1"/>
    <col min="2830" max="2830" width="13" style="22" bestFit="1" customWidth="1"/>
    <col min="2831" max="3072" width="9" style="22"/>
    <col min="3073" max="3073" width="5.5703125" style="22" customWidth="1"/>
    <col min="3074" max="3074" width="9" style="22" customWidth="1"/>
    <col min="3075" max="3075" width="10.5703125" style="22" customWidth="1"/>
    <col min="3076" max="3076" width="11" style="22" customWidth="1"/>
    <col min="3077" max="3077" width="9.42578125" style="22" bestFit="1" customWidth="1"/>
    <col min="3078" max="3081" width="14.5703125" style="22" customWidth="1"/>
    <col min="3082" max="3082" width="13.28515625" style="22" customWidth="1"/>
    <col min="3083" max="3083" width="12.5703125" style="22" customWidth="1"/>
    <col min="3084" max="3085" width="9" style="22" customWidth="1"/>
    <col min="3086" max="3086" width="13" style="22" bestFit="1" customWidth="1"/>
    <col min="3087" max="3328" width="9" style="22"/>
    <col min="3329" max="3329" width="5.5703125" style="22" customWidth="1"/>
    <col min="3330" max="3330" width="9" style="22" customWidth="1"/>
    <col min="3331" max="3331" width="10.5703125" style="22" customWidth="1"/>
    <col min="3332" max="3332" width="11" style="22" customWidth="1"/>
    <col min="3333" max="3333" width="9.42578125" style="22" bestFit="1" customWidth="1"/>
    <col min="3334" max="3337" width="14.5703125" style="22" customWidth="1"/>
    <col min="3338" max="3338" width="13.28515625" style="22" customWidth="1"/>
    <col min="3339" max="3339" width="12.5703125" style="22" customWidth="1"/>
    <col min="3340" max="3341" width="9" style="22" customWidth="1"/>
    <col min="3342" max="3342" width="13" style="22" bestFit="1" customWidth="1"/>
    <col min="3343" max="3584" width="9" style="22"/>
    <col min="3585" max="3585" width="5.5703125" style="22" customWidth="1"/>
    <col min="3586" max="3586" width="9" style="22" customWidth="1"/>
    <col min="3587" max="3587" width="10.5703125" style="22" customWidth="1"/>
    <col min="3588" max="3588" width="11" style="22" customWidth="1"/>
    <col min="3589" max="3589" width="9.42578125" style="22" bestFit="1" customWidth="1"/>
    <col min="3590" max="3593" width="14.5703125" style="22" customWidth="1"/>
    <col min="3594" max="3594" width="13.28515625" style="22" customWidth="1"/>
    <col min="3595" max="3595" width="12.5703125" style="22" customWidth="1"/>
    <col min="3596" max="3597" width="9" style="22" customWidth="1"/>
    <col min="3598" max="3598" width="13" style="22" bestFit="1" customWidth="1"/>
    <col min="3599" max="3840" width="9" style="22"/>
    <col min="3841" max="3841" width="5.5703125" style="22" customWidth="1"/>
    <col min="3842" max="3842" width="9" style="22" customWidth="1"/>
    <col min="3843" max="3843" width="10.5703125" style="22" customWidth="1"/>
    <col min="3844" max="3844" width="11" style="22" customWidth="1"/>
    <col min="3845" max="3845" width="9.42578125" style="22" bestFit="1" customWidth="1"/>
    <col min="3846" max="3849" width="14.5703125" style="22" customWidth="1"/>
    <col min="3850" max="3850" width="13.28515625" style="22" customWidth="1"/>
    <col min="3851" max="3851" width="12.5703125" style="22" customWidth="1"/>
    <col min="3852" max="3853" width="9" style="22" customWidth="1"/>
    <col min="3854" max="3854" width="13" style="22" bestFit="1" customWidth="1"/>
    <col min="3855" max="4096" width="9" style="22"/>
    <col min="4097" max="4097" width="5.5703125" style="22" customWidth="1"/>
    <col min="4098" max="4098" width="9" style="22" customWidth="1"/>
    <col min="4099" max="4099" width="10.5703125" style="22" customWidth="1"/>
    <col min="4100" max="4100" width="11" style="22" customWidth="1"/>
    <col min="4101" max="4101" width="9.42578125" style="22" bestFit="1" customWidth="1"/>
    <col min="4102" max="4105" width="14.5703125" style="22" customWidth="1"/>
    <col min="4106" max="4106" width="13.28515625" style="22" customWidth="1"/>
    <col min="4107" max="4107" width="12.5703125" style="22" customWidth="1"/>
    <col min="4108" max="4109" width="9" style="22" customWidth="1"/>
    <col min="4110" max="4110" width="13" style="22" bestFit="1" customWidth="1"/>
    <col min="4111" max="4352" width="9" style="22"/>
    <col min="4353" max="4353" width="5.5703125" style="22" customWidth="1"/>
    <col min="4354" max="4354" width="9" style="22" customWidth="1"/>
    <col min="4355" max="4355" width="10.5703125" style="22" customWidth="1"/>
    <col min="4356" max="4356" width="11" style="22" customWidth="1"/>
    <col min="4357" max="4357" width="9.42578125" style="22" bestFit="1" customWidth="1"/>
    <col min="4358" max="4361" width="14.5703125" style="22" customWidth="1"/>
    <col min="4362" max="4362" width="13.28515625" style="22" customWidth="1"/>
    <col min="4363" max="4363" width="12.5703125" style="22" customWidth="1"/>
    <col min="4364" max="4365" width="9" style="22" customWidth="1"/>
    <col min="4366" max="4366" width="13" style="22" bestFit="1" customWidth="1"/>
    <col min="4367" max="4608" width="9" style="22"/>
    <col min="4609" max="4609" width="5.5703125" style="22" customWidth="1"/>
    <col min="4610" max="4610" width="9" style="22" customWidth="1"/>
    <col min="4611" max="4611" width="10.5703125" style="22" customWidth="1"/>
    <col min="4612" max="4612" width="11" style="22" customWidth="1"/>
    <col min="4613" max="4613" width="9.42578125" style="22" bestFit="1" customWidth="1"/>
    <col min="4614" max="4617" width="14.5703125" style="22" customWidth="1"/>
    <col min="4618" max="4618" width="13.28515625" style="22" customWidth="1"/>
    <col min="4619" max="4619" width="12.5703125" style="22" customWidth="1"/>
    <col min="4620" max="4621" width="9" style="22" customWidth="1"/>
    <col min="4622" max="4622" width="13" style="22" bestFit="1" customWidth="1"/>
    <col min="4623" max="4864" width="9" style="22"/>
    <col min="4865" max="4865" width="5.5703125" style="22" customWidth="1"/>
    <col min="4866" max="4866" width="9" style="22" customWidth="1"/>
    <col min="4867" max="4867" width="10.5703125" style="22" customWidth="1"/>
    <col min="4868" max="4868" width="11" style="22" customWidth="1"/>
    <col min="4869" max="4869" width="9.42578125" style="22" bestFit="1" customWidth="1"/>
    <col min="4870" max="4873" width="14.5703125" style="22" customWidth="1"/>
    <col min="4874" max="4874" width="13.28515625" style="22" customWidth="1"/>
    <col min="4875" max="4875" width="12.5703125" style="22" customWidth="1"/>
    <col min="4876" max="4877" width="9" style="22" customWidth="1"/>
    <col min="4878" max="4878" width="13" style="22" bestFit="1" customWidth="1"/>
    <col min="4879" max="5120" width="9" style="22"/>
    <col min="5121" max="5121" width="5.5703125" style="22" customWidth="1"/>
    <col min="5122" max="5122" width="9" style="22" customWidth="1"/>
    <col min="5123" max="5123" width="10.5703125" style="22" customWidth="1"/>
    <col min="5124" max="5124" width="11" style="22" customWidth="1"/>
    <col min="5125" max="5125" width="9.42578125" style="22" bestFit="1" customWidth="1"/>
    <col min="5126" max="5129" width="14.5703125" style="22" customWidth="1"/>
    <col min="5130" max="5130" width="13.28515625" style="22" customWidth="1"/>
    <col min="5131" max="5131" width="12.5703125" style="22" customWidth="1"/>
    <col min="5132" max="5133" width="9" style="22" customWidth="1"/>
    <col min="5134" max="5134" width="13" style="22" bestFit="1" customWidth="1"/>
    <col min="5135" max="5376" width="9" style="22"/>
    <col min="5377" max="5377" width="5.5703125" style="22" customWidth="1"/>
    <col min="5378" max="5378" width="9" style="22" customWidth="1"/>
    <col min="5379" max="5379" width="10.5703125" style="22" customWidth="1"/>
    <col min="5380" max="5380" width="11" style="22" customWidth="1"/>
    <col min="5381" max="5381" width="9.42578125" style="22" bestFit="1" customWidth="1"/>
    <col min="5382" max="5385" width="14.5703125" style="22" customWidth="1"/>
    <col min="5386" max="5386" width="13.28515625" style="22" customWidth="1"/>
    <col min="5387" max="5387" width="12.5703125" style="22" customWidth="1"/>
    <col min="5388" max="5389" width="9" style="22" customWidth="1"/>
    <col min="5390" max="5390" width="13" style="22" bestFit="1" customWidth="1"/>
    <col min="5391" max="5632" width="9" style="22"/>
    <col min="5633" max="5633" width="5.5703125" style="22" customWidth="1"/>
    <col min="5634" max="5634" width="9" style="22" customWidth="1"/>
    <col min="5635" max="5635" width="10.5703125" style="22" customWidth="1"/>
    <col min="5636" max="5636" width="11" style="22" customWidth="1"/>
    <col min="5637" max="5637" width="9.42578125" style="22" bestFit="1" customWidth="1"/>
    <col min="5638" max="5641" width="14.5703125" style="22" customWidth="1"/>
    <col min="5642" max="5642" width="13.28515625" style="22" customWidth="1"/>
    <col min="5643" max="5643" width="12.5703125" style="22" customWidth="1"/>
    <col min="5644" max="5645" width="9" style="22" customWidth="1"/>
    <col min="5646" max="5646" width="13" style="22" bestFit="1" customWidth="1"/>
    <col min="5647" max="5888" width="9" style="22"/>
    <col min="5889" max="5889" width="5.5703125" style="22" customWidth="1"/>
    <col min="5890" max="5890" width="9" style="22" customWidth="1"/>
    <col min="5891" max="5891" width="10.5703125" style="22" customWidth="1"/>
    <col min="5892" max="5892" width="11" style="22" customWidth="1"/>
    <col min="5893" max="5893" width="9.42578125" style="22" bestFit="1" customWidth="1"/>
    <col min="5894" max="5897" width="14.5703125" style="22" customWidth="1"/>
    <col min="5898" max="5898" width="13.28515625" style="22" customWidth="1"/>
    <col min="5899" max="5899" width="12.5703125" style="22" customWidth="1"/>
    <col min="5900" max="5901" width="9" style="22" customWidth="1"/>
    <col min="5902" max="5902" width="13" style="22" bestFit="1" customWidth="1"/>
    <col min="5903" max="6144" width="9" style="22"/>
    <col min="6145" max="6145" width="5.5703125" style="22" customWidth="1"/>
    <col min="6146" max="6146" width="9" style="22" customWidth="1"/>
    <col min="6147" max="6147" width="10.5703125" style="22" customWidth="1"/>
    <col min="6148" max="6148" width="11" style="22" customWidth="1"/>
    <col min="6149" max="6149" width="9.42578125" style="22" bestFit="1" customWidth="1"/>
    <col min="6150" max="6153" width="14.5703125" style="22" customWidth="1"/>
    <col min="6154" max="6154" width="13.28515625" style="22" customWidth="1"/>
    <col min="6155" max="6155" width="12.5703125" style="22" customWidth="1"/>
    <col min="6156" max="6157" width="9" style="22" customWidth="1"/>
    <col min="6158" max="6158" width="13" style="22" bestFit="1" customWidth="1"/>
    <col min="6159" max="6400" width="9" style="22"/>
    <col min="6401" max="6401" width="5.5703125" style="22" customWidth="1"/>
    <col min="6402" max="6402" width="9" style="22" customWidth="1"/>
    <col min="6403" max="6403" width="10.5703125" style="22" customWidth="1"/>
    <col min="6404" max="6404" width="11" style="22" customWidth="1"/>
    <col min="6405" max="6405" width="9.42578125" style="22" bestFit="1" customWidth="1"/>
    <col min="6406" max="6409" width="14.5703125" style="22" customWidth="1"/>
    <col min="6410" max="6410" width="13.28515625" style="22" customWidth="1"/>
    <col min="6411" max="6411" width="12.5703125" style="22" customWidth="1"/>
    <col min="6412" max="6413" width="9" style="22" customWidth="1"/>
    <col min="6414" max="6414" width="13" style="22" bestFit="1" customWidth="1"/>
    <col min="6415" max="6656" width="9" style="22"/>
    <col min="6657" max="6657" width="5.5703125" style="22" customWidth="1"/>
    <col min="6658" max="6658" width="9" style="22" customWidth="1"/>
    <col min="6659" max="6659" width="10.5703125" style="22" customWidth="1"/>
    <col min="6660" max="6660" width="11" style="22" customWidth="1"/>
    <col min="6661" max="6661" width="9.42578125" style="22" bestFit="1" customWidth="1"/>
    <col min="6662" max="6665" width="14.5703125" style="22" customWidth="1"/>
    <col min="6666" max="6666" width="13.28515625" style="22" customWidth="1"/>
    <col min="6667" max="6667" width="12.5703125" style="22" customWidth="1"/>
    <col min="6668" max="6669" width="9" style="22" customWidth="1"/>
    <col min="6670" max="6670" width="13" style="22" bestFit="1" customWidth="1"/>
    <col min="6671" max="6912" width="9" style="22"/>
    <col min="6913" max="6913" width="5.5703125" style="22" customWidth="1"/>
    <col min="6914" max="6914" width="9" style="22" customWidth="1"/>
    <col min="6915" max="6915" width="10.5703125" style="22" customWidth="1"/>
    <col min="6916" max="6916" width="11" style="22" customWidth="1"/>
    <col min="6917" max="6917" width="9.42578125" style="22" bestFit="1" customWidth="1"/>
    <col min="6918" max="6921" width="14.5703125" style="22" customWidth="1"/>
    <col min="6922" max="6922" width="13.28515625" style="22" customWidth="1"/>
    <col min="6923" max="6923" width="12.5703125" style="22" customWidth="1"/>
    <col min="6924" max="6925" width="9" style="22" customWidth="1"/>
    <col min="6926" max="6926" width="13" style="22" bestFit="1" customWidth="1"/>
    <col min="6927" max="7168" width="9" style="22"/>
    <col min="7169" max="7169" width="5.5703125" style="22" customWidth="1"/>
    <col min="7170" max="7170" width="9" style="22" customWidth="1"/>
    <col min="7171" max="7171" width="10.5703125" style="22" customWidth="1"/>
    <col min="7172" max="7172" width="11" style="22" customWidth="1"/>
    <col min="7173" max="7173" width="9.42578125" style="22" bestFit="1" customWidth="1"/>
    <col min="7174" max="7177" width="14.5703125" style="22" customWidth="1"/>
    <col min="7178" max="7178" width="13.28515625" style="22" customWidth="1"/>
    <col min="7179" max="7179" width="12.5703125" style="22" customWidth="1"/>
    <col min="7180" max="7181" width="9" style="22" customWidth="1"/>
    <col min="7182" max="7182" width="13" style="22" bestFit="1" customWidth="1"/>
    <col min="7183" max="7424" width="9" style="22"/>
    <col min="7425" max="7425" width="5.5703125" style="22" customWidth="1"/>
    <col min="7426" max="7426" width="9" style="22" customWidth="1"/>
    <col min="7427" max="7427" width="10.5703125" style="22" customWidth="1"/>
    <col min="7428" max="7428" width="11" style="22" customWidth="1"/>
    <col min="7429" max="7429" width="9.42578125" style="22" bestFit="1" customWidth="1"/>
    <col min="7430" max="7433" width="14.5703125" style="22" customWidth="1"/>
    <col min="7434" max="7434" width="13.28515625" style="22" customWidth="1"/>
    <col min="7435" max="7435" width="12.5703125" style="22" customWidth="1"/>
    <col min="7436" max="7437" width="9" style="22" customWidth="1"/>
    <col min="7438" max="7438" width="13" style="22" bestFit="1" customWidth="1"/>
    <col min="7439" max="7680" width="9" style="22"/>
    <col min="7681" max="7681" width="5.5703125" style="22" customWidth="1"/>
    <col min="7682" max="7682" width="9" style="22" customWidth="1"/>
    <col min="7683" max="7683" width="10.5703125" style="22" customWidth="1"/>
    <col min="7684" max="7684" width="11" style="22" customWidth="1"/>
    <col min="7685" max="7685" width="9.42578125" style="22" bestFit="1" customWidth="1"/>
    <col min="7686" max="7689" width="14.5703125" style="22" customWidth="1"/>
    <col min="7690" max="7690" width="13.28515625" style="22" customWidth="1"/>
    <col min="7691" max="7691" width="12.5703125" style="22" customWidth="1"/>
    <col min="7692" max="7693" width="9" style="22" customWidth="1"/>
    <col min="7694" max="7694" width="13" style="22" bestFit="1" customWidth="1"/>
    <col min="7695" max="7936" width="9" style="22"/>
    <col min="7937" max="7937" width="5.5703125" style="22" customWidth="1"/>
    <col min="7938" max="7938" width="9" style="22" customWidth="1"/>
    <col min="7939" max="7939" width="10.5703125" style="22" customWidth="1"/>
    <col min="7940" max="7940" width="11" style="22" customWidth="1"/>
    <col min="7941" max="7941" width="9.42578125" style="22" bestFit="1" customWidth="1"/>
    <col min="7942" max="7945" width="14.5703125" style="22" customWidth="1"/>
    <col min="7946" max="7946" width="13.28515625" style="22" customWidth="1"/>
    <col min="7947" max="7947" width="12.5703125" style="22" customWidth="1"/>
    <col min="7948" max="7949" width="9" style="22" customWidth="1"/>
    <col min="7950" max="7950" width="13" style="22" bestFit="1" customWidth="1"/>
    <col min="7951" max="8192" width="9" style="22"/>
    <col min="8193" max="8193" width="5.5703125" style="22" customWidth="1"/>
    <col min="8194" max="8194" width="9" style="22" customWidth="1"/>
    <col min="8195" max="8195" width="10.5703125" style="22" customWidth="1"/>
    <col min="8196" max="8196" width="11" style="22" customWidth="1"/>
    <col min="8197" max="8197" width="9.42578125" style="22" bestFit="1" customWidth="1"/>
    <col min="8198" max="8201" width="14.5703125" style="22" customWidth="1"/>
    <col min="8202" max="8202" width="13.28515625" style="22" customWidth="1"/>
    <col min="8203" max="8203" width="12.5703125" style="22" customWidth="1"/>
    <col min="8204" max="8205" width="9" style="22" customWidth="1"/>
    <col min="8206" max="8206" width="13" style="22" bestFit="1" customWidth="1"/>
    <col min="8207" max="8448" width="9" style="22"/>
    <col min="8449" max="8449" width="5.5703125" style="22" customWidth="1"/>
    <col min="8450" max="8450" width="9" style="22" customWidth="1"/>
    <col min="8451" max="8451" width="10.5703125" style="22" customWidth="1"/>
    <col min="8452" max="8452" width="11" style="22" customWidth="1"/>
    <col min="8453" max="8453" width="9.42578125" style="22" bestFit="1" customWidth="1"/>
    <col min="8454" max="8457" width="14.5703125" style="22" customWidth="1"/>
    <col min="8458" max="8458" width="13.28515625" style="22" customWidth="1"/>
    <col min="8459" max="8459" width="12.5703125" style="22" customWidth="1"/>
    <col min="8460" max="8461" width="9" style="22" customWidth="1"/>
    <col min="8462" max="8462" width="13" style="22" bestFit="1" customWidth="1"/>
    <col min="8463" max="8704" width="9" style="22"/>
    <col min="8705" max="8705" width="5.5703125" style="22" customWidth="1"/>
    <col min="8706" max="8706" width="9" style="22" customWidth="1"/>
    <col min="8707" max="8707" width="10.5703125" style="22" customWidth="1"/>
    <col min="8708" max="8708" width="11" style="22" customWidth="1"/>
    <col min="8709" max="8709" width="9.42578125" style="22" bestFit="1" customWidth="1"/>
    <col min="8710" max="8713" width="14.5703125" style="22" customWidth="1"/>
    <col min="8714" max="8714" width="13.28515625" style="22" customWidth="1"/>
    <col min="8715" max="8715" width="12.5703125" style="22" customWidth="1"/>
    <col min="8716" max="8717" width="9" style="22" customWidth="1"/>
    <col min="8718" max="8718" width="13" style="22" bestFit="1" customWidth="1"/>
    <col min="8719" max="8960" width="9" style="22"/>
    <col min="8961" max="8961" width="5.5703125" style="22" customWidth="1"/>
    <col min="8962" max="8962" width="9" style="22" customWidth="1"/>
    <col min="8963" max="8963" width="10.5703125" style="22" customWidth="1"/>
    <col min="8964" max="8964" width="11" style="22" customWidth="1"/>
    <col min="8965" max="8965" width="9.42578125" style="22" bestFit="1" customWidth="1"/>
    <col min="8966" max="8969" width="14.5703125" style="22" customWidth="1"/>
    <col min="8970" max="8970" width="13.28515625" style="22" customWidth="1"/>
    <col min="8971" max="8971" width="12.5703125" style="22" customWidth="1"/>
    <col min="8972" max="8973" width="9" style="22" customWidth="1"/>
    <col min="8974" max="8974" width="13" style="22" bestFit="1" customWidth="1"/>
    <col min="8975" max="9216" width="9" style="22"/>
    <col min="9217" max="9217" width="5.5703125" style="22" customWidth="1"/>
    <col min="9218" max="9218" width="9" style="22" customWidth="1"/>
    <col min="9219" max="9219" width="10.5703125" style="22" customWidth="1"/>
    <col min="9220" max="9220" width="11" style="22" customWidth="1"/>
    <col min="9221" max="9221" width="9.42578125" style="22" bestFit="1" customWidth="1"/>
    <col min="9222" max="9225" width="14.5703125" style="22" customWidth="1"/>
    <col min="9226" max="9226" width="13.28515625" style="22" customWidth="1"/>
    <col min="9227" max="9227" width="12.5703125" style="22" customWidth="1"/>
    <col min="9228" max="9229" width="9" style="22" customWidth="1"/>
    <col min="9230" max="9230" width="13" style="22" bestFit="1" customWidth="1"/>
    <col min="9231" max="9472" width="9" style="22"/>
    <col min="9473" max="9473" width="5.5703125" style="22" customWidth="1"/>
    <col min="9474" max="9474" width="9" style="22" customWidth="1"/>
    <col min="9475" max="9475" width="10.5703125" style="22" customWidth="1"/>
    <col min="9476" max="9476" width="11" style="22" customWidth="1"/>
    <col min="9477" max="9477" width="9.42578125" style="22" bestFit="1" customWidth="1"/>
    <col min="9478" max="9481" width="14.5703125" style="22" customWidth="1"/>
    <col min="9482" max="9482" width="13.28515625" style="22" customWidth="1"/>
    <col min="9483" max="9483" width="12.5703125" style="22" customWidth="1"/>
    <col min="9484" max="9485" width="9" style="22" customWidth="1"/>
    <col min="9486" max="9486" width="13" style="22" bestFit="1" customWidth="1"/>
    <col min="9487" max="9728" width="9" style="22"/>
    <col min="9729" max="9729" width="5.5703125" style="22" customWidth="1"/>
    <col min="9730" max="9730" width="9" style="22" customWidth="1"/>
    <col min="9731" max="9731" width="10.5703125" style="22" customWidth="1"/>
    <col min="9732" max="9732" width="11" style="22" customWidth="1"/>
    <col min="9733" max="9733" width="9.42578125" style="22" bestFit="1" customWidth="1"/>
    <col min="9734" max="9737" width="14.5703125" style="22" customWidth="1"/>
    <col min="9738" max="9738" width="13.28515625" style="22" customWidth="1"/>
    <col min="9739" max="9739" width="12.5703125" style="22" customWidth="1"/>
    <col min="9740" max="9741" width="9" style="22" customWidth="1"/>
    <col min="9742" max="9742" width="13" style="22" bestFit="1" customWidth="1"/>
    <col min="9743" max="9984" width="9" style="22"/>
    <col min="9985" max="9985" width="5.5703125" style="22" customWidth="1"/>
    <col min="9986" max="9986" width="9" style="22" customWidth="1"/>
    <col min="9987" max="9987" width="10.5703125" style="22" customWidth="1"/>
    <col min="9988" max="9988" width="11" style="22" customWidth="1"/>
    <col min="9989" max="9989" width="9.42578125" style="22" bestFit="1" customWidth="1"/>
    <col min="9990" max="9993" width="14.5703125" style="22" customWidth="1"/>
    <col min="9994" max="9994" width="13.28515625" style="22" customWidth="1"/>
    <col min="9995" max="9995" width="12.5703125" style="22" customWidth="1"/>
    <col min="9996" max="9997" width="9" style="22" customWidth="1"/>
    <col min="9998" max="9998" width="13" style="22" bestFit="1" customWidth="1"/>
    <col min="9999" max="10240" width="9" style="22"/>
    <col min="10241" max="10241" width="5.5703125" style="22" customWidth="1"/>
    <col min="10242" max="10242" width="9" style="22" customWidth="1"/>
    <col min="10243" max="10243" width="10.5703125" style="22" customWidth="1"/>
    <col min="10244" max="10244" width="11" style="22" customWidth="1"/>
    <col min="10245" max="10245" width="9.42578125" style="22" bestFit="1" customWidth="1"/>
    <col min="10246" max="10249" width="14.5703125" style="22" customWidth="1"/>
    <col min="10250" max="10250" width="13.28515625" style="22" customWidth="1"/>
    <col min="10251" max="10251" width="12.5703125" style="22" customWidth="1"/>
    <col min="10252" max="10253" width="9" style="22" customWidth="1"/>
    <col min="10254" max="10254" width="13" style="22" bestFit="1" customWidth="1"/>
    <col min="10255" max="10496" width="9" style="22"/>
    <col min="10497" max="10497" width="5.5703125" style="22" customWidth="1"/>
    <col min="10498" max="10498" width="9" style="22" customWidth="1"/>
    <col min="10499" max="10499" width="10.5703125" style="22" customWidth="1"/>
    <col min="10500" max="10500" width="11" style="22" customWidth="1"/>
    <col min="10501" max="10501" width="9.42578125" style="22" bestFit="1" customWidth="1"/>
    <col min="10502" max="10505" width="14.5703125" style="22" customWidth="1"/>
    <col min="10506" max="10506" width="13.28515625" style="22" customWidth="1"/>
    <col min="10507" max="10507" width="12.5703125" style="22" customWidth="1"/>
    <col min="10508" max="10509" width="9" style="22" customWidth="1"/>
    <col min="10510" max="10510" width="13" style="22" bestFit="1" customWidth="1"/>
    <col min="10511" max="10752" width="9" style="22"/>
    <col min="10753" max="10753" width="5.5703125" style="22" customWidth="1"/>
    <col min="10754" max="10754" width="9" style="22" customWidth="1"/>
    <col min="10755" max="10755" width="10.5703125" style="22" customWidth="1"/>
    <col min="10756" max="10756" width="11" style="22" customWidth="1"/>
    <col min="10757" max="10757" width="9.42578125" style="22" bestFit="1" customWidth="1"/>
    <col min="10758" max="10761" width="14.5703125" style="22" customWidth="1"/>
    <col min="10762" max="10762" width="13.28515625" style="22" customWidth="1"/>
    <col min="10763" max="10763" width="12.5703125" style="22" customWidth="1"/>
    <col min="10764" max="10765" width="9" style="22" customWidth="1"/>
    <col min="10766" max="10766" width="13" style="22" bestFit="1" customWidth="1"/>
    <col min="10767" max="11008" width="9" style="22"/>
    <col min="11009" max="11009" width="5.5703125" style="22" customWidth="1"/>
    <col min="11010" max="11010" width="9" style="22" customWidth="1"/>
    <col min="11011" max="11011" width="10.5703125" style="22" customWidth="1"/>
    <col min="11012" max="11012" width="11" style="22" customWidth="1"/>
    <col min="11013" max="11013" width="9.42578125" style="22" bestFit="1" customWidth="1"/>
    <col min="11014" max="11017" width="14.5703125" style="22" customWidth="1"/>
    <col min="11018" max="11018" width="13.28515625" style="22" customWidth="1"/>
    <col min="11019" max="11019" width="12.5703125" style="22" customWidth="1"/>
    <col min="11020" max="11021" width="9" style="22" customWidth="1"/>
    <col min="11022" max="11022" width="13" style="22" bestFit="1" customWidth="1"/>
    <col min="11023" max="11264" width="9" style="22"/>
    <col min="11265" max="11265" width="5.5703125" style="22" customWidth="1"/>
    <col min="11266" max="11266" width="9" style="22" customWidth="1"/>
    <col min="11267" max="11267" width="10.5703125" style="22" customWidth="1"/>
    <col min="11268" max="11268" width="11" style="22" customWidth="1"/>
    <col min="11269" max="11269" width="9.42578125" style="22" bestFit="1" customWidth="1"/>
    <col min="11270" max="11273" width="14.5703125" style="22" customWidth="1"/>
    <col min="11274" max="11274" width="13.28515625" style="22" customWidth="1"/>
    <col min="11275" max="11275" width="12.5703125" style="22" customWidth="1"/>
    <col min="11276" max="11277" width="9" style="22" customWidth="1"/>
    <col min="11278" max="11278" width="13" style="22" bestFit="1" customWidth="1"/>
    <col min="11279" max="11520" width="9" style="22"/>
    <col min="11521" max="11521" width="5.5703125" style="22" customWidth="1"/>
    <col min="11522" max="11522" width="9" style="22" customWidth="1"/>
    <col min="11523" max="11523" width="10.5703125" style="22" customWidth="1"/>
    <col min="11524" max="11524" width="11" style="22" customWidth="1"/>
    <col min="11525" max="11525" width="9.42578125" style="22" bestFit="1" customWidth="1"/>
    <col min="11526" max="11529" width="14.5703125" style="22" customWidth="1"/>
    <col min="11530" max="11530" width="13.28515625" style="22" customWidth="1"/>
    <col min="11531" max="11531" width="12.5703125" style="22" customWidth="1"/>
    <col min="11532" max="11533" width="9" style="22" customWidth="1"/>
    <col min="11534" max="11534" width="13" style="22" bestFit="1" customWidth="1"/>
    <col min="11535" max="11776" width="9" style="22"/>
    <col min="11777" max="11777" width="5.5703125" style="22" customWidth="1"/>
    <col min="11778" max="11778" width="9" style="22" customWidth="1"/>
    <col min="11779" max="11779" width="10.5703125" style="22" customWidth="1"/>
    <col min="11780" max="11780" width="11" style="22" customWidth="1"/>
    <col min="11781" max="11781" width="9.42578125" style="22" bestFit="1" customWidth="1"/>
    <col min="11782" max="11785" width="14.5703125" style="22" customWidth="1"/>
    <col min="11786" max="11786" width="13.28515625" style="22" customWidth="1"/>
    <col min="11787" max="11787" width="12.5703125" style="22" customWidth="1"/>
    <col min="11788" max="11789" width="9" style="22" customWidth="1"/>
    <col min="11790" max="11790" width="13" style="22" bestFit="1" customWidth="1"/>
    <col min="11791" max="12032" width="9" style="22"/>
    <col min="12033" max="12033" width="5.5703125" style="22" customWidth="1"/>
    <col min="12034" max="12034" width="9" style="22" customWidth="1"/>
    <col min="12035" max="12035" width="10.5703125" style="22" customWidth="1"/>
    <col min="12036" max="12036" width="11" style="22" customWidth="1"/>
    <col min="12037" max="12037" width="9.42578125" style="22" bestFit="1" customWidth="1"/>
    <col min="12038" max="12041" width="14.5703125" style="22" customWidth="1"/>
    <col min="12042" max="12042" width="13.28515625" style="22" customWidth="1"/>
    <col min="12043" max="12043" width="12.5703125" style="22" customWidth="1"/>
    <col min="12044" max="12045" width="9" style="22" customWidth="1"/>
    <col min="12046" max="12046" width="13" style="22" bestFit="1" customWidth="1"/>
    <col min="12047" max="12288" width="9" style="22"/>
    <col min="12289" max="12289" width="5.5703125" style="22" customWidth="1"/>
    <col min="12290" max="12290" width="9" style="22" customWidth="1"/>
    <col min="12291" max="12291" width="10.5703125" style="22" customWidth="1"/>
    <col min="12292" max="12292" width="11" style="22" customWidth="1"/>
    <col min="12293" max="12293" width="9.42578125" style="22" bestFit="1" customWidth="1"/>
    <col min="12294" max="12297" width="14.5703125" style="22" customWidth="1"/>
    <col min="12298" max="12298" width="13.28515625" style="22" customWidth="1"/>
    <col min="12299" max="12299" width="12.5703125" style="22" customWidth="1"/>
    <col min="12300" max="12301" width="9" style="22" customWidth="1"/>
    <col min="12302" max="12302" width="13" style="22" bestFit="1" customWidth="1"/>
    <col min="12303" max="12544" width="9" style="22"/>
    <col min="12545" max="12545" width="5.5703125" style="22" customWidth="1"/>
    <col min="12546" max="12546" width="9" style="22" customWidth="1"/>
    <col min="12547" max="12547" width="10.5703125" style="22" customWidth="1"/>
    <col min="12548" max="12548" width="11" style="22" customWidth="1"/>
    <col min="12549" max="12549" width="9.42578125" style="22" bestFit="1" customWidth="1"/>
    <col min="12550" max="12553" width="14.5703125" style="22" customWidth="1"/>
    <col min="12554" max="12554" width="13.28515625" style="22" customWidth="1"/>
    <col min="12555" max="12555" width="12.5703125" style="22" customWidth="1"/>
    <col min="12556" max="12557" width="9" style="22" customWidth="1"/>
    <col min="12558" max="12558" width="13" style="22" bestFit="1" customWidth="1"/>
    <col min="12559" max="12800" width="9" style="22"/>
    <col min="12801" max="12801" width="5.5703125" style="22" customWidth="1"/>
    <col min="12802" max="12802" width="9" style="22" customWidth="1"/>
    <col min="12803" max="12803" width="10.5703125" style="22" customWidth="1"/>
    <col min="12804" max="12804" width="11" style="22" customWidth="1"/>
    <col min="12805" max="12805" width="9.42578125" style="22" bestFit="1" customWidth="1"/>
    <col min="12806" max="12809" width="14.5703125" style="22" customWidth="1"/>
    <col min="12810" max="12810" width="13.28515625" style="22" customWidth="1"/>
    <col min="12811" max="12811" width="12.5703125" style="22" customWidth="1"/>
    <col min="12812" max="12813" width="9" style="22" customWidth="1"/>
    <col min="12814" max="12814" width="13" style="22" bestFit="1" customWidth="1"/>
    <col min="12815" max="13056" width="9" style="22"/>
    <col min="13057" max="13057" width="5.5703125" style="22" customWidth="1"/>
    <col min="13058" max="13058" width="9" style="22" customWidth="1"/>
    <col min="13059" max="13059" width="10.5703125" style="22" customWidth="1"/>
    <col min="13060" max="13060" width="11" style="22" customWidth="1"/>
    <col min="13061" max="13061" width="9.42578125" style="22" bestFit="1" customWidth="1"/>
    <col min="13062" max="13065" width="14.5703125" style="22" customWidth="1"/>
    <col min="13066" max="13066" width="13.28515625" style="22" customWidth="1"/>
    <col min="13067" max="13067" width="12.5703125" style="22" customWidth="1"/>
    <col min="13068" max="13069" width="9" style="22" customWidth="1"/>
    <col min="13070" max="13070" width="13" style="22" bestFit="1" customWidth="1"/>
    <col min="13071" max="13312" width="9" style="22"/>
    <col min="13313" max="13313" width="5.5703125" style="22" customWidth="1"/>
    <col min="13314" max="13314" width="9" style="22" customWidth="1"/>
    <col min="13315" max="13315" width="10.5703125" style="22" customWidth="1"/>
    <col min="13316" max="13316" width="11" style="22" customWidth="1"/>
    <col min="13317" max="13317" width="9.42578125" style="22" bestFit="1" customWidth="1"/>
    <col min="13318" max="13321" width="14.5703125" style="22" customWidth="1"/>
    <col min="13322" max="13322" width="13.28515625" style="22" customWidth="1"/>
    <col min="13323" max="13323" width="12.5703125" style="22" customWidth="1"/>
    <col min="13324" max="13325" width="9" style="22" customWidth="1"/>
    <col min="13326" max="13326" width="13" style="22" bestFit="1" customWidth="1"/>
    <col min="13327" max="13568" width="9" style="22"/>
    <col min="13569" max="13569" width="5.5703125" style="22" customWidth="1"/>
    <col min="13570" max="13570" width="9" style="22" customWidth="1"/>
    <col min="13571" max="13571" width="10.5703125" style="22" customWidth="1"/>
    <col min="13572" max="13572" width="11" style="22" customWidth="1"/>
    <col min="13573" max="13573" width="9.42578125" style="22" bestFit="1" customWidth="1"/>
    <col min="13574" max="13577" width="14.5703125" style="22" customWidth="1"/>
    <col min="13578" max="13578" width="13.28515625" style="22" customWidth="1"/>
    <col min="13579" max="13579" width="12.5703125" style="22" customWidth="1"/>
    <col min="13580" max="13581" width="9" style="22" customWidth="1"/>
    <col min="13582" max="13582" width="13" style="22" bestFit="1" customWidth="1"/>
    <col min="13583" max="13824" width="9" style="22"/>
    <col min="13825" max="13825" width="5.5703125" style="22" customWidth="1"/>
    <col min="13826" max="13826" width="9" style="22" customWidth="1"/>
    <col min="13827" max="13827" width="10.5703125" style="22" customWidth="1"/>
    <col min="13828" max="13828" width="11" style="22" customWidth="1"/>
    <col min="13829" max="13829" width="9.42578125" style="22" bestFit="1" customWidth="1"/>
    <col min="13830" max="13833" width="14.5703125" style="22" customWidth="1"/>
    <col min="13834" max="13834" width="13.28515625" style="22" customWidth="1"/>
    <col min="13835" max="13835" width="12.5703125" style="22" customWidth="1"/>
    <col min="13836" max="13837" width="9" style="22" customWidth="1"/>
    <col min="13838" max="13838" width="13" style="22" bestFit="1" customWidth="1"/>
    <col min="13839" max="14080" width="9" style="22"/>
    <col min="14081" max="14081" width="5.5703125" style="22" customWidth="1"/>
    <col min="14082" max="14082" width="9" style="22" customWidth="1"/>
    <col min="14083" max="14083" width="10.5703125" style="22" customWidth="1"/>
    <col min="14084" max="14084" width="11" style="22" customWidth="1"/>
    <col min="14085" max="14085" width="9.42578125" style="22" bestFit="1" customWidth="1"/>
    <col min="14086" max="14089" width="14.5703125" style="22" customWidth="1"/>
    <col min="14090" max="14090" width="13.28515625" style="22" customWidth="1"/>
    <col min="14091" max="14091" width="12.5703125" style="22" customWidth="1"/>
    <col min="14092" max="14093" width="9" style="22" customWidth="1"/>
    <col min="14094" max="14094" width="13" style="22" bestFit="1" customWidth="1"/>
    <col min="14095" max="14336" width="9" style="22"/>
    <col min="14337" max="14337" width="5.5703125" style="22" customWidth="1"/>
    <col min="14338" max="14338" width="9" style="22" customWidth="1"/>
    <col min="14339" max="14339" width="10.5703125" style="22" customWidth="1"/>
    <col min="14340" max="14340" width="11" style="22" customWidth="1"/>
    <col min="14341" max="14341" width="9.42578125" style="22" bestFit="1" customWidth="1"/>
    <col min="14342" max="14345" width="14.5703125" style="22" customWidth="1"/>
    <col min="14346" max="14346" width="13.28515625" style="22" customWidth="1"/>
    <col min="14347" max="14347" width="12.5703125" style="22" customWidth="1"/>
    <col min="14348" max="14349" width="9" style="22" customWidth="1"/>
    <col min="14350" max="14350" width="13" style="22" bestFit="1" customWidth="1"/>
    <col min="14351" max="14592" width="9" style="22"/>
    <col min="14593" max="14593" width="5.5703125" style="22" customWidth="1"/>
    <col min="14594" max="14594" width="9" style="22" customWidth="1"/>
    <col min="14595" max="14595" width="10.5703125" style="22" customWidth="1"/>
    <col min="14596" max="14596" width="11" style="22" customWidth="1"/>
    <col min="14597" max="14597" width="9.42578125" style="22" bestFit="1" customWidth="1"/>
    <col min="14598" max="14601" width="14.5703125" style="22" customWidth="1"/>
    <col min="14602" max="14602" width="13.28515625" style="22" customWidth="1"/>
    <col min="14603" max="14603" width="12.5703125" style="22" customWidth="1"/>
    <col min="14604" max="14605" width="9" style="22" customWidth="1"/>
    <col min="14606" max="14606" width="13" style="22" bestFit="1" customWidth="1"/>
    <col min="14607" max="14848" width="9" style="22"/>
    <col min="14849" max="14849" width="5.5703125" style="22" customWidth="1"/>
    <col min="14850" max="14850" width="9" style="22" customWidth="1"/>
    <col min="14851" max="14851" width="10.5703125" style="22" customWidth="1"/>
    <col min="14852" max="14852" width="11" style="22" customWidth="1"/>
    <col min="14853" max="14853" width="9.42578125" style="22" bestFit="1" customWidth="1"/>
    <col min="14854" max="14857" width="14.5703125" style="22" customWidth="1"/>
    <col min="14858" max="14858" width="13.28515625" style="22" customWidth="1"/>
    <col min="14859" max="14859" width="12.5703125" style="22" customWidth="1"/>
    <col min="14860" max="14861" width="9" style="22" customWidth="1"/>
    <col min="14862" max="14862" width="13" style="22" bestFit="1" customWidth="1"/>
    <col min="14863" max="15104" width="9" style="22"/>
    <col min="15105" max="15105" width="5.5703125" style="22" customWidth="1"/>
    <col min="15106" max="15106" width="9" style="22" customWidth="1"/>
    <col min="15107" max="15107" width="10.5703125" style="22" customWidth="1"/>
    <col min="15108" max="15108" width="11" style="22" customWidth="1"/>
    <col min="15109" max="15109" width="9.42578125" style="22" bestFit="1" customWidth="1"/>
    <col min="15110" max="15113" width="14.5703125" style="22" customWidth="1"/>
    <col min="15114" max="15114" width="13.28515625" style="22" customWidth="1"/>
    <col min="15115" max="15115" width="12.5703125" style="22" customWidth="1"/>
    <col min="15116" max="15117" width="9" style="22" customWidth="1"/>
    <col min="15118" max="15118" width="13" style="22" bestFit="1" customWidth="1"/>
    <col min="15119" max="15360" width="9" style="22"/>
    <col min="15361" max="15361" width="5.5703125" style="22" customWidth="1"/>
    <col min="15362" max="15362" width="9" style="22" customWidth="1"/>
    <col min="15363" max="15363" width="10.5703125" style="22" customWidth="1"/>
    <col min="15364" max="15364" width="11" style="22" customWidth="1"/>
    <col min="15365" max="15365" width="9.42578125" style="22" bestFit="1" customWidth="1"/>
    <col min="15366" max="15369" width="14.5703125" style="22" customWidth="1"/>
    <col min="15370" max="15370" width="13.28515625" style="22" customWidth="1"/>
    <col min="15371" max="15371" width="12.5703125" style="22" customWidth="1"/>
    <col min="15372" max="15373" width="9" style="22" customWidth="1"/>
    <col min="15374" max="15374" width="13" style="22" bestFit="1" customWidth="1"/>
    <col min="15375" max="15616" width="9" style="22"/>
    <col min="15617" max="15617" width="5.5703125" style="22" customWidth="1"/>
    <col min="15618" max="15618" width="9" style="22" customWidth="1"/>
    <col min="15619" max="15619" width="10.5703125" style="22" customWidth="1"/>
    <col min="15620" max="15620" width="11" style="22" customWidth="1"/>
    <col min="15621" max="15621" width="9.42578125" style="22" bestFit="1" customWidth="1"/>
    <col min="15622" max="15625" width="14.5703125" style="22" customWidth="1"/>
    <col min="15626" max="15626" width="13.28515625" style="22" customWidth="1"/>
    <col min="15627" max="15627" width="12.5703125" style="22" customWidth="1"/>
    <col min="15628" max="15629" width="9" style="22" customWidth="1"/>
    <col min="15630" max="15630" width="13" style="22" bestFit="1" customWidth="1"/>
    <col min="15631" max="15872" width="9" style="22"/>
    <col min="15873" max="15873" width="5.5703125" style="22" customWidth="1"/>
    <col min="15874" max="15874" width="9" style="22" customWidth="1"/>
    <col min="15875" max="15875" width="10.5703125" style="22" customWidth="1"/>
    <col min="15876" max="15876" width="11" style="22" customWidth="1"/>
    <col min="15877" max="15877" width="9.42578125" style="22" bestFit="1" customWidth="1"/>
    <col min="15878" max="15881" width="14.5703125" style="22" customWidth="1"/>
    <col min="15882" max="15882" width="13.28515625" style="22" customWidth="1"/>
    <col min="15883" max="15883" width="12.5703125" style="22" customWidth="1"/>
    <col min="15884" max="15885" width="9" style="22" customWidth="1"/>
    <col min="15886" max="15886" width="13" style="22" bestFit="1" customWidth="1"/>
    <col min="15887" max="16128" width="9" style="22"/>
    <col min="16129" max="16129" width="5.5703125" style="22" customWidth="1"/>
    <col min="16130" max="16130" width="9" style="22" customWidth="1"/>
    <col min="16131" max="16131" width="10.5703125" style="22" customWidth="1"/>
    <col min="16132" max="16132" width="11" style="22" customWidth="1"/>
    <col min="16133" max="16133" width="9.42578125" style="22" bestFit="1" customWidth="1"/>
    <col min="16134" max="16137" width="14.5703125" style="22" customWidth="1"/>
    <col min="16138" max="16138" width="13.28515625" style="22" customWidth="1"/>
    <col min="16139" max="16139" width="12.5703125" style="22" customWidth="1"/>
    <col min="16140" max="16141" width="9" style="22" customWidth="1"/>
    <col min="16142" max="16142" width="13" style="22" bestFit="1" customWidth="1"/>
    <col min="16143" max="16384" width="9" style="22"/>
  </cols>
  <sheetData>
    <row r="1" spans="2:14" ht="49.5" customHeight="1" x14ac:dyDescent="0.25">
      <c r="B1" s="23" t="s">
        <v>93</v>
      </c>
      <c r="F1" s="22"/>
      <c r="G1" s="22"/>
      <c r="H1" s="22"/>
      <c r="I1" s="22"/>
    </row>
    <row r="2" spans="2:14" ht="15.75" thickBot="1" x14ac:dyDescent="0.3"/>
    <row r="3" spans="2:14" s="47" customFormat="1" ht="46.5" customHeight="1" thickBot="1" x14ac:dyDescent="0.3">
      <c r="B3" s="48" t="s">
        <v>94</v>
      </c>
      <c r="C3" s="49" t="s">
        <v>95</v>
      </c>
      <c r="D3" s="49" t="s">
        <v>96</v>
      </c>
      <c r="E3" s="49" t="s">
        <v>97</v>
      </c>
      <c r="F3" s="158" t="s">
        <v>98</v>
      </c>
      <c r="G3" s="158"/>
      <c r="H3" s="158"/>
      <c r="I3" s="158"/>
      <c r="J3" s="50" t="s">
        <v>99</v>
      </c>
      <c r="K3" s="50" t="s">
        <v>100</v>
      </c>
    </row>
    <row r="4" spans="2:14" s="47" customFormat="1" ht="18" thickBot="1" x14ac:dyDescent="0.3">
      <c r="B4" s="51"/>
      <c r="C4" s="52" t="s">
        <v>101</v>
      </c>
      <c r="D4" s="52" t="s">
        <v>101</v>
      </c>
      <c r="E4" s="52" t="s">
        <v>101</v>
      </c>
      <c r="F4" s="53" t="s">
        <v>102</v>
      </c>
      <c r="G4" s="53" t="s">
        <v>103</v>
      </c>
      <c r="H4" s="53" t="s">
        <v>104</v>
      </c>
      <c r="I4" s="53" t="s">
        <v>105</v>
      </c>
      <c r="J4" s="52" t="s">
        <v>106</v>
      </c>
      <c r="K4" s="54" t="s">
        <v>107</v>
      </c>
    </row>
    <row r="5" spans="2:14" ht="15.75" thickBot="1" x14ac:dyDescent="0.3"/>
    <row r="6" spans="2:14" ht="15.75" thickBot="1" x14ac:dyDescent="0.3">
      <c r="B6" s="159">
        <v>30</v>
      </c>
      <c r="C6" s="55">
        <v>28</v>
      </c>
      <c r="D6" s="56">
        <f t="shared" ref="D6:D11" si="0">E6+0.625</f>
        <v>27.375</v>
      </c>
      <c r="E6" s="56">
        <v>26.75</v>
      </c>
      <c r="F6" s="57">
        <f t="shared" ref="F6:F11" si="1">E6^2</f>
        <v>715.5625</v>
      </c>
      <c r="G6" s="57">
        <f t="shared" ref="G6:G11" si="2">E6^3</f>
        <v>19141.296875</v>
      </c>
      <c r="H6" s="57">
        <f t="shared" ref="H6:H11" si="3">E6^4</f>
        <v>512029.69140625</v>
      </c>
      <c r="I6" s="57">
        <f t="shared" ref="I6:I11" si="4">E6^5</f>
        <v>13696794.245117187</v>
      </c>
      <c r="J6" s="58">
        <f t="shared" ref="J6:J11" si="5">3.1416*F6/4</f>
        <v>562.00278749999995</v>
      </c>
      <c r="K6" s="59">
        <v>6.3999999999999997E-5</v>
      </c>
      <c r="M6" s="60"/>
      <c r="N6" s="47"/>
    </row>
    <row r="7" spans="2:14" ht="15.75" thickBot="1" x14ac:dyDescent="0.3">
      <c r="B7" s="159"/>
      <c r="C7" s="55">
        <v>30</v>
      </c>
      <c r="D7" s="56">
        <f t="shared" si="0"/>
        <v>29.375</v>
      </c>
      <c r="E7" s="56">
        <v>28.75</v>
      </c>
      <c r="F7" s="57">
        <f t="shared" si="1"/>
        <v>826.5625</v>
      </c>
      <c r="G7" s="57">
        <f t="shared" si="2"/>
        <v>23763.671875</v>
      </c>
      <c r="H7" s="57">
        <f t="shared" si="3"/>
        <v>683205.56640625</v>
      </c>
      <c r="I7" s="57">
        <f t="shared" si="4"/>
        <v>19642160.034179687</v>
      </c>
      <c r="J7" s="58">
        <f t="shared" si="5"/>
        <v>649.18218749999994</v>
      </c>
      <c r="K7" s="59">
        <v>6.0000000000000002E-5</v>
      </c>
      <c r="M7" s="47"/>
      <c r="N7" s="47"/>
    </row>
    <row r="8" spans="2:14" ht="15.75" thickBot="1" x14ac:dyDescent="0.3">
      <c r="B8" s="159"/>
      <c r="C8" s="55">
        <v>32</v>
      </c>
      <c r="D8" s="56">
        <f t="shared" si="0"/>
        <v>31.375</v>
      </c>
      <c r="E8" s="56">
        <v>30.75</v>
      </c>
      <c r="F8" s="57">
        <f t="shared" si="1"/>
        <v>945.5625</v>
      </c>
      <c r="G8" s="57">
        <f t="shared" si="2"/>
        <v>29076.046875</v>
      </c>
      <c r="H8" s="57">
        <f t="shared" si="3"/>
        <v>894088.44140625</v>
      </c>
      <c r="I8" s="57">
        <f t="shared" si="4"/>
        <v>27493219.573242187</v>
      </c>
      <c r="J8" s="58">
        <f t="shared" si="5"/>
        <v>742.64478750000001</v>
      </c>
      <c r="K8" s="59">
        <v>5.5999999999999999E-5</v>
      </c>
      <c r="N8" s="47"/>
    </row>
    <row r="9" spans="2:14" ht="15.75" thickBot="1" x14ac:dyDescent="0.3">
      <c r="B9" s="159"/>
      <c r="C9" s="55">
        <v>34</v>
      </c>
      <c r="D9" s="56">
        <f t="shared" si="0"/>
        <v>33.375</v>
      </c>
      <c r="E9" s="56">
        <v>32.75</v>
      </c>
      <c r="F9" s="57">
        <f t="shared" si="1"/>
        <v>1072.5625</v>
      </c>
      <c r="G9" s="57">
        <f t="shared" si="2"/>
        <v>35126.421875</v>
      </c>
      <c r="H9" s="57">
        <f t="shared" si="3"/>
        <v>1150390.31640625</v>
      </c>
      <c r="I9" s="57">
        <f t="shared" si="4"/>
        <v>37675282.862304687</v>
      </c>
      <c r="J9" s="58">
        <f t="shared" si="5"/>
        <v>842.39058750000004</v>
      </c>
      <c r="K9" s="59">
        <v>5.1999999999999997E-5</v>
      </c>
      <c r="N9" s="47"/>
    </row>
    <row r="10" spans="2:14" ht="15.75" thickBot="1" x14ac:dyDescent="0.3">
      <c r="B10" s="159"/>
      <c r="C10" s="55">
        <v>36</v>
      </c>
      <c r="D10" s="56">
        <f t="shared" si="0"/>
        <v>35.375</v>
      </c>
      <c r="E10" s="56">
        <v>34.75</v>
      </c>
      <c r="F10" s="57">
        <f t="shared" si="1"/>
        <v>1207.5625</v>
      </c>
      <c r="G10" s="57">
        <f t="shared" si="2"/>
        <v>41962.796875</v>
      </c>
      <c r="H10" s="57">
        <f t="shared" si="3"/>
        <v>1458207.19140625</v>
      </c>
      <c r="I10" s="57">
        <f t="shared" si="4"/>
        <v>50672699.901367187</v>
      </c>
      <c r="J10" s="58">
        <f t="shared" si="5"/>
        <v>948.41958750000003</v>
      </c>
      <c r="K10" s="59">
        <v>5.0000000000000002E-5</v>
      </c>
      <c r="M10" s="61"/>
      <c r="N10" s="47"/>
    </row>
    <row r="11" spans="2:14" ht="15.75" thickBot="1" x14ac:dyDescent="0.3">
      <c r="B11" s="159"/>
      <c r="C11" s="55">
        <v>42</v>
      </c>
      <c r="D11" s="56">
        <f t="shared" si="0"/>
        <v>41.344999999999999</v>
      </c>
      <c r="E11" s="56">
        <v>40.72</v>
      </c>
      <c r="F11" s="57">
        <f t="shared" si="1"/>
        <v>1658.1183999999998</v>
      </c>
      <c r="G11" s="57">
        <f t="shared" si="2"/>
        <v>67518.581247999988</v>
      </c>
      <c r="H11" s="57">
        <f t="shared" si="3"/>
        <v>2749356.6284185597</v>
      </c>
      <c r="I11" s="57">
        <f t="shared" si="4"/>
        <v>111953801.90920375</v>
      </c>
      <c r="J11" s="58">
        <f t="shared" si="5"/>
        <v>1302.2861913599997</v>
      </c>
      <c r="K11" s="59">
        <v>4.3999999999999999E-5</v>
      </c>
      <c r="N11" s="47"/>
    </row>
    <row r="12" spans="2:14" ht="15.75" thickBot="1" x14ac:dyDescent="0.3">
      <c r="B12" s="159"/>
      <c r="C12" s="55"/>
      <c r="D12" s="56"/>
      <c r="E12" s="56"/>
      <c r="F12" s="57"/>
      <c r="G12" s="57"/>
      <c r="H12" s="57"/>
      <c r="I12" s="57"/>
      <c r="J12" s="58"/>
      <c r="K12" s="59"/>
    </row>
    <row r="13" spans="2:14" ht="15.75" thickBot="1" x14ac:dyDescent="0.3">
      <c r="B13" s="159"/>
      <c r="C13" s="55"/>
      <c r="D13" s="56"/>
      <c r="E13" s="56"/>
      <c r="F13" s="57"/>
      <c r="G13" s="57"/>
      <c r="H13" s="57"/>
      <c r="I13" s="57"/>
      <c r="J13" s="58"/>
      <c r="K13" s="59"/>
    </row>
    <row r="14" spans="2:14" ht="15.75" thickBot="1" x14ac:dyDescent="0.3">
      <c r="B14" s="159"/>
      <c r="C14" s="55"/>
      <c r="D14" s="56"/>
      <c r="E14" s="56"/>
      <c r="F14" s="57"/>
      <c r="G14" s="57"/>
      <c r="H14" s="57"/>
      <c r="I14" s="57"/>
      <c r="J14" s="58"/>
      <c r="K14" s="55"/>
    </row>
    <row r="15" spans="2:14" ht="15.75" thickBot="1" x14ac:dyDescent="0.3">
      <c r="B15" s="159"/>
      <c r="C15" s="55"/>
      <c r="D15" s="56"/>
      <c r="E15" s="56" t="s">
        <v>108</v>
      </c>
      <c r="F15" s="57"/>
      <c r="G15" s="57"/>
      <c r="H15" s="57"/>
      <c r="I15" s="57"/>
      <c r="J15" s="58"/>
      <c r="K15" s="55"/>
    </row>
    <row r="16" spans="2:14" ht="15.75" thickBot="1" x14ac:dyDescent="0.3">
      <c r="B16" s="159">
        <v>40</v>
      </c>
      <c r="C16" s="55">
        <v>8</v>
      </c>
      <c r="D16" s="56">
        <v>8.625</v>
      </c>
      <c r="E16" s="56">
        <v>7.9809999999999999</v>
      </c>
      <c r="F16" s="57">
        <f>E16^2</f>
        <v>63.696360999999996</v>
      </c>
      <c r="G16" s="57">
        <f>E16^3</f>
        <v>508.36065714099993</v>
      </c>
      <c r="H16" s="57">
        <f>E16^4</f>
        <v>4057.2264046423206</v>
      </c>
      <c r="I16" s="57">
        <f>E16^5</f>
        <v>32380.723935450362</v>
      </c>
      <c r="J16" s="58">
        <f>3.1416*F16/4</f>
        <v>50.027121929399996</v>
      </c>
      <c r="K16" s="59">
        <v>2.0000000000000001E-4</v>
      </c>
      <c r="M16" s="62"/>
      <c r="N16" s="63"/>
    </row>
    <row r="17" spans="2:14" ht="15.75" thickBot="1" x14ac:dyDescent="0.3">
      <c r="B17" s="159"/>
      <c r="C17" s="55">
        <v>10</v>
      </c>
      <c r="D17" s="56" t="s">
        <v>109</v>
      </c>
      <c r="E17" s="56" t="s">
        <v>110</v>
      </c>
      <c r="F17" s="57">
        <f t="shared" ref="F17:F27" si="6">E17^2</f>
        <v>100.40039999999999</v>
      </c>
      <c r="G17" s="57">
        <f t="shared" ref="G17:G27" si="7">E17^3</f>
        <v>1006.0120079999998</v>
      </c>
      <c r="H17" s="57">
        <f t="shared" ref="H17:H27" si="8">E17^4</f>
        <v>10080.240320159997</v>
      </c>
      <c r="I17" s="57">
        <f t="shared" ref="I17:I27" si="9">E17^5</f>
        <v>101004.00800800316</v>
      </c>
      <c r="J17" s="58">
        <f t="shared" ref="J17:J27" si="10">3.1416*F17/4</f>
        <v>78.854474159999995</v>
      </c>
      <c r="K17" s="59">
        <v>1.75E-4</v>
      </c>
      <c r="M17" s="62"/>
      <c r="N17" s="63"/>
    </row>
    <row r="18" spans="2:14" ht="15.75" thickBot="1" x14ac:dyDescent="0.3">
      <c r="B18" s="159"/>
      <c r="C18" s="55">
        <v>12</v>
      </c>
      <c r="D18" s="56" t="s">
        <v>111</v>
      </c>
      <c r="E18" s="56">
        <v>11.938000000000001</v>
      </c>
      <c r="F18" s="57">
        <f t="shared" si="6"/>
        <v>142.51584400000002</v>
      </c>
      <c r="G18" s="57">
        <f t="shared" si="7"/>
        <v>1701.3541456720002</v>
      </c>
      <c r="H18" s="57">
        <f t="shared" si="8"/>
        <v>20310.76579103234</v>
      </c>
      <c r="I18" s="57">
        <f t="shared" si="9"/>
        <v>242469.92201334407</v>
      </c>
      <c r="J18" s="58">
        <f t="shared" si="10"/>
        <v>111.93194387760001</v>
      </c>
      <c r="K18" s="59">
        <v>1.4999999999999999E-4</v>
      </c>
      <c r="M18" s="160" t="s">
        <v>113</v>
      </c>
      <c r="N18" s="160"/>
    </row>
    <row r="19" spans="2:14" ht="15.75" thickBot="1" x14ac:dyDescent="0.3">
      <c r="B19" s="159"/>
      <c r="C19" s="55">
        <v>14</v>
      </c>
      <c r="D19" s="56">
        <v>14</v>
      </c>
      <c r="E19" s="56">
        <v>13.124000000000001</v>
      </c>
      <c r="F19" s="57">
        <f t="shared" si="6"/>
        <v>172.23937600000002</v>
      </c>
      <c r="G19" s="57">
        <f t="shared" si="7"/>
        <v>2260.4695706240004</v>
      </c>
      <c r="H19" s="57">
        <f t="shared" si="8"/>
        <v>29666.402644869384</v>
      </c>
      <c r="I19" s="57">
        <f t="shared" si="9"/>
        <v>389341.86831126583</v>
      </c>
      <c r="J19" s="58">
        <f t="shared" si="10"/>
        <v>135.27680591040001</v>
      </c>
      <c r="K19" s="59">
        <v>1.2999999999999999E-4</v>
      </c>
      <c r="M19" s="160"/>
      <c r="N19" s="160"/>
    </row>
    <row r="20" spans="2:14" ht="15.75" thickBot="1" x14ac:dyDescent="0.3">
      <c r="B20" s="159"/>
      <c r="C20" s="55">
        <v>16</v>
      </c>
      <c r="D20" s="56">
        <v>16</v>
      </c>
      <c r="E20" s="56">
        <v>15</v>
      </c>
      <c r="F20" s="57">
        <f t="shared" si="6"/>
        <v>225</v>
      </c>
      <c r="G20" s="57">
        <f t="shared" si="7"/>
        <v>3375</v>
      </c>
      <c r="H20" s="57">
        <f t="shared" si="8"/>
        <v>50625</v>
      </c>
      <c r="I20" s="57">
        <f t="shared" si="9"/>
        <v>759375</v>
      </c>
      <c r="J20" s="58">
        <f t="shared" si="10"/>
        <v>176.715</v>
      </c>
      <c r="K20" s="59">
        <v>1.11E-4</v>
      </c>
      <c r="M20" s="160"/>
      <c r="N20" s="160"/>
    </row>
    <row r="21" spans="2:14" ht="15.75" thickBot="1" x14ac:dyDescent="0.3">
      <c r="B21" s="159"/>
      <c r="C21" s="55">
        <v>18</v>
      </c>
      <c r="D21" s="56">
        <v>18</v>
      </c>
      <c r="E21" s="56">
        <v>16.876000000000001</v>
      </c>
      <c r="F21" s="57">
        <f t="shared" si="6"/>
        <v>284.79937600000005</v>
      </c>
      <c r="G21" s="57">
        <f t="shared" si="7"/>
        <v>4806.274269376001</v>
      </c>
      <c r="H21" s="57">
        <f t="shared" si="8"/>
        <v>81110.684569989404</v>
      </c>
      <c r="I21" s="57">
        <f t="shared" si="9"/>
        <v>1368823.9128031412</v>
      </c>
      <c r="J21" s="58">
        <f t="shared" si="10"/>
        <v>223.68142991040003</v>
      </c>
      <c r="K21" s="59">
        <v>9.5000000000000005E-5</v>
      </c>
      <c r="M21" s="160"/>
      <c r="N21" s="160"/>
    </row>
    <row r="22" spans="2:14" ht="15.75" thickBot="1" x14ac:dyDescent="0.3">
      <c r="B22" s="159"/>
      <c r="C22" s="55">
        <v>20</v>
      </c>
      <c r="D22" s="56">
        <v>20</v>
      </c>
      <c r="E22" s="56">
        <v>18.814</v>
      </c>
      <c r="F22" s="57">
        <f t="shared" si="6"/>
        <v>353.96659599999998</v>
      </c>
      <c r="G22" s="57">
        <f t="shared" si="7"/>
        <v>6659.5275371439993</v>
      </c>
      <c r="H22" s="57">
        <f t="shared" si="8"/>
        <v>125292.35108382721</v>
      </c>
      <c r="I22" s="57">
        <f t="shared" si="9"/>
        <v>2357250.293291125</v>
      </c>
      <c r="J22" s="58">
        <f t="shared" si="10"/>
        <v>278.00536449839996</v>
      </c>
      <c r="K22" s="59">
        <v>8.5000000000000006E-5</v>
      </c>
      <c r="M22" s="62"/>
      <c r="N22" s="63"/>
    </row>
    <row r="23" spans="2:14" ht="15.75" thickBot="1" x14ac:dyDescent="0.3">
      <c r="B23" s="159"/>
      <c r="C23" s="55">
        <v>24</v>
      </c>
      <c r="D23" s="56">
        <v>24</v>
      </c>
      <c r="E23" s="56">
        <v>22.626000000000001</v>
      </c>
      <c r="F23" s="57">
        <f t="shared" si="6"/>
        <v>511.93587600000006</v>
      </c>
      <c r="G23" s="57">
        <f t="shared" si="7"/>
        <v>11583.061130376002</v>
      </c>
      <c r="H23" s="57">
        <f t="shared" si="8"/>
        <v>262078.34113588743</v>
      </c>
      <c r="I23" s="57">
        <f t="shared" si="9"/>
        <v>5929784.5465405891</v>
      </c>
      <c r="J23" s="58">
        <f t="shared" si="10"/>
        <v>402.07443701040006</v>
      </c>
      <c r="K23" s="59">
        <v>6.9999999999999994E-5</v>
      </c>
      <c r="M23" s="62"/>
      <c r="N23" s="63"/>
    </row>
    <row r="24" spans="2:14" ht="15.75" thickBot="1" x14ac:dyDescent="0.3">
      <c r="B24" s="159"/>
      <c r="C24" s="55">
        <v>32</v>
      </c>
      <c r="D24" s="56">
        <f>E24+0.75</f>
        <v>31.373999999999999</v>
      </c>
      <c r="E24" s="56">
        <v>30.623999999999999</v>
      </c>
      <c r="F24" s="57">
        <f t="shared" si="6"/>
        <v>937.82937599999991</v>
      </c>
      <c r="G24" s="57">
        <f t="shared" si="7"/>
        <v>28720.086810623998</v>
      </c>
      <c r="H24" s="57">
        <f t="shared" si="8"/>
        <v>879523.9384885492</v>
      </c>
      <c r="I24" s="57">
        <f t="shared" si="9"/>
        <v>26934541.092273328</v>
      </c>
      <c r="J24" s="58">
        <f t="shared" si="10"/>
        <v>736.57119191039988</v>
      </c>
      <c r="K24" s="59">
        <v>5.5000000000000002E-5</v>
      </c>
      <c r="M24" s="62"/>
      <c r="N24" s="63"/>
    </row>
    <row r="25" spans="2:14" ht="15.75" thickBot="1" x14ac:dyDescent="0.3">
      <c r="B25" s="159"/>
      <c r="C25" s="55">
        <v>34</v>
      </c>
      <c r="D25" s="56">
        <f>E25+0.75</f>
        <v>33.374000000000002</v>
      </c>
      <c r="E25" s="56">
        <v>32.624000000000002</v>
      </c>
      <c r="F25" s="57">
        <f t="shared" si="6"/>
        <v>1064.3253760000002</v>
      </c>
      <c r="G25" s="57">
        <f t="shared" si="7"/>
        <v>34722.551066624008</v>
      </c>
      <c r="H25" s="57">
        <f t="shared" si="8"/>
        <v>1132788.5059975418</v>
      </c>
      <c r="I25" s="57">
        <f t="shared" si="9"/>
        <v>36956092.219663806</v>
      </c>
      <c r="J25" s="58">
        <f t="shared" si="10"/>
        <v>835.92115031040021</v>
      </c>
      <c r="K25" s="59">
        <v>5.1999999999999997E-5</v>
      </c>
      <c r="M25" s="62"/>
      <c r="N25" s="63"/>
    </row>
    <row r="26" spans="2:14" ht="15.75" thickBot="1" x14ac:dyDescent="0.3">
      <c r="B26" s="159"/>
      <c r="C26" s="55">
        <v>36</v>
      </c>
      <c r="D26" s="56">
        <f>E26+0.75</f>
        <v>35.25</v>
      </c>
      <c r="E26" s="56">
        <v>34.5</v>
      </c>
      <c r="F26" s="57">
        <f t="shared" si="6"/>
        <v>1190.25</v>
      </c>
      <c r="G26" s="57">
        <f t="shared" si="7"/>
        <v>41063.625</v>
      </c>
      <c r="H26" s="57">
        <f t="shared" si="8"/>
        <v>1416695.0625</v>
      </c>
      <c r="I26" s="57">
        <f t="shared" si="9"/>
        <v>48875979.65625</v>
      </c>
      <c r="J26" s="58">
        <f t="shared" si="10"/>
        <v>934.82235000000003</v>
      </c>
      <c r="K26" s="59">
        <v>5.0000000000000002E-5</v>
      </c>
      <c r="M26" s="62"/>
      <c r="N26" s="63"/>
    </row>
    <row r="27" spans="2:14" ht="15.75" thickBot="1" x14ac:dyDescent="0.3">
      <c r="B27" s="159"/>
      <c r="C27" s="55">
        <v>42</v>
      </c>
      <c r="D27" s="56">
        <f>E27+0.75</f>
        <v>41.25</v>
      </c>
      <c r="E27" s="56">
        <v>40.5</v>
      </c>
      <c r="F27" s="57">
        <f t="shared" si="6"/>
        <v>1640.25</v>
      </c>
      <c r="G27" s="57">
        <f t="shared" si="7"/>
        <v>66430.125</v>
      </c>
      <c r="H27" s="57">
        <f t="shared" si="8"/>
        <v>2690420.0625</v>
      </c>
      <c r="I27" s="57">
        <f t="shared" si="9"/>
        <v>108962012.53125</v>
      </c>
      <c r="J27" s="58">
        <f t="shared" si="10"/>
        <v>1288.25235</v>
      </c>
      <c r="K27" s="59">
        <v>4.3999999999999999E-5</v>
      </c>
      <c r="M27" s="62"/>
      <c r="N27" s="63"/>
    </row>
    <row r="28" spans="2:14" ht="15.75" thickBot="1" x14ac:dyDescent="0.3">
      <c r="B28" s="159">
        <v>60</v>
      </c>
      <c r="C28" s="55">
        <v>8</v>
      </c>
      <c r="D28" s="56"/>
      <c r="E28" s="56"/>
      <c r="F28" s="57"/>
      <c r="G28" s="57"/>
      <c r="H28" s="57"/>
      <c r="I28" s="57"/>
      <c r="J28" s="55"/>
      <c r="K28" s="55"/>
    </row>
    <row r="29" spans="2:14" ht="15.75" thickBot="1" x14ac:dyDescent="0.3">
      <c r="B29" s="159"/>
      <c r="C29" s="55">
        <v>10</v>
      </c>
      <c r="D29" s="56"/>
      <c r="E29" s="56"/>
      <c r="F29" s="57"/>
      <c r="G29" s="57"/>
      <c r="H29" s="57"/>
      <c r="I29" s="57"/>
      <c r="J29" s="55"/>
      <c r="K29" s="55"/>
    </row>
    <row r="30" spans="2:14" ht="15.75" thickBot="1" x14ac:dyDescent="0.3">
      <c r="B30" s="159"/>
      <c r="C30" s="55">
        <v>12</v>
      </c>
      <c r="D30" s="56"/>
      <c r="E30" s="56"/>
      <c r="F30" s="57"/>
      <c r="G30" s="57"/>
      <c r="H30" s="57"/>
      <c r="I30" s="57"/>
      <c r="J30" s="55"/>
      <c r="K30" s="55"/>
    </row>
    <row r="31" spans="2:14" ht="15.75" thickBot="1" x14ac:dyDescent="0.3">
      <c r="B31" s="159"/>
      <c r="C31" s="55">
        <v>14</v>
      </c>
      <c r="D31" s="56"/>
      <c r="E31" s="56"/>
      <c r="F31" s="57"/>
      <c r="G31" s="57"/>
      <c r="H31" s="57"/>
      <c r="I31" s="57"/>
      <c r="J31" s="55"/>
      <c r="K31" s="55"/>
    </row>
    <row r="32" spans="2:14" ht="15.75" thickBot="1" x14ac:dyDescent="0.3">
      <c r="B32" s="159"/>
      <c r="C32" s="55">
        <v>16</v>
      </c>
      <c r="D32" s="56"/>
      <c r="E32" s="56"/>
      <c r="F32" s="57"/>
      <c r="G32" s="57"/>
      <c r="H32" s="57"/>
      <c r="I32" s="57"/>
      <c r="J32" s="55"/>
      <c r="K32" s="55"/>
    </row>
    <row r="33" spans="2:11" ht="15.75" thickBot="1" x14ac:dyDescent="0.3">
      <c r="B33" s="159"/>
      <c r="C33" s="55">
        <v>18</v>
      </c>
      <c r="D33" s="56"/>
      <c r="E33" s="56"/>
      <c r="F33" s="57"/>
      <c r="G33" s="57"/>
      <c r="H33" s="57"/>
      <c r="I33" s="57"/>
      <c r="J33" s="55"/>
      <c r="K33" s="55"/>
    </row>
    <row r="34" spans="2:11" ht="15.75" thickBot="1" x14ac:dyDescent="0.3">
      <c r="B34" s="159"/>
      <c r="C34" s="55">
        <v>20</v>
      </c>
      <c r="D34" s="56"/>
      <c r="E34" s="56"/>
      <c r="F34" s="57"/>
      <c r="G34" s="57"/>
      <c r="H34" s="57"/>
      <c r="I34" s="57"/>
      <c r="J34" s="55"/>
      <c r="K34" s="55"/>
    </row>
    <row r="35" spans="2:11" ht="15.75" thickBot="1" x14ac:dyDescent="0.3">
      <c r="B35" s="159"/>
      <c r="C35" s="55">
        <v>22</v>
      </c>
      <c r="D35" s="56"/>
      <c r="E35" s="56"/>
      <c r="F35" s="57"/>
      <c r="G35" s="57"/>
      <c r="H35" s="57"/>
      <c r="I35" s="57"/>
      <c r="J35" s="55"/>
      <c r="K35" s="55"/>
    </row>
    <row r="36" spans="2:11" ht="15.75" thickBot="1" x14ac:dyDescent="0.3">
      <c r="B36" s="159"/>
      <c r="C36" s="55">
        <v>24</v>
      </c>
      <c r="D36" s="56"/>
      <c r="E36" s="56"/>
      <c r="F36" s="57"/>
      <c r="G36" s="57"/>
      <c r="H36" s="57"/>
      <c r="I36" s="57"/>
      <c r="J36" s="55"/>
      <c r="K36" s="55"/>
    </row>
    <row r="37" spans="2:11" ht="15.75" thickBot="1" x14ac:dyDescent="0.3">
      <c r="B37" s="159"/>
      <c r="C37" s="55"/>
      <c r="D37" s="56"/>
      <c r="E37" s="56"/>
      <c r="F37" s="57"/>
      <c r="G37" s="57"/>
      <c r="H37" s="57"/>
      <c r="I37" s="57"/>
      <c r="J37" s="55"/>
      <c r="K37" s="55"/>
    </row>
    <row r="38" spans="2:11" ht="15.75" thickBot="1" x14ac:dyDescent="0.3">
      <c r="B38" s="159">
        <v>80</v>
      </c>
      <c r="C38" s="55">
        <v>8</v>
      </c>
      <c r="D38" s="56"/>
      <c r="E38" s="56"/>
      <c r="F38" s="57"/>
      <c r="G38" s="57"/>
      <c r="H38" s="57"/>
      <c r="I38" s="57"/>
      <c r="J38" s="55"/>
      <c r="K38" s="55"/>
    </row>
    <row r="39" spans="2:11" ht="15.75" thickBot="1" x14ac:dyDescent="0.3">
      <c r="B39" s="159"/>
      <c r="C39" s="55">
        <v>10</v>
      </c>
      <c r="D39" s="56"/>
      <c r="E39" s="56"/>
      <c r="F39" s="57"/>
      <c r="G39" s="57"/>
      <c r="H39" s="57"/>
      <c r="I39" s="57"/>
      <c r="J39" s="55"/>
      <c r="K39" s="55"/>
    </row>
    <row r="40" spans="2:11" ht="15.75" thickBot="1" x14ac:dyDescent="0.3">
      <c r="B40" s="159"/>
      <c r="C40" s="55">
        <v>12</v>
      </c>
      <c r="D40" s="56"/>
      <c r="E40" s="56"/>
      <c r="F40" s="57"/>
      <c r="G40" s="57"/>
      <c r="H40" s="57"/>
      <c r="I40" s="57"/>
      <c r="J40" s="55"/>
      <c r="K40" s="55"/>
    </row>
    <row r="41" spans="2:11" ht="15.75" thickBot="1" x14ac:dyDescent="0.3">
      <c r="B41" s="159"/>
      <c r="C41" s="55">
        <v>14</v>
      </c>
      <c r="D41" s="56"/>
      <c r="E41" s="56"/>
      <c r="F41" s="57"/>
      <c r="G41" s="57"/>
      <c r="H41" s="57"/>
      <c r="I41" s="57"/>
      <c r="J41" s="55"/>
      <c r="K41" s="55"/>
    </row>
    <row r="42" spans="2:11" ht="15.75" thickBot="1" x14ac:dyDescent="0.3">
      <c r="B42" s="159"/>
      <c r="C42" s="55">
        <v>16</v>
      </c>
      <c r="D42" s="56"/>
      <c r="E42" s="56"/>
      <c r="F42" s="57"/>
      <c r="G42" s="57"/>
      <c r="H42" s="57"/>
      <c r="I42" s="57"/>
      <c r="J42" s="55"/>
      <c r="K42" s="55"/>
    </row>
    <row r="43" spans="2:11" ht="15.75" thickBot="1" x14ac:dyDescent="0.3">
      <c r="B43" s="159"/>
      <c r="C43" s="55">
        <v>18</v>
      </c>
      <c r="D43" s="56"/>
      <c r="E43" s="56"/>
      <c r="F43" s="57"/>
      <c r="G43" s="57"/>
      <c r="H43" s="57"/>
      <c r="I43" s="57"/>
      <c r="J43" s="55"/>
      <c r="K43" s="55"/>
    </row>
    <row r="44" spans="2:11" ht="15.75" thickBot="1" x14ac:dyDescent="0.3">
      <c r="B44" s="159"/>
      <c r="C44" s="55">
        <v>20</v>
      </c>
      <c r="D44" s="56"/>
      <c r="E44" s="56"/>
      <c r="F44" s="57"/>
      <c r="G44" s="57"/>
      <c r="H44" s="57"/>
      <c r="I44" s="57"/>
      <c r="J44" s="55"/>
      <c r="K44" s="55"/>
    </row>
    <row r="45" spans="2:11" ht="15.75" thickBot="1" x14ac:dyDescent="0.3">
      <c r="B45" s="159"/>
      <c r="C45" s="55">
        <v>22</v>
      </c>
      <c r="D45" s="56"/>
      <c r="E45" s="56"/>
      <c r="F45" s="57"/>
      <c r="G45" s="57"/>
      <c r="H45" s="57"/>
      <c r="I45" s="57"/>
      <c r="J45" s="55"/>
      <c r="K45" s="55"/>
    </row>
    <row r="46" spans="2:11" ht="15.75" thickBot="1" x14ac:dyDescent="0.3">
      <c r="B46" s="159"/>
      <c r="C46" s="55">
        <v>24</v>
      </c>
      <c r="D46" s="56"/>
      <c r="E46" s="56"/>
      <c r="F46" s="57"/>
      <c r="G46" s="57"/>
      <c r="H46" s="57"/>
      <c r="I46" s="57"/>
      <c r="J46" s="55"/>
      <c r="K46" s="55"/>
    </row>
    <row r="47" spans="2:11" ht="15.75" thickBot="1" x14ac:dyDescent="0.3">
      <c r="B47" s="159"/>
      <c r="C47" s="55"/>
      <c r="D47" s="56"/>
      <c r="E47" s="56"/>
      <c r="F47" s="57"/>
      <c r="G47" s="57"/>
      <c r="H47" s="57"/>
      <c r="I47" s="57"/>
      <c r="J47" s="55"/>
      <c r="K47" s="55"/>
    </row>
    <row r="51" spans="2:2" x14ac:dyDescent="0.25">
      <c r="B51" s="22" t="s">
        <v>112</v>
      </c>
    </row>
  </sheetData>
  <mergeCells count="6">
    <mergeCell ref="M18:N21"/>
    <mergeCell ref="F3:I3"/>
    <mergeCell ref="B6:B15"/>
    <mergeCell ref="B16:B27"/>
    <mergeCell ref="B28:B37"/>
    <mergeCell ref="B38:B47"/>
  </mergeCells>
  <pageMargins left="0.511811024" right="0.511811024" top="0.78740157499999996" bottom="0.78740157499999996" header="0.31496062000000002" footer="0.31496062000000002"/>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1:N34"/>
  <sheetViews>
    <sheetView workbookViewId="0">
      <selection activeCell="H7" sqref="H7"/>
    </sheetView>
  </sheetViews>
  <sheetFormatPr defaultRowHeight="15" x14ac:dyDescent="0.25"/>
  <cols>
    <col min="1" max="11" width="9.140625" style="3"/>
    <col min="12" max="12" width="9.5703125" style="3" bestFit="1" customWidth="1"/>
    <col min="13" max="13" width="13.28515625" style="3" customWidth="1"/>
    <col min="14" max="267" width="9.140625" style="3"/>
    <col min="268" max="268" width="9.5703125" style="3" bestFit="1" customWidth="1"/>
    <col min="269" max="269" width="13.28515625" style="3" customWidth="1"/>
    <col min="270" max="523" width="9.140625" style="3"/>
    <col min="524" max="524" width="9.5703125" style="3" bestFit="1" customWidth="1"/>
    <col min="525" max="525" width="13.28515625" style="3" customWidth="1"/>
    <col min="526" max="779" width="9.140625" style="3"/>
    <col min="780" max="780" width="9.5703125" style="3" bestFit="1" customWidth="1"/>
    <col min="781" max="781" width="13.28515625" style="3" customWidth="1"/>
    <col min="782" max="1035" width="9.140625" style="3"/>
    <col min="1036" max="1036" width="9.5703125" style="3" bestFit="1" customWidth="1"/>
    <col min="1037" max="1037" width="13.28515625" style="3" customWidth="1"/>
    <col min="1038" max="1291" width="9.140625" style="3"/>
    <col min="1292" max="1292" width="9.5703125" style="3" bestFit="1" customWidth="1"/>
    <col min="1293" max="1293" width="13.28515625" style="3" customWidth="1"/>
    <col min="1294" max="1547" width="9.140625" style="3"/>
    <col min="1548" max="1548" width="9.5703125" style="3" bestFit="1" customWidth="1"/>
    <col min="1549" max="1549" width="13.28515625" style="3" customWidth="1"/>
    <col min="1550" max="1803" width="9.140625" style="3"/>
    <col min="1804" max="1804" width="9.5703125" style="3" bestFit="1" customWidth="1"/>
    <col min="1805" max="1805" width="13.28515625" style="3" customWidth="1"/>
    <col min="1806" max="2059" width="9.140625" style="3"/>
    <col min="2060" max="2060" width="9.5703125" style="3" bestFit="1" customWidth="1"/>
    <col min="2061" max="2061" width="13.28515625" style="3" customWidth="1"/>
    <col min="2062" max="2315" width="9.140625" style="3"/>
    <col min="2316" max="2316" width="9.5703125" style="3" bestFit="1" customWidth="1"/>
    <col min="2317" max="2317" width="13.28515625" style="3" customWidth="1"/>
    <col min="2318" max="2571" width="9.140625" style="3"/>
    <col min="2572" max="2572" width="9.5703125" style="3" bestFit="1" customWidth="1"/>
    <col min="2573" max="2573" width="13.28515625" style="3" customWidth="1"/>
    <col min="2574" max="2827" width="9.140625" style="3"/>
    <col min="2828" max="2828" width="9.5703125" style="3" bestFit="1" customWidth="1"/>
    <col min="2829" max="2829" width="13.28515625" style="3" customWidth="1"/>
    <col min="2830" max="3083" width="9.140625" style="3"/>
    <col min="3084" max="3084" width="9.5703125" style="3" bestFit="1" customWidth="1"/>
    <col min="3085" max="3085" width="13.28515625" style="3" customWidth="1"/>
    <col min="3086" max="3339" width="9.140625" style="3"/>
    <col min="3340" max="3340" width="9.5703125" style="3" bestFit="1" customWidth="1"/>
    <col min="3341" max="3341" width="13.28515625" style="3" customWidth="1"/>
    <col min="3342" max="3595" width="9.140625" style="3"/>
    <col min="3596" max="3596" width="9.5703125" style="3" bestFit="1" customWidth="1"/>
    <col min="3597" max="3597" width="13.28515625" style="3" customWidth="1"/>
    <col min="3598" max="3851" width="9.140625" style="3"/>
    <col min="3852" max="3852" width="9.5703125" style="3" bestFit="1" customWidth="1"/>
    <col min="3853" max="3853" width="13.28515625" style="3" customWidth="1"/>
    <col min="3854" max="4107" width="9.140625" style="3"/>
    <col min="4108" max="4108" width="9.5703125" style="3" bestFit="1" customWidth="1"/>
    <col min="4109" max="4109" width="13.28515625" style="3" customWidth="1"/>
    <col min="4110" max="4363" width="9.140625" style="3"/>
    <col min="4364" max="4364" width="9.5703125" style="3" bestFit="1" customWidth="1"/>
    <col min="4365" max="4365" width="13.28515625" style="3" customWidth="1"/>
    <col min="4366" max="4619" width="9.140625" style="3"/>
    <col min="4620" max="4620" width="9.5703125" style="3" bestFit="1" customWidth="1"/>
    <col min="4621" max="4621" width="13.28515625" style="3" customWidth="1"/>
    <col min="4622" max="4875" width="9.140625" style="3"/>
    <col min="4876" max="4876" width="9.5703125" style="3" bestFit="1" customWidth="1"/>
    <col min="4877" max="4877" width="13.28515625" style="3" customWidth="1"/>
    <col min="4878" max="5131" width="9.140625" style="3"/>
    <col min="5132" max="5132" width="9.5703125" style="3" bestFit="1" customWidth="1"/>
    <col min="5133" max="5133" width="13.28515625" style="3" customWidth="1"/>
    <col min="5134" max="5387" width="9.140625" style="3"/>
    <col min="5388" max="5388" width="9.5703125" style="3" bestFit="1" customWidth="1"/>
    <col min="5389" max="5389" width="13.28515625" style="3" customWidth="1"/>
    <col min="5390" max="5643" width="9.140625" style="3"/>
    <col min="5644" max="5644" width="9.5703125" style="3" bestFit="1" customWidth="1"/>
    <col min="5645" max="5645" width="13.28515625" style="3" customWidth="1"/>
    <col min="5646" max="5899" width="9.140625" style="3"/>
    <col min="5900" max="5900" width="9.5703125" style="3" bestFit="1" customWidth="1"/>
    <col min="5901" max="5901" width="13.28515625" style="3" customWidth="1"/>
    <col min="5902" max="6155" width="9.140625" style="3"/>
    <col min="6156" max="6156" width="9.5703125" style="3" bestFit="1" customWidth="1"/>
    <col min="6157" max="6157" width="13.28515625" style="3" customWidth="1"/>
    <col min="6158" max="6411" width="9.140625" style="3"/>
    <col min="6412" max="6412" width="9.5703125" style="3" bestFit="1" customWidth="1"/>
    <col min="6413" max="6413" width="13.28515625" style="3" customWidth="1"/>
    <col min="6414" max="6667" width="9.140625" style="3"/>
    <col min="6668" max="6668" width="9.5703125" style="3" bestFit="1" customWidth="1"/>
    <col min="6669" max="6669" width="13.28515625" style="3" customWidth="1"/>
    <col min="6670" max="6923" width="9.140625" style="3"/>
    <col min="6924" max="6924" width="9.5703125" style="3" bestFit="1" customWidth="1"/>
    <col min="6925" max="6925" width="13.28515625" style="3" customWidth="1"/>
    <col min="6926" max="7179" width="9.140625" style="3"/>
    <col min="7180" max="7180" width="9.5703125" style="3" bestFit="1" customWidth="1"/>
    <col min="7181" max="7181" width="13.28515625" style="3" customWidth="1"/>
    <col min="7182" max="7435" width="9.140625" style="3"/>
    <col min="7436" max="7436" width="9.5703125" style="3" bestFit="1" customWidth="1"/>
    <col min="7437" max="7437" width="13.28515625" style="3" customWidth="1"/>
    <col min="7438" max="7691" width="9.140625" style="3"/>
    <col min="7692" max="7692" width="9.5703125" style="3" bestFit="1" customWidth="1"/>
    <col min="7693" max="7693" width="13.28515625" style="3" customWidth="1"/>
    <col min="7694" max="7947" width="9.140625" style="3"/>
    <col min="7948" max="7948" width="9.5703125" style="3" bestFit="1" customWidth="1"/>
    <col min="7949" max="7949" width="13.28515625" style="3" customWidth="1"/>
    <col min="7950" max="8203" width="9.140625" style="3"/>
    <col min="8204" max="8204" width="9.5703125" style="3" bestFit="1" customWidth="1"/>
    <col min="8205" max="8205" width="13.28515625" style="3" customWidth="1"/>
    <col min="8206" max="8459" width="9.140625" style="3"/>
    <col min="8460" max="8460" width="9.5703125" style="3" bestFit="1" customWidth="1"/>
    <col min="8461" max="8461" width="13.28515625" style="3" customWidth="1"/>
    <col min="8462" max="8715" width="9.140625" style="3"/>
    <col min="8716" max="8716" width="9.5703125" style="3" bestFit="1" customWidth="1"/>
    <col min="8717" max="8717" width="13.28515625" style="3" customWidth="1"/>
    <col min="8718" max="8971" width="9.140625" style="3"/>
    <col min="8972" max="8972" width="9.5703125" style="3" bestFit="1" customWidth="1"/>
    <col min="8973" max="8973" width="13.28515625" style="3" customWidth="1"/>
    <col min="8974" max="9227" width="9.140625" style="3"/>
    <col min="9228" max="9228" width="9.5703125" style="3" bestFit="1" customWidth="1"/>
    <col min="9229" max="9229" width="13.28515625" style="3" customWidth="1"/>
    <col min="9230" max="9483" width="9.140625" style="3"/>
    <col min="9484" max="9484" width="9.5703125" style="3" bestFit="1" customWidth="1"/>
    <col min="9485" max="9485" width="13.28515625" style="3" customWidth="1"/>
    <col min="9486" max="9739" width="9.140625" style="3"/>
    <col min="9740" max="9740" width="9.5703125" style="3" bestFit="1" customWidth="1"/>
    <col min="9741" max="9741" width="13.28515625" style="3" customWidth="1"/>
    <col min="9742" max="9995" width="9.140625" style="3"/>
    <col min="9996" max="9996" width="9.5703125" style="3" bestFit="1" customWidth="1"/>
    <col min="9997" max="9997" width="13.28515625" style="3" customWidth="1"/>
    <col min="9998" max="10251" width="9.140625" style="3"/>
    <col min="10252" max="10252" width="9.5703125" style="3" bestFit="1" customWidth="1"/>
    <col min="10253" max="10253" width="13.28515625" style="3" customWidth="1"/>
    <col min="10254" max="10507" width="9.140625" style="3"/>
    <col min="10508" max="10508" width="9.5703125" style="3" bestFit="1" customWidth="1"/>
    <col min="10509" max="10509" width="13.28515625" style="3" customWidth="1"/>
    <col min="10510" max="10763" width="9.140625" style="3"/>
    <col min="10764" max="10764" width="9.5703125" style="3" bestFit="1" customWidth="1"/>
    <col min="10765" max="10765" width="13.28515625" style="3" customWidth="1"/>
    <col min="10766" max="11019" width="9.140625" style="3"/>
    <col min="11020" max="11020" width="9.5703125" style="3" bestFit="1" customWidth="1"/>
    <col min="11021" max="11021" width="13.28515625" style="3" customWidth="1"/>
    <col min="11022" max="11275" width="9.140625" style="3"/>
    <col min="11276" max="11276" width="9.5703125" style="3" bestFit="1" customWidth="1"/>
    <col min="11277" max="11277" width="13.28515625" style="3" customWidth="1"/>
    <col min="11278" max="11531" width="9.140625" style="3"/>
    <col min="11532" max="11532" width="9.5703125" style="3" bestFit="1" customWidth="1"/>
    <col min="11533" max="11533" width="13.28515625" style="3" customWidth="1"/>
    <col min="11534" max="11787" width="9.140625" style="3"/>
    <col min="11788" max="11788" width="9.5703125" style="3" bestFit="1" customWidth="1"/>
    <col min="11789" max="11789" width="13.28515625" style="3" customWidth="1"/>
    <col min="11790" max="12043" width="9.140625" style="3"/>
    <col min="12044" max="12044" width="9.5703125" style="3" bestFit="1" customWidth="1"/>
    <col min="12045" max="12045" width="13.28515625" style="3" customWidth="1"/>
    <col min="12046" max="12299" width="9.140625" style="3"/>
    <col min="12300" max="12300" width="9.5703125" style="3" bestFit="1" customWidth="1"/>
    <col min="12301" max="12301" width="13.28515625" style="3" customWidth="1"/>
    <col min="12302" max="12555" width="9.140625" style="3"/>
    <col min="12556" max="12556" width="9.5703125" style="3" bestFit="1" customWidth="1"/>
    <col min="12557" max="12557" width="13.28515625" style="3" customWidth="1"/>
    <col min="12558" max="12811" width="9.140625" style="3"/>
    <col min="12812" max="12812" width="9.5703125" style="3" bestFit="1" customWidth="1"/>
    <col min="12813" max="12813" width="13.28515625" style="3" customWidth="1"/>
    <col min="12814" max="13067" width="9.140625" style="3"/>
    <col min="13068" max="13068" width="9.5703125" style="3" bestFit="1" customWidth="1"/>
    <col min="13069" max="13069" width="13.28515625" style="3" customWidth="1"/>
    <col min="13070" max="13323" width="9.140625" style="3"/>
    <col min="13324" max="13324" width="9.5703125" style="3" bestFit="1" customWidth="1"/>
    <col min="13325" max="13325" width="13.28515625" style="3" customWidth="1"/>
    <col min="13326" max="13579" width="9.140625" style="3"/>
    <col min="13580" max="13580" width="9.5703125" style="3" bestFit="1" customWidth="1"/>
    <col min="13581" max="13581" width="13.28515625" style="3" customWidth="1"/>
    <col min="13582" max="13835" width="9.140625" style="3"/>
    <col min="13836" max="13836" width="9.5703125" style="3" bestFit="1" customWidth="1"/>
    <col min="13837" max="13837" width="13.28515625" style="3" customWidth="1"/>
    <col min="13838" max="14091" width="9.140625" style="3"/>
    <col min="14092" max="14092" width="9.5703125" style="3" bestFit="1" customWidth="1"/>
    <col min="14093" max="14093" width="13.28515625" style="3" customWidth="1"/>
    <col min="14094" max="14347" width="9.140625" style="3"/>
    <col min="14348" max="14348" width="9.5703125" style="3" bestFit="1" customWidth="1"/>
    <col min="14349" max="14349" width="13.28515625" style="3" customWidth="1"/>
    <col min="14350" max="14603" width="9.140625" style="3"/>
    <col min="14604" max="14604" width="9.5703125" style="3" bestFit="1" customWidth="1"/>
    <col min="14605" max="14605" width="13.28515625" style="3" customWidth="1"/>
    <col min="14606" max="14859" width="9.140625" style="3"/>
    <col min="14860" max="14860" width="9.5703125" style="3" bestFit="1" customWidth="1"/>
    <col min="14861" max="14861" width="13.28515625" style="3" customWidth="1"/>
    <col min="14862" max="15115" width="9.140625" style="3"/>
    <col min="15116" max="15116" width="9.5703125" style="3" bestFit="1" customWidth="1"/>
    <col min="15117" max="15117" width="13.28515625" style="3" customWidth="1"/>
    <col min="15118" max="15371" width="9.140625" style="3"/>
    <col min="15372" max="15372" width="9.5703125" style="3" bestFit="1" customWidth="1"/>
    <col min="15373" max="15373" width="13.28515625" style="3" customWidth="1"/>
    <col min="15374" max="15627" width="9.140625" style="3"/>
    <col min="15628" max="15628" width="9.5703125" style="3" bestFit="1" customWidth="1"/>
    <col min="15629" max="15629" width="13.28515625" style="3" customWidth="1"/>
    <col min="15630" max="15883" width="9.140625" style="3"/>
    <col min="15884" max="15884" width="9.5703125" style="3" bestFit="1" customWidth="1"/>
    <col min="15885" max="15885" width="13.28515625" style="3" customWidth="1"/>
    <col min="15886" max="16139" width="9.140625" style="3"/>
    <col min="16140" max="16140" width="9.5703125" style="3" bestFit="1" customWidth="1"/>
    <col min="16141" max="16141" width="13.28515625" style="3" customWidth="1"/>
    <col min="16142" max="16384" width="9.140625" style="3"/>
  </cols>
  <sheetData>
    <row r="11" spans="6:7" x14ac:dyDescent="0.25">
      <c r="F11" s="64" t="s">
        <v>114</v>
      </c>
      <c r="G11" s="64" t="s">
        <v>115</v>
      </c>
    </row>
    <row r="12" spans="6:7" x14ac:dyDescent="0.25">
      <c r="F12" s="4">
        <v>8</v>
      </c>
      <c r="G12" s="65">
        <v>2.0000000000000001E-4</v>
      </c>
    </row>
    <row r="13" spans="6:7" x14ac:dyDescent="0.25">
      <c r="F13" s="4">
        <v>10</v>
      </c>
      <c r="G13" s="65">
        <v>1.75E-4</v>
      </c>
    </row>
    <row r="14" spans="6:7" x14ac:dyDescent="0.25">
      <c r="F14" s="4">
        <v>12</v>
      </c>
      <c r="G14" s="65">
        <v>1.4999999999999999E-4</v>
      </c>
    </row>
    <row r="15" spans="6:7" x14ac:dyDescent="0.25">
      <c r="F15" s="4">
        <v>14</v>
      </c>
      <c r="G15" s="65">
        <v>1.2999999999999999E-4</v>
      </c>
    </row>
    <row r="16" spans="6:7" x14ac:dyDescent="0.25">
      <c r="F16" s="4">
        <v>16</v>
      </c>
      <c r="G16" s="65">
        <v>1.11E-4</v>
      </c>
    </row>
    <row r="17" spans="6:7" x14ac:dyDescent="0.25">
      <c r="F17" s="4">
        <v>18</v>
      </c>
      <c r="G17" s="65">
        <v>9.5000000000000005E-5</v>
      </c>
    </row>
    <row r="18" spans="6:7" x14ac:dyDescent="0.25">
      <c r="F18" s="4">
        <v>20</v>
      </c>
      <c r="G18" s="65">
        <v>8.5000000000000006E-5</v>
      </c>
    </row>
    <row r="19" spans="6:7" x14ac:dyDescent="0.25">
      <c r="F19" s="4">
        <v>22</v>
      </c>
      <c r="G19" s="65">
        <v>7.6000000000000004E-5</v>
      </c>
    </row>
    <row r="20" spans="6:7" x14ac:dyDescent="0.25">
      <c r="F20" s="4">
        <v>24</v>
      </c>
      <c r="G20" s="65">
        <v>6.9999999999999994E-5</v>
      </c>
    </row>
    <row r="21" spans="6:7" x14ac:dyDescent="0.25">
      <c r="F21" s="4">
        <v>26</v>
      </c>
      <c r="G21" s="65">
        <v>6.4999999999999994E-5</v>
      </c>
    </row>
    <row r="22" spans="6:7" x14ac:dyDescent="0.25">
      <c r="F22" s="4">
        <v>28</v>
      </c>
      <c r="G22" s="65">
        <v>6.0000000000000002E-5</v>
      </c>
    </row>
    <row r="23" spans="6:7" x14ac:dyDescent="0.25">
      <c r="F23" s="4">
        <v>30</v>
      </c>
      <c r="G23" s="65">
        <v>5.7000000000000003E-5</v>
      </c>
    </row>
    <row r="24" spans="6:7" x14ac:dyDescent="0.25">
      <c r="F24" s="4">
        <v>32</v>
      </c>
      <c r="G24" s="65">
        <v>5.5000000000000002E-5</v>
      </c>
    </row>
    <row r="25" spans="6:7" x14ac:dyDescent="0.25">
      <c r="F25" s="4">
        <v>34</v>
      </c>
      <c r="G25" s="65">
        <v>5.1999999999999997E-5</v>
      </c>
    </row>
    <row r="26" spans="6:7" x14ac:dyDescent="0.25">
      <c r="F26" s="4">
        <v>36</v>
      </c>
      <c r="G26" s="65">
        <v>5.0000000000000002E-5</v>
      </c>
    </row>
    <row r="27" spans="6:7" x14ac:dyDescent="0.25">
      <c r="F27" s="4">
        <v>38</v>
      </c>
      <c r="G27" s="65">
        <v>4.6999999999999997E-5</v>
      </c>
    </row>
    <row r="28" spans="6:7" x14ac:dyDescent="0.25">
      <c r="F28" s="4">
        <v>40</v>
      </c>
      <c r="G28" s="65">
        <v>4.5000000000000003E-5</v>
      </c>
    </row>
    <row r="29" spans="6:7" x14ac:dyDescent="0.25">
      <c r="F29" s="4">
        <v>42</v>
      </c>
      <c r="G29" s="65">
        <v>4.3999999999999999E-5</v>
      </c>
    </row>
    <row r="34" spans="13:14" x14ac:dyDescent="0.25">
      <c r="M34" s="66"/>
      <c r="N34" s="7"/>
    </row>
  </sheetData>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E49"/>
  <sheetViews>
    <sheetView topLeftCell="A25" workbookViewId="0">
      <selection activeCell="K14" sqref="K14"/>
    </sheetView>
  </sheetViews>
  <sheetFormatPr defaultRowHeight="15" x14ac:dyDescent="0.25"/>
  <cols>
    <col min="1" max="16384" width="9.140625" style="3"/>
  </cols>
  <sheetData>
    <row r="3" spans="5:5" x14ac:dyDescent="0.25">
      <c r="E3" s="5" t="s">
        <v>116</v>
      </c>
    </row>
    <row r="5" spans="5:5" x14ac:dyDescent="0.25">
      <c r="E5" s="7" t="s">
        <v>117</v>
      </c>
    </row>
    <row r="6" spans="5:5" x14ac:dyDescent="0.25">
      <c r="E6" s="7" t="s">
        <v>118</v>
      </c>
    </row>
    <row r="7" spans="5:5" x14ac:dyDescent="0.25">
      <c r="E7" s="7" t="s">
        <v>119</v>
      </c>
    </row>
    <row r="8" spans="5:5" x14ac:dyDescent="0.25">
      <c r="E8" s="7" t="s">
        <v>120</v>
      </c>
    </row>
    <row r="10" spans="5:5" x14ac:dyDescent="0.25">
      <c r="E10" s="5" t="s">
        <v>121</v>
      </c>
    </row>
    <row r="12" spans="5:5" x14ac:dyDescent="0.25">
      <c r="E12" s="7" t="s">
        <v>122</v>
      </c>
    </row>
    <row r="13" spans="5:5" x14ac:dyDescent="0.25">
      <c r="E13" s="7" t="s">
        <v>123</v>
      </c>
    </row>
    <row r="14" spans="5:5" x14ac:dyDescent="0.25">
      <c r="E14" s="7" t="s">
        <v>124</v>
      </c>
    </row>
    <row r="17" spans="5:5" x14ac:dyDescent="0.25">
      <c r="E17" s="5" t="s">
        <v>125</v>
      </c>
    </row>
    <row r="19" spans="5:5" x14ac:dyDescent="0.25">
      <c r="E19" s="7" t="s">
        <v>126</v>
      </c>
    </row>
    <row r="20" spans="5:5" x14ac:dyDescent="0.25">
      <c r="E20" s="7" t="s">
        <v>127</v>
      </c>
    </row>
    <row r="21" spans="5:5" x14ac:dyDescent="0.25">
      <c r="E21" s="7" t="s">
        <v>128</v>
      </c>
    </row>
    <row r="22" spans="5:5" x14ac:dyDescent="0.25">
      <c r="E22" s="7" t="s">
        <v>129</v>
      </c>
    </row>
    <row r="23" spans="5:5" x14ac:dyDescent="0.25">
      <c r="E23" s="7" t="s">
        <v>130</v>
      </c>
    </row>
    <row r="25" spans="5:5" x14ac:dyDescent="0.25">
      <c r="E25" s="5" t="s">
        <v>131</v>
      </c>
    </row>
    <row r="27" spans="5:5" x14ac:dyDescent="0.25">
      <c r="E27" s="7" t="s">
        <v>132</v>
      </c>
    </row>
    <row r="28" spans="5:5" x14ac:dyDescent="0.25">
      <c r="E28" s="7" t="s">
        <v>133</v>
      </c>
    </row>
    <row r="29" spans="5:5" x14ac:dyDescent="0.25">
      <c r="E29" s="7" t="s">
        <v>134</v>
      </c>
    </row>
    <row r="31" spans="5:5" x14ac:dyDescent="0.25">
      <c r="E31" s="5" t="s">
        <v>43</v>
      </c>
    </row>
    <row r="33" spans="5:5" x14ac:dyDescent="0.25">
      <c r="E33" s="7" t="s">
        <v>135</v>
      </c>
    </row>
    <row r="34" spans="5:5" x14ac:dyDescent="0.25">
      <c r="E34" s="7" t="s">
        <v>136</v>
      </c>
    </row>
    <row r="35" spans="5:5" x14ac:dyDescent="0.25">
      <c r="E35" s="7" t="s">
        <v>137</v>
      </c>
    </row>
    <row r="36" spans="5:5" x14ac:dyDescent="0.25">
      <c r="E36" s="7" t="s">
        <v>138</v>
      </c>
    </row>
    <row r="38" spans="5:5" x14ac:dyDescent="0.25">
      <c r="E38" s="5" t="s">
        <v>139</v>
      </c>
    </row>
    <row r="40" spans="5:5" x14ac:dyDescent="0.25">
      <c r="E40" s="7" t="s">
        <v>140</v>
      </c>
    </row>
    <row r="41" spans="5:5" x14ac:dyDescent="0.25">
      <c r="E41" s="7" t="s">
        <v>141</v>
      </c>
    </row>
    <row r="42" spans="5:5" x14ac:dyDescent="0.25">
      <c r="E42" s="7" t="s">
        <v>142</v>
      </c>
    </row>
    <row r="43" spans="5:5" x14ac:dyDescent="0.25">
      <c r="E43" s="7" t="s">
        <v>143</v>
      </c>
    </row>
    <row r="44" spans="5:5" x14ac:dyDescent="0.25">
      <c r="E44" s="7" t="s">
        <v>144</v>
      </c>
    </row>
    <row r="46" spans="5:5" x14ac:dyDescent="0.25">
      <c r="E46" s="5" t="s">
        <v>145</v>
      </c>
    </row>
    <row r="48" spans="5:5" x14ac:dyDescent="0.25">
      <c r="E48" s="7" t="s">
        <v>146</v>
      </c>
    </row>
    <row r="49" spans="5:5" x14ac:dyDescent="0.25">
      <c r="E49" s="7" t="s">
        <v>147</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AC55"/>
  <sheetViews>
    <sheetView topLeftCell="A22" workbookViewId="0">
      <selection activeCell="C32" sqref="C32:E35"/>
    </sheetView>
  </sheetViews>
  <sheetFormatPr defaultRowHeight="15" x14ac:dyDescent="0.25"/>
  <cols>
    <col min="1" max="7" width="9.140625" style="3"/>
    <col min="8" max="8" width="16" style="3" customWidth="1"/>
    <col min="9" max="9" width="13.140625" style="3" customWidth="1"/>
    <col min="10" max="28" width="9.140625" style="3"/>
    <col min="29" max="29" width="11" style="3" bestFit="1" customWidth="1"/>
    <col min="30" max="263" width="9.140625" style="3"/>
    <col min="264" max="264" width="16" style="3" customWidth="1"/>
    <col min="265" max="265" width="13.140625" style="3" customWidth="1"/>
    <col min="266" max="284" width="9.140625" style="3"/>
    <col min="285" max="285" width="11" style="3" bestFit="1" customWidth="1"/>
    <col min="286" max="519" width="9.140625" style="3"/>
    <col min="520" max="520" width="16" style="3" customWidth="1"/>
    <col min="521" max="521" width="13.140625" style="3" customWidth="1"/>
    <col min="522" max="540" width="9.140625" style="3"/>
    <col min="541" max="541" width="11" style="3" bestFit="1" customWidth="1"/>
    <col min="542" max="775" width="9.140625" style="3"/>
    <col min="776" max="776" width="16" style="3" customWidth="1"/>
    <col min="777" max="777" width="13.140625" style="3" customWidth="1"/>
    <col min="778" max="796" width="9.140625" style="3"/>
    <col min="797" max="797" width="11" style="3" bestFit="1" customWidth="1"/>
    <col min="798" max="1031" width="9.140625" style="3"/>
    <col min="1032" max="1032" width="16" style="3" customWidth="1"/>
    <col min="1033" max="1033" width="13.140625" style="3" customWidth="1"/>
    <col min="1034" max="1052" width="9.140625" style="3"/>
    <col min="1053" max="1053" width="11" style="3" bestFit="1" customWidth="1"/>
    <col min="1054" max="1287" width="9.140625" style="3"/>
    <col min="1288" max="1288" width="16" style="3" customWidth="1"/>
    <col min="1289" max="1289" width="13.140625" style="3" customWidth="1"/>
    <col min="1290" max="1308" width="9.140625" style="3"/>
    <col min="1309" max="1309" width="11" style="3" bestFit="1" customWidth="1"/>
    <col min="1310" max="1543" width="9.140625" style="3"/>
    <col min="1544" max="1544" width="16" style="3" customWidth="1"/>
    <col min="1545" max="1545" width="13.140625" style="3" customWidth="1"/>
    <col min="1546" max="1564" width="9.140625" style="3"/>
    <col min="1565" max="1565" width="11" style="3" bestFit="1" customWidth="1"/>
    <col min="1566" max="1799" width="9.140625" style="3"/>
    <col min="1800" max="1800" width="16" style="3" customWidth="1"/>
    <col min="1801" max="1801" width="13.140625" style="3" customWidth="1"/>
    <col min="1802" max="1820" width="9.140625" style="3"/>
    <col min="1821" max="1821" width="11" style="3" bestFit="1" customWidth="1"/>
    <col min="1822" max="2055" width="9.140625" style="3"/>
    <col min="2056" max="2056" width="16" style="3" customWidth="1"/>
    <col min="2057" max="2057" width="13.140625" style="3" customWidth="1"/>
    <col min="2058" max="2076" width="9.140625" style="3"/>
    <col min="2077" max="2077" width="11" style="3" bestFit="1" customWidth="1"/>
    <col min="2078" max="2311" width="9.140625" style="3"/>
    <col min="2312" max="2312" width="16" style="3" customWidth="1"/>
    <col min="2313" max="2313" width="13.140625" style="3" customWidth="1"/>
    <col min="2314" max="2332" width="9.140625" style="3"/>
    <col min="2333" max="2333" width="11" style="3" bestFit="1" customWidth="1"/>
    <col min="2334" max="2567" width="9.140625" style="3"/>
    <col min="2568" max="2568" width="16" style="3" customWidth="1"/>
    <col min="2569" max="2569" width="13.140625" style="3" customWidth="1"/>
    <col min="2570" max="2588" width="9.140625" style="3"/>
    <col min="2589" max="2589" width="11" style="3" bestFit="1" customWidth="1"/>
    <col min="2590" max="2823" width="9.140625" style="3"/>
    <col min="2824" max="2824" width="16" style="3" customWidth="1"/>
    <col min="2825" max="2825" width="13.140625" style="3" customWidth="1"/>
    <col min="2826" max="2844" width="9.140625" style="3"/>
    <col min="2845" max="2845" width="11" style="3" bestFit="1" customWidth="1"/>
    <col min="2846" max="3079" width="9.140625" style="3"/>
    <col min="3080" max="3080" width="16" style="3" customWidth="1"/>
    <col min="3081" max="3081" width="13.140625" style="3" customWidth="1"/>
    <col min="3082" max="3100" width="9.140625" style="3"/>
    <col min="3101" max="3101" width="11" style="3" bestFit="1" customWidth="1"/>
    <col min="3102" max="3335" width="9.140625" style="3"/>
    <col min="3336" max="3336" width="16" style="3" customWidth="1"/>
    <col min="3337" max="3337" width="13.140625" style="3" customWidth="1"/>
    <col min="3338" max="3356" width="9.140625" style="3"/>
    <col min="3357" max="3357" width="11" style="3" bestFit="1" customWidth="1"/>
    <col min="3358" max="3591" width="9.140625" style="3"/>
    <col min="3592" max="3592" width="16" style="3" customWidth="1"/>
    <col min="3593" max="3593" width="13.140625" style="3" customWidth="1"/>
    <col min="3594" max="3612" width="9.140625" style="3"/>
    <col min="3613" max="3613" width="11" style="3" bestFit="1" customWidth="1"/>
    <col min="3614" max="3847" width="9.140625" style="3"/>
    <col min="3848" max="3848" width="16" style="3" customWidth="1"/>
    <col min="3849" max="3849" width="13.140625" style="3" customWidth="1"/>
    <col min="3850" max="3868" width="9.140625" style="3"/>
    <col min="3869" max="3869" width="11" style="3" bestFit="1" customWidth="1"/>
    <col min="3870" max="4103" width="9.140625" style="3"/>
    <col min="4104" max="4104" width="16" style="3" customWidth="1"/>
    <col min="4105" max="4105" width="13.140625" style="3" customWidth="1"/>
    <col min="4106" max="4124" width="9.140625" style="3"/>
    <col min="4125" max="4125" width="11" style="3" bestFit="1" customWidth="1"/>
    <col min="4126" max="4359" width="9.140625" style="3"/>
    <col min="4360" max="4360" width="16" style="3" customWidth="1"/>
    <col min="4361" max="4361" width="13.140625" style="3" customWidth="1"/>
    <col min="4362" max="4380" width="9.140625" style="3"/>
    <col min="4381" max="4381" width="11" style="3" bestFit="1" customWidth="1"/>
    <col min="4382" max="4615" width="9.140625" style="3"/>
    <col min="4616" max="4616" width="16" style="3" customWidth="1"/>
    <col min="4617" max="4617" width="13.140625" style="3" customWidth="1"/>
    <col min="4618" max="4636" width="9.140625" style="3"/>
    <col min="4637" max="4637" width="11" style="3" bestFit="1" customWidth="1"/>
    <col min="4638" max="4871" width="9.140625" style="3"/>
    <col min="4872" max="4872" width="16" style="3" customWidth="1"/>
    <col min="4873" max="4873" width="13.140625" style="3" customWidth="1"/>
    <col min="4874" max="4892" width="9.140625" style="3"/>
    <col min="4893" max="4893" width="11" style="3" bestFit="1" customWidth="1"/>
    <col min="4894" max="5127" width="9.140625" style="3"/>
    <col min="5128" max="5128" width="16" style="3" customWidth="1"/>
    <col min="5129" max="5129" width="13.140625" style="3" customWidth="1"/>
    <col min="5130" max="5148" width="9.140625" style="3"/>
    <col min="5149" max="5149" width="11" style="3" bestFit="1" customWidth="1"/>
    <col min="5150" max="5383" width="9.140625" style="3"/>
    <col min="5384" max="5384" width="16" style="3" customWidth="1"/>
    <col min="5385" max="5385" width="13.140625" style="3" customWidth="1"/>
    <col min="5386" max="5404" width="9.140625" style="3"/>
    <col min="5405" max="5405" width="11" style="3" bestFit="1" customWidth="1"/>
    <col min="5406" max="5639" width="9.140625" style="3"/>
    <col min="5640" max="5640" width="16" style="3" customWidth="1"/>
    <col min="5641" max="5641" width="13.140625" style="3" customWidth="1"/>
    <col min="5642" max="5660" width="9.140625" style="3"/>
    <col min="5661" max="5661" width="11" style="3" bestFit="1" customWidth="1"/>
    <col min="5662" max="5895" width="9.140625" style="3"/>
    <col min="5896" max="5896" width="16" style="3" customWidth="1"/>
    <col min="5897" max="5897" width="13.140625" style="3" customWidth="1"/>
    <col min="5898" max="5916" width="9.140625" style="3"/>
    <col min="5917" max="5917" width="11" style="3" bestFit="1" customWidth="1"/>
    <col min="5918" max="6151" width="9.140625" style="3"/>
    <col min="6152" max="6152" width="16" style="3" customWidth="1"/>
    <col min="6153" max="6153" width="13.140625" style="3" customWidth="1"/>
    <col min="6154" max="6172" width="9.140625" style="3"/>
    <col min="6173" max="6173" width="11" style="3" bestFit="1" customWidth="1"/>
    <col min="6174" max="6407" width="9.140625" style="3"/>
    <col min="6408" max="6408" width="16" style="3" customWidth="1"/>
    <col min="6409" max="6409" width="13.140625" style="3" customWidth="1"/>
    <col min="6410" max="6428" width="9.140625" style="3"/>
    <col min="6429" max="6429" width="11" style="3" bestFit="1" customWidth="1"/>
    <col min="6430" max="6663" width="9.140625" style="3"/>
    <col min="6664" max="6664" width="16" style="3" customWidth="1"/>
    <col min="6665" max="6665" width="13.140625" style="3" customWidth="1"/>
    <col min="6666" max="6684" width="9.140625" style="3"/>
    <col min="6685" max="6685" width="11" style="3" bestFit="1" customWidth="1"/>
    <col min="6686" max="6919" width="9.140625" style="3"/>
    <col min="6920" max="6920" width="16" style="3" customWidth="1"/>
    <col min="6921" max="6921" width="13.140625" style="3" customWidth="1"/>
    <col min="6922" max="6940" width="9.140625" style="3"/>
    <col min="6941" max="6941" width="11" style="3" bestFit="1" customWidth="1"/>
    <col min="6942" max="7175" width="9.140625" style="3"/>
    <col min="7176" max="7176" width="16" style="3" customWidth="1"/>
    <col min="7177" max="7177" width="13.140625" style="3" customWidth="1"/>
    <col min="7178" max="7196" width="9.140625" style="3"/>
    <col min="7197" max="7197" width="11" style="3" bestFit="1" customWidth="1"/>
    <col min="7198" max="7431" width="9.140625" style="3"/>
    <col min="7432" max="7432" width="16" style="3" customWidth="1"/>
    <col min="7433" max="7433" width="13.140625" style="3" customWidth="1"/>
    <col min="7434" max="7452" width="9.140625" style="3"/>
    <col min="7453" max="7453" width="11" style="3" bestFit="1" customWidth="1"/>
    <col min="7454" max="7687" width="9.140625" style="3"/>
    <col min="7688" max="7688" width="16" style="3" customWidth="1"/>
    <col min="7689" max="7689" width="13.140625" style="3" customWidth="1"/>
    <col min="7690" max="7708" width="9.140625" style="3"/>
    <col min="7709" max="7709" width="11" style="3" bestFit="1" customWidth="1"/>
    <col min="7710" max="7943" width="9.140625" style="3"/>
    <col min="7944" max="7944" width="16" style="3" customWidth="1"/>
    <col min="7945" max="7945" width="13.140625" style="3" customWidth="1"/>
    <col min="7946" max="7964" width="9.140625" style="3"/>
    <col min="7965" max="7965" width="11" style="3" bestFit="1" customWidth="1"/>
    <col min="7966" max="8199" width="9.140625" style="3"/>
    <col min="8200" max="8200" width="16" style="3" customWidth="1"/>
    <col min="8201" max="8201" width="13.140625" style="3" customWidth="1"/>
    <col min="8202" max="8220" width="9.140625" style="3"/>
    <col min="8221" max="8221" width="11" style="3" bestFit="1" customWidth="1"/>
    <col min="8222" max="8455" width="9.140625" style="3"/>
    <col min="8456" max="8456" width="16" style="3" customWidth="1"/>
    <col min="8457" max="8457" width="13.140625" style="3" customWidth="1"/>
    <col min="8458" max="8476" width="9.140625" style="3"/>
    <col min="8477" max="8477" width="11" style="3" bestFit="1" customWidth="1"/>
    <col min="8478" max="8711" width="9.140625" style="3"/>
    <col min="8712" max="8712" width="16" style="3" customWidth="1"/>
    <col min="8713" max="8713" width="13.140625" style="3" customWidth="1"/>
    <col min="8714" max="8732" width="9.140625" style="3"/>
    <col min="8733" max="8733" width="11" style="3" bestFit="1" customWidth="1"/>
    <col min="8734" max="8967" width="9.140625" style="3"/>
    <col min="8968" max="8968" width="16" style="3" customWidth="1"/>
    <col min="8969" max="8969" width="13.140625" style="3" customWidth="1"/>
    <col min="8970" max="8988" width="9.140625" style="3"/>
    <col min="8989" max="8989" width="11" style="3" bestFit="1" customWidth="1"/>
    <col min="8990" max="9223" width="9.140625" style="3"/>
    <col min="9224" max="9224" width="16" style="3" customWidth="1"/>
    <col min="9225" max="9225" width="13.140625" style="3" customWidth="1"/>
    <col min="9226" max="9244" width="9.140625" style="3"/>
    <col min="9245" max="9245" width="11" style="3" bestFit="1" customWidth="1"/>
    <col min="9246" max="9479" width="9.140625" style="3"/>
    <col min="9480" max="9480" width="16" style="3" customWidth="1"/>
    <col min="9481" max="9481" width="13.140625" style="3" customWidth="1"/>
    <col min="9482" max="9500" width="9.140625" style="3"/>
    <col min="9501" max="9501" width="11" style="3" bestFit="1" customWidth="1"/>
    <col min="9502" max="9735" width="9.140625" style="3"/>
    <col min="9736" max="9736" width="16" style="3" customWidth="1"/>
    <col min="9737" max="9737" width="13.140625" style="3" customWidth="1"/>
    <col min="9738" max="9756" width="9.140625" style="3"/>
    <col min="9757" max="9757" width="11" style="3" bestFit="1" customWidth="1"/>
    <col min="9758" max="9991" width="9.140625" style="3"/>
    <col min="9992" max="9992" width="16" style="3" customWidth="1"/>
    <col min="9993" max="9993" width="13.140625" style="3" customWidth="1"/>
    <col min="9994" max="10012" width="9.140625" style="3"/>
    <col min="10013" max="10013" width="11" style="3" bestFit="1" customWidth="1"/>
    <col min="10014" max="10247" width="9.140625" style="3"/>
    <col min="10248" max="10248" width="16" style="3" customWidth="1"/>
    <col min="10249" max="10249" width="13.140625" style="3" customWidth="1"/>
    <col min="10250" max="10268" width="9.140625" style="3"/>
    <col min="10269" max="10269" width="11" style="3" bestFit="1" customWidth="1"/>
    <col min="10270" max="10503" width="9.140625" style="3"/>
    <col min="10504" max="10504" width="16" style="3" customWidth="1"/>
    <col min="10505" max="10505" width="13.140625" style="3" customWidth="1"/>
    <col min="10506" max="10524" width="9.140625" style="3"/>
    <col min="10525" max="10525" width="11" style="3" bestFit="1" customWidth="1"/>
    <col min="10526" max="10759" width="9.140625" style="3"/>
    <col min="10760" max="10760" width="16" style="3" customWidth="1"/>
    <col min="10761" max="10761" width="13.140625" style="3" customWidth="1"/>
    <col min="10762" max="10780" width="9.140625" style="3"/>
    <col min="10781" max="10781" width="11" style="3" bestFit="1" customWidth="1"/>
    <col min="10782" max="11015" width="9.140625" style="3"/>
    <col min="11016" max="11016" width="16" style="3" customWidth="1"/>
    <col min="11017" max="11017" width="13.140625" style="3" customWidth="1"/>
    <col min="11018" max="11036" width="9.140625" style="3"/>
    <col min="11037" max="11037" width="11" style="3" bestFit="1" customWidth="1"/>
    <col min="11038" max="11271" width="9.140625" style="3"/>
    <col min="11272" max="11272" width="16" style="3" customWidth="1"/>
    <col min="11273" max="11273" width="13.140625" style="3" customWidth="1"/>
    <col min="11274" max="11292" width="9.140625" style="3"/>
    <col min="11293" max="11293" width="11" style="3" bestFit="1" customWidth="1"/>
    <col min="11294" max="11527" width="9.140625" style="3"/>
    <col min="11528" max="11528" width="16" style="3" customWidth="1"/>
    <col min="11529" max="11529" width="13.140625" style="3" customWidth="1"/>
    <col min="11530" max="11548" width="9.140625" style="3"/>
    <col min="11549" max="11549" width="11" style="3" bestFit="1" customWidth="1"/>
    <col min="11550" max="11783" width="9.140625" style="3"/>
    <col min="11784" max="11784" width="16" style="3" customWidth="1"/>
    <col min="11785" max="11785" width="13.140625" style="3" customWidth="1"/>
    <col min="11786" max="11804" width="9.140625" style="3"/>
    <col min="11805" max="11805" width="11" style="3" bestFit="1" customWidth="1"/>
    <col min="11806" max="12039" width="9.140625" style="3"/>
    <col min="12040" max="12040" width="16" style="3" customWidth="1"/>
    <col min="12041" max="12041" width="13.140625" style="3" customWidth="1"/>
    <col min="12042" max="12060" width="9.140625" style="3"/>
    <col min="12061" max="12061" width="11" style="3" bestFit="1" customWidth="1"/>
    <col min="12062" max="12295" width="9.140625" style="3"/>
    <col min="12296" max="12296" width="16" style="3" customWidth="1"/>
    <col min="12297" max="12297" width="13.140625" style="3" customWidth="1"/>
    <col min="12298" max="12316" width="9.140625" style="3"/>
    <col min="12317" max="12317" width="11" style="3" bestFit="1" customWidth="1"/>
    <col min="12318" max="12551" width="9.140625" style="3"/>
    <col min="12552" max="12552" width="16" style="3" customWidth="1"/>
    <col min="12553" max="12553" width="13.140625" style="3" customWidth="1"/>
    <col min="12554" max="12572" width="9.140625" style="3"/>
    <col min="12573" max="12573" width="11" style="3" bestFit="1" customWidth="1"/>
    <col min="12574" max="12807" width="9.140625" style="3"/>
    <col min="12808" max="12808" width="16" style="3" customWidth="1"/>
    <col min="12809" max="12809" width="13.140625" style="3" customWidth="1"/>
    <col min="12810" max="12828" width="9.140625" style="3"/>
    <col min="12829" max="12829" width="11" style="3" bestFit="1" customWidth="1"/>
    <col min="12830" max="13063" width="9.140625" style="3"/>
    <col min="13064" max="13064" width="16" style="3" customWidth="1"/>
    <col min="13065" max="13065" width="13.140625" style="3" customWidth="1"/>
    <col min="13066" max="13084" width="9.140625" style="3"/>
    <col min="13085" max="13085" width="11" style="3" bestFit="1" customWidth="1"/>
    <col min="13086" max="13319" width="9.140625" style="3"/>
    <col min="13320" max="13320" width="16" style="3" customWidth="1"/>
    <col min="13321" max="13321" width="13.140625" style="3" customWidth="1"/>
    <col min="13322" max="13340" width="9.140625" style="3"/>
    <col min="13341" max="13341" width="11" style="3" bestFit="1" customWidth="1"/>
    <col min="13342" max="13575" width="9.140625" style="3"/>
    <col min="13576" max="13576" width="16" style="3" customWidth="1"/>
    <col min="13577" max="13577" width="13.140625" style="3" customWidth="1"/>
    <col min="13578" max="13596" width="9.140625" style="3"/>
    <col min="13597" max="13597" width="11" style="3" bestFit="1" customWidth="1"/>
    <col min="13598" max="13831" width="9.140625" style="3"/>
    <col min="13832" max="13832" width="16" style="3" customWidth="1"/>
    <col min="13833" max="13833" width="13.140625" style="3" customWidth="1"/>
    <col min="13834" max="13852" width="9.140625" style="3"/>
    <col min="13853" max="13853" width="11" style="3" bestFit="1" customWidth="1"/>
    <col min="13854" max="14087" width="9.140625" style="3"/>
    <col min="14088" max="14088" width="16" style="3" customWidth="1"/>
    <col min="14089" max="14089" width="13.140625" style="3" customWidth="1"/>
    <col min="14090" max="14108" width="9.140625" style="3"/>
    <col min="14109" max="14109" width="11" style="3" bestFit="1" customWidth="1"/>
    <col min="14110" max="14343" width="9.140625" style="3"/>
    <col min="14344" max="14344" width="16" style="3" customWidth="1"/>
    <col min="14345" max="14345" width="13.140625" style="3" customWidth="1"/>
    <col min="14346" max="14364" width="9.140625" style="3"/>
    <col min="14365" max="14365" width="11" style="3" bestFit="1" customWidth="1"/>
    <col min="14366" max="14599" width="9.140625" style="3"/>
    <col min="14600" max="14600" width="16" style="3" customWidth="1"/>
    <col min="14601" max="14601" width="13.140625" style="3" customWidth="1"/>
    <col min="14602" max="14620" width="9.140625" style="3"/>
    <col min="14621" max="14621" width="11" style="3" bestFit="1" customWidth="1"/>
    <col min="14622" max="14855" width="9.140625" style="3"/>
    <col min="14856" max="14856" width="16" style="3" customWidth="1"/>
    <col min="14857" max="14857" width="13.140625" style="3" customWidth="1"/>
    <col min="14858" max="14876" width="9.140625" style="3"/>
    <col min="14877" max="14877" width="11" style="3" bestFit="1" customWidth="1"/>
    <col min="14878" max="15111" width="9.140625" style="3"/>
    <col min="15112" max="15112" width="16" style="3" customWidth="1"/>
    <col min="15113" max="15113" width="13.140625" style="3" customWidth="1"/>
    <col min="15114" max="15132" width="9.140625" style="3"/>
    <col min="15133" max="15133" width="11" style="3" bestFit="1" customWidth="1"/>
    <col min="15134" max="15367" width="9.140625" style="3"/>
    <col min="15368" max="15368" width="16" style="3" customWidth="1"/>
    <col min="15369" max="15369" width="13.140625" style="3" customWidth="1"/>
    <col min="15370" max="15388" width="9.140625" style="3"/>
    <col min="15389" max="15389" width="11" style="3" bestFit="1" customWidth="1"/>
    <col min="15390" max="15623" width="9.140625" style="3"/>
    <col min="15624" max="15624" width="16" style="3" customWidth="1"/>
    <col min="15625" max="15625" width="13.140625" style="3" customWidth="1"/>
    <col min="15626" max="15644" width="9.140625" style="3"/>
    <col min="15645" max="15645" width="11" style="3" bestFit="1" customWidth="1"/>
    <col min="15646" max="15879" width="9.140625" style="3"/>
    <col min="15880" max="15880" width="16" style="3" customWidth="1"/>
    <col min="15881" max="15881" width="13.140625" style="3" customWidth="1"/>
    <col min="15882" max="15900" width="9.140625" style="3"/>
    <col min="15901" max="15901" width="11" style="3" bestFit="1" customWidth="1"/>
    <col min="15902" max="16135" width="9.140625" style="3"/>
    <col min="16136" max="16136" width="16" style="3" customWidth="1"/>
    <col min="16137" max="16137" width="13.140625" style="3" customWidth="1"/>
    <col min="16138" max="16156" width="9.140625" style="3"/>
    <col min="16157" max="16157" width="11" style="3" bestFit="1" customWidth="1"/>
    <col min="16158" max="16384" width="9.140625" style="3"/>
  </cols>
  <sheetData>
    <row r="2" spans="4:7" ht="26.25" x14ac:dyDescent="0.4">
      <c r="D2" s="67" t="s">
        <v>148</v>
      </c>
    </row>
    <row r="3" spans="4:7" ht="13.5" customHeight="1" x14ac:dyDescent="0.4">
      <c r="D3" s="67"/>
    </row>
    <row r="4" spans="4:7" ht="12.75" customHeight="1" x14ac:dyDescent="0.4">
      <c r="D4" s="67"/>
    </row>
    <row r="6" spans="4:7" x14ac:dyDescent="0.25">
      <c r="E6" s="68" t="s">
        <v>149</v>
      </c>
      <c r="F6" s="3">
        <v>400</v>
      </c>
      <c r="G6" s="69" t="s">
        <v>150</v>
      </c>
    </row>
    <row r="7" spans="4:7" x14ac:dyDescent="0.25">
      <c r="E7" s="68" t="s">
        <v>151</v>
      </c>
      <c r="F7" s="3">
        <v>15</v>
      </c>
      <c r="G7" s="69" t="s">
        <v>152</v>
      </c>
    </row>
    <row r="8" spans="4:7" x14ac:dyDescent="0.25">
      <c r="E8" s="68" t="s">
        <v>153</v>
      </c>
      <c r="F8" s="3">
        <v>2</v>
      </c>
      <c r="G8" s="69" t="s">
        <v>154</v>
      </c>
    </row>
    <row r="9" spans="4:7" x14ac:dyDescent="0.25">
      <c r="E9" s="68"/>
      <c r="F9" s="7">
        <v>4</v>
      </c>
      <c r="G9" s="69" t="s">
        <v>155</v>
      </c>
    </row>
    <row r="10" spans="4:7" x14ac:dyDescent="0.25">
      <c r="E10" s="68"/>
      <c r="F10" s="7"/>
      <c r="G10" s="69"/>
    </row>
    <row r="11" spans="4:7" x14ac:dyDescent="0.25">
      <c r="E11" s="68"/>
      <c r="F11" s="7"/>
      <c r="G11" s="5" t="s">
        <v>156</v>
      </c>
    </row>
    <row r="19" spans="3:23" x14ac:dyDescent="0.25">
      <c r="H19" s="64" t="s">
        <v>157</v>
      </c>
      <c r="I19" s="161" t="s">
        <v>158</v>
      </c>
    </row>
    <row r="20" spans="3:23" x14ac:dyDescent="0.25">
      <c r="H20" s="64" t="s">
        <v>159</v>
      </c>
      <c r="I20" s="161"/>
      <c r="T20" s="70">
        <f>V20</f>
        <v>0</v>
      </c>
      <c r="U20" s="71">
        <f>T20/1000</f>
        <v>0</v>
      </c>
      <c r="V20" s="72">
        <v>0</v>
      </c>
      <c r="W20" s="71">
        <v>4.1500000000000004</v>
      </c>
    </row>
    <row r="21" spans="3:23" x14ac:dyDescent="0.25">
      <c r="H21" s="64" t="s">
        <v>160</v>
      </c>
      <c r="I21" s="161"/>
      <c r="T21" s="70">
        <f t="shared" ref="T21:T42" si="0">V21</f>
        <v>2.5000000000000001E-2</v>
      </c>
      <c r="U21" s="71">
        <f t="shared" ref="U21:U42" si="1">T21/1000</f>
        <v>2.5000000000000001E-5</v>
      </c>
      <c r="V21" s="72">
        <v>2.5000000000000001E-2</v>
      </c>
      <c r="W21" s="71">
        <v>4.07</v>
      </c>
    </row>
    <row r="22" spans="3:23" x14ac:dyDescent="0.25">
      <c r="H22" s="70">
        <v>0</v>
      </c>
      <c r="I22" s="71">
        <v>4.1500000000000004</v>
      </c>
      <c r="T22" s="70">
        <f t="shared" si="0"/>
        <v>0.05</v>
      </c>
      <c r="U22" s="71">
        <f t="shared" si="1"/>
        <v>5.0000000000000002E-5</v>
      </c>
      <c r="V22" s="72">
        <v>0.05</v>
      </c>
      <c r="W22" s="71">
        <v>4</v>
      </c>
    </row>
    <row r="23" spans="3:23" x14ac:dyDescent="0.25">
      <c r="H23" s="70">
        <v>50</v>
      </c>
      <c r="I23" s="71">
        <v>4</v>
      </c>
      <c r="T23" s="70">
        <f t="shared" si="0"/>
        <v>7.4999999999999997E-2</v>
      </c>
      <c r="U23" s="71">
        <f t="shared" si="1"/>
        <v>7.4999999999999993E-5</v>
      </c>
      <c r="V23" s="72">
        <v>7.4999999999999997E-2</v>
      </c>
      <c r="W23" s="71">
        <v>3.93</v>
      </c>
    </row>
    <row r="24" spans="3:23" x14ac:dyDescent="0.25">
      <c r="H24" s="70">
        <v>60</v>
      </c>
      <c r="I24" s="71">
        <v>3.97</v>
      </c>
      <c r="T24" s="70">
        <f t="shared" si="0"/>
        <v>0.1</v>
      </c>
      <c r="U24" s="71">
        <f t="shared" si="1"/>
        <v>1E-4</v>
      </c>
      <c r="V24" s="72">
        <v>0.1</v>
      </c>
      <c r="W24" s="71">
        <v>3.87</v>
      </c>
    </row>
    <row r="25" spans="3:23" x14ac:dyDescent="0.25">
      <c r="H25" s="70">
        <v>90</v>
      </c>
      <c r="I25" s="71">
        <v>3.89</v>
      </c>
      <c r="T25" s="70">
        <f t="shared" si="0"/>
        <v>0.15</v>
      </c>
      <c r="U25" s="71">
        <f t="shared" si="1"/>
        <v>1.4999999999999999E-4</v>
      </c>
      <c r="V25" s="72">
        <v>0.15</v>
      </c>
      <c r="W25" s="71">
        <v>3.75</v>
      </c>
    </row>
    <row r="26" spans="3:23" x14ac:dyDescent="0.25">
      <c r="H26" s="70">
        <v>100</v>
      </c>
      <c r="I26" s="71">
        <v>3.87</v>
      </c>
      <c r="T26" s="70">
        <f t="shared" si="0"/>
        <v>0.2</v>
      </c>
      <c r="U26" s="71">
        <f t="shared" si="1"/>
        <v>2.0000000000000001E-4</v>
      </c>
      <c r="V26" s="72">
        <v>0.2</v>
      </c>
      <c r="W26" s="71">
        <v>3.63</v>
      </c>
    </row>
    <row r="27" spans="3:23" x14ac:dyDescent="0.25">
      <c r="H27" s="70">
        <v>500</v>
      </c>
      <c r="I27" s="71">
        <v>3</v>
      </c>
      <c r="T27" s="70">
        <f t="shared" si="0"/>
        <v>0.3</v>
      </c>
      <c r="U27" s="71">
        <f t="shared" si="1"/>
        <v>2.9999999999999997E-4</v>
      </c>
      <c r="V27" s="72">
        <v>0.3</v>
      </c>
      <c r="W27" s="71">
        <v>3.39</v>
      </c>
    </row>
    <row r="28" spans="3:23" x14ac:dyDescent="0.25">
      <c r="H28" s="70">
        <v>1000</v>
      </c>
      <c r="I28" s="71">
        <v>2.35</v>
      </c>
      <c r="T28" s="70">
        <f t="shared" si="0"/>
        <v>0.4</v>
      </c>
      <c r="U28" s="71">
        <f t="shared" si="1"/>
        <v>4.0000000000000002E-4</v>
      </c>
      <c r="V28" s="72">
        <v>0.4</v>
      </c>
      <c r="W28" s="71">
        <v>3.18</v>
      </c>
    </row>
    <row r="29" spans="3:23" x14ac:dyDescent="0.25">
      <c r="H29" s="70">
        <v>1500</v>
      </c>
      <c r="I29" s="71">
        <v>2.1</v>
      </c>
      <c r="T29" s="70">
        <f t="shared" si="0"/>
        <v>0.5</v>
      </c>
      <c r="U29" s="71">
        <f t="shared" si="1"/>
        <v>5.0000000000000001E-4</v>
      </c>
      <c r="V29" s="72">
        <v>0.5</v>
      </c>
      <c r="W29" s="71">
        <v>3</v>
      </c>
    </row>
    <row r="30" spans="3:23" x14ac:dyDescent="0.25">
      <c r="H30" s="70">
        <v>2000</v>
      </c>
      <c r="I30" s="71">
        <v>2</v>
      </c>
      <c r="T30" s="70">
        <f t="shared" si="0"/>
        <v>0.7</v>
      </c>
      <c r="U30" s="71">
        <f t="shared" si="1"/>
        <v>6.9999999999999999E-4</v>
      </c>
      <c r="V30" s="72">
        <v>0.7</v>
      </c>
      <c r="W30" s="71">
        <v>2.68</v>
      </c>
    </row>
    <row r="31" spans="3:23" x14ac:dyDescent="0.25">
      <c r="H31" s="70">
        <v>2500</v>
      </c>
      <c r="I31" s="71">
        <v>1.99</v>
      </c>
      <c r="T31" s="70">
        <f t="shared" si="0"/>
        <v>0.9</v>
      </c>
      <c r="U31" s="71">
        <f t="shared" si="1"/>
        <v>8.9999999999999998E-4</v>
      </c>
      <c r="V31" s="72">
        <v>0.9</v>
      </c>
      <c r="W31" s="71">
        <v>2.4500000000000002</v>
      </c>
    </row>
    <row r="32" spans="3:23" x14ac:dyDescent="0.25">
      <c r="C32" s="162" t="s">
        <v>195</v>
      </c>
      <c r="D32" s="162"/>
      <c r="E32" s="162"/>
      <c r="H32" s="70">
        <v>3000</v>
      </c>
      <c r="I32" s="71">
        <v>1.99</v>
      </c>
      <c r="T32" s="70">
        <f t="shared" si="0"/>
        <v>1</v>
      </c>
      <c r="U32" s="71">
        <f t="shared" si="1"/>
        <v>1E-3</v>
      </c>
      <c r="V32" s="72">
        <v>1</v>
      </c>
      <c r="W32" s="71">
        <v>2.35</v>
      </c>
    </row>
    <row r="33" spans="3:29" x14ac:dyDescent="0.25">
      <c r="C33" s="162"/>
      <c r="D33" s="162"/>
      <c r="E33" s="162"/>
      <c r="H33" s="70"/>
      <c r="I33" s="71"/>
      <c r="T33" s="70">
        <f t="shared" si="0"/>
        <v>1.2</v>
      </c>
      <c r="U33" s="71">
        <f t="shared" si="1"/>
        <v>1.1999999999999999E-3</v>
      </c>
      <c r="V33" s="72">
        <v>1.2</v>
      </c>
      <c r="W33" s="71">
        <v>2.2000000000000002</v>
      </c>
    </row>
    <row r="34" spans="3:29" x14ac:dyDescent="0.25">
      <c r="C34" s="162"/>
      <c r="D34" s="162"/>
      <c r="E34" s="162"/>
      <c r="H34" s="70">
        <v>0</v>
      </c>
      <c r="I34" s="71">
        <v>4.1500000000000004</v>
      </c>
      <c r="T34" s="70">
        <f t="shared" si="0"/>
        <v>1.4</v>
      </c>
      <c r="U34" s="71">
        <f t="shared" si="1"/>
        <v>1.4E-3</v>
      </c>
      <c r="V34" s="72">
        <v>1.4</v>
      </c>
      <c r="W34" s="71">
        <v>2.1110000000000002</v>
      </c>
    </row>
    <row r="35" spans="3:29" x14ac:dyDescent="0.25">
      <c r="C35" s="162"/>
      <c r="D35" s="162"/>
      <c r="E35" s="162"/>
      <c r="H35" s="70">
        <v>25</v>
      </c>
      <c r="I35" s="71">
        <v>4.07</v>
      </c>
      <c r="T35" s="70">
        <f t="shared" si="0"/>
        <v>1.5</v>
      </c>
      <c r="U35" s="71">
        <f t="shared" si="1"/>
        <v>1.5E-3</v>
      </c>
      <c r="V35" s="72">
        <v>1.5</v>
      </c>
      <c r="W35" s="71">
        <v>2.0499999999999998</v>
      </c>
    </row>
    <row r="36" spans="3:29" x14ac:dyDescent="0.25">
      <c r="H36" s="70">
        <v>50</v>
      </c>
      <c r="I36" s="71">
        <v>4</v>
      </c>
      <c r="T36" s="70">
        <f t="shared" si="0"/>
        <v>1.7</v>
      </c>
      <c r="U36" s="71">
        <f t="shared" si="1"/>
        <v>1.6999999999999999E-3</v>
      </c>
      <c r="V36" s="72">
        <v>1.7</v>
      </c>
      <c r="W36" s="71">
        <v>2.02</v>
      </c>
    </row>
    <row r="37" spans="3:29" x14ac:dyDescent="0.25">
      <c r="H37" s="70">
        <v>75</v>
      </c>
      <c r="I37" s="71">
        <v>3.93</v>
      </c>
      <c r="T37" s="70">
        <f t="shared" si="0"/>
        <v>1.9</v>
      </c>
      <c r="U37" s="71">
        <f t="shared" si="1"/>
        <v>1.9E-3</v>
      </c>
      <c r="V37" s="72">
        <v>1.9</v>
      </c>
      <c r="W37" s="71">
        <v>2.0129999999999999</v>
      </c>
    </row>
    <row r="38" spans="3:29" x14ac:dyDescent="0.25">
      <c r="H38" s="70">
        <v>100</v>
      </c>
      <c r="I38" s="71">
        <v>3.87</v>
      </c>
      <c r="T38" s="70">
        <f t="shared" si="0"/>
        <v>2</v>
      </c>
      <c r="U38" s="71">
        <f t="shared" si="1"/>
        <v>2E-3</v>
      </c>
      <c r="V38" s="72">
        <v>2</v>
      </c>
      <c r="W38" s="71">
        <v>2.0099999999999998</v>
      </c>
    </row>
    <row r="39" spans="3:29" x14ac:dyDescent="0.25">
      <c r="H39" s="70">
        <v>150</v>
      </c>
      <c r="I39" s="71">
        <v>3.75</v>
      </c>
      <c r="T39" s="70">
        <f t="shared" si="0"/>
        <v>2.2000000000000002</v>
      </c>
      <c r="U39" s="71">
        <f t="shared" si="1"/>
        <v>2.2000000000000001E-3</v>
      </c>
      <c r="V39" s="72">
        <v>2.2000000000000002</v>
      </c>
      <c r="W39" s="71">
        <v>1.9970000000000001</v>
      </c>
      <c r="AC39" s="3">
        <f>65000/1000000</f>
        <v>6.5000000000000002E-2</v>
      </c>
    </row>
    <row r="40" spans="3:29" ht="20.25" x14ac:dyDescent="0.3">
      <c r="H40" s="70">
        <v>200</v>
      </c>
      <c r="I40" s="71">
        <v>3.63</v>
      </c>
      <c r="T40" s="70">
        <f t="shared" si="0"/>
        <v>2.5</v>
      </c>
      <c r="U40" s="71">
        <f t="shared" si="1"/>
        <v>2.5000000000000001E-3</v>
      </c>
      <c r="V40" s="72">
        <v>2.5</v>
      </c>
      <c r="W40" s="71">
        <v>1.9950000000000001</v>
      </c>
      <c r="AB40" s="73" t="s">
        <v>161</v>
      </c>
      <c r="AC40" s="74">
        <f>0.0093*(AC39)^4-0.2367*(AC39)^3+1.3626*(AC39)^2-2.9303*(AC39)+4.1495</f>
        <v>3.9647226472733124</v>
      </c>
    </row>
    <row r="41" spans="3:29" x14ac:dyDescent="0.25">
      <c r="H41" s="70">
        <v>300</v>
      </c>
      <c r="I41" s="71">
        <v>3.39</v>
      </c>
      <c r="T41" s="70">
        <f t="shared" si="0"/>
        <v>2.7</v>
      </c>
      <c r="U41" s="71">
        <f t="shared" si="1"/>
        <v>2.7000000000000001E-3</v>
      </c>
      <c r="V41" s="72">
        <v>2.7</v>
      </c>
      <c r="W41" s="71">
        <v>1.994</v>
      </c>
    </row>
    <row r="42" spans="3:29" x14ac:dyDescent="0.25">
      <c r="H42" s="70">
        <v>400</v>
      </c>
      <c r="I42" s="71">
        <v>3.18</v>
      </c>
      <c r="T42" s="70">
        <f t="shared" si="0"/>
        <v>3</v>
      </c>
      <c r="U42" s="71">
        <f t="shared" si="1"/>
        <v>3.0000000000000001E-3</v>
      </c>
      <c r="V42" s="72">
        <v>3</v>
      </c>
      <c r="W42" s="71">
        <v>1.9930000000000001</v>
      </c>
    </row>
    <row r="43" spans="3:29" x14ac:dyDescent="0.25">
      <c r="H43" s="70">
        <v>500</v>
      </c>
      <c r="I43" s="71">
        <v>3</v>
      </c>
    </row>
    <row r="49" spans="4:14" ht="26.25" x14ac:dyDescent="0.4">
      <c r="D49" s="67"/>
    </row>
    <row r="50" spans="4:14" x14ac:dyDescent="0.25">
      <c r="M50" s="3">
        <v>500</v>
      </c>
    </row>
    <row r="51" spans="4:14" x14ac:dyDescent="0.25">
      <c r="L51" s="75" t="s">
        <v>162</v>
      </c>
      <c r="M51" s="3">
        <f>-0.0000000001*(M50)^3+0.0000009*(M50)^2-0.0028*(M50)+4.1419</f>
        <v>2.9543999999999997</v>
      </c>
    </row>
    <row r="52" spans="4:14" x14ac:dyDescent="0.25">
      <c r="E52" s="68"/>
      <c r="G52" s="69"/>
      <c r="L52" s="75" t="s">
        <v>163</v>
      </c>
      <c r="M52" s="3">
        <f>-0.0000000002*(M50)^3+0.000001*(M50)^2-0.0028*(M50)+4.1391</f>
        <v>2.9641000000000002</v>
      </c>
      <c r="N52" s="76"/>
    </row>
    <row r="53" spans="4:14" x14ac:dyDescent="0.25">
      <c r="E53" s="68"/>
      <c r="G53" s="69"/>
    </row>
    <row r="54" spans="4:14" x14ac:dyDescent="0.25">
      <c r="E54" s="68"/>
      <c r="G54" s="69"/>
    </row>
    <row r="55" spans="4:14" x14ac:dyDescent="0.25">
      <c r="G55" s="69"/>
    </row>
  </sheetData>
  <mergeCells count="2">
    <mergeCell ref="I19:I21"/>
    <mergeCell ref="C32:E35"/>
  </mergeCells>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L68"/>
  <sheetViews>
    <sheetView topLeftCell="A17" workbookViewId="0">
      <selection activeCell="C17" sqref="C17"/>
    </sheetView>
  </sheetViews>
  <sheetFormatPr defaultRowHeight="15" x14ac:dyDescent="0.25"/>
  <cols>
    <col min="1" max="3" width="9.140625" style="3"/>
    <col min="4" max="4" width="9.140625" style="4"/>
    <col min="5" max="6" width="36" style="3" customWidth="1"/>
    <col min="7" max="7" width="8.28515625" style="3" customWidth="1"/>
    <col min="8" max="8" width="12.42578125" style="3" customWidth="1"/>
    <col min="9" max="9" width="36.5703125" style="3" customWidth="1"/>
    <col min="10" max="10" width="9.140625" style="3"/>
    <col min="11" max="11" width="11.42578125" style="3" customWidth="1"/>
    <col min="12" max="12" width="11.5703125" style="3" customWidth="1"/>
    <col min="13" max="260" width="9.140625" style="3"/>
    <col min="261" max="262" width="36" style="3" customWidth="1"/>
    <col min="263" max="263" width="8.28515625" style="3" customWidth="1"/>
    <col min="264" max="264" width="12.42578125" style="3" customWidth="1"/>
    <col min="265" max="265" width="36.5703125" style="3" customWidth="1"/>
    <col min="266" max="266" width="9.140625" style="3"/>
    <col min="267" max="267" width="11.42578125" style="3" customWidth="1"/>
    <col min="268" max="268" width="11.5703125" style="3" customWidth="1"/>
    <col min="269" max="516" width="9.140625" style="3"/>
    <col min="517" max="518" width="36" style="3" customWidth="1"/>
    <col min="519" max="519" width="8.28515625" style="3" customWidth="1"/>
    <col min="520" max="520" width="12.42578125" style="3" customWidth="1"/>
    <col min="521" max="521" width="36.5703125" style="3" customWidth="1"/>
    <col min="522" max="522" width="9.140625" style="3"/>
    <col min="523" max="523" width="11.42578125" style="3" customWidth="1"/>
    <col min="524" max="524" width="11.5703125" style="3" customWidth="1"/>
    <col min="525" max="772" width="9.140625" style="3"/>
    <col min="773" max="774" width="36" style="3" customWidth="1"/>
    <col min="775" max="775" width="8.28515625" style="3" customWidth="1"/>
    <col min="776" max="776" width="12.42578125" style="3" customWidth="1"/>
    <col min="777" max="777" width="36.5703125" style="3" customWidth="1"/>
    <col min="778" max="778" width="9.140625" style="3"/>
    <col min="779" max="779" width="11.42578125" style="3" customWidth="1"/>
    <col min="780" max="780" width="11.5703125" style="3" customWidth="1"/>
    <col min="781" max="1028" width="9.140625" style="3"/>
    <col min="1029" max="1030" width="36" style="3" customWidth="1"/>
    <col min="1031" max="1031" width="8.28515625" style="3" customWidth="1"/>
    <col min="1032" max="1032" width="12.42578125" style="3" customWidth="1"/>
    <col min="1033" max="1033" width="36.5703125" style="3" customWidth="1"/>
    <col min="1034" max="1034" width="9.140625" style="3"/>
    <col min="1035" max="1035" width="11.42578125" style="3" customWidth="1"/>
    <col min="1036" max="1036" width="11.5703125" style="3" customWidth="1"/>
    <col min="1037" max="1284" width="9.140625" style="3"/>
    <col min="1285" max="1286" width="36" style="3" customWidth="1"/>
    <col min="1287" max="1287" width="8.28515625" style="3" customWidth="1"/>
    <col min="1288" max="1288" width="12.42578125" style="3" customWidth="1"/>
    <col min="1289" max="1289" width="36.5703125" style="3" customWidth="1"/>
    <col min="1290" max="1290" width="9.140625" style="3"/>
    <col min="1291" max="1291" width="11.42578125" style="3" customWidth="1"/>
    <col min="1292" max="1292" width="11.5703125" style="3" customWidth="1"/>
    <col min="1293" max="1540" width="9.140625" style="3"/>
    <col min="1541" max="1542" width="36" style="3" customWidth="1"/>
    <col min="1543" max="1543" width="8.28515625" style="3" customWidth="1"/>
    <col min="1544" max="1544" width="12.42578125" style="3" customWidth="1"/>
    <col min="1545" max="1545" width="36.5703125" style="3" customWidth="1"/>
    <col min="1546" max="1546" width="9.140625" style="3"/>
    <col min="1547" max="1547" width="11.42578125" style="3" customWidth="1"/>
    <col min="1548" max="1548" width="11.5703125" style="3" customWidth="1"/>
    <col min="1549" max="1796" width="9.140625" style="3"/>
    <col min="1797" max="1798" width="36" style="3" customWidth="1"/>
    <col min="1799" max="1799" width="8.28515625" style="3" customWidth="1"/>
    <col min="1800" max="1800" width="12.42578125" style="3" customWidth="1"/>
    <col min="1801" max="1801" width="36.5703125" style="3" customWidth="1"/>
    <col min="1802" max="1802" width="9.140625" style="3"/>
    <col min="1803" max="1803" width="11.42578125" style="3" customWidth="1"/>
    <col min="1804" max="1804" width="11.5703125" style="3" customWidth="1"/>
    <col min="1805" max="2052" width="9.140625" style="3"/>
    <col min="2053" max="2054" width="36" style="3" customWidth="1"/>
    <col min="2055" max="2055" width="8.28515625" style="3" customWidth="1"/>
    <col min="2056" max="2056" width="12.42578125" style="3" customWidth="1"/>
    <col min="2057" max="2057" width="36.5703125" style="3" customWidth="1"/>
    <col min="2058" max="2058" width="9.140625" style="3"/>
    <col min="2059" max="2059" width="11.42578125" style="3" customWidth="1"/>
    <col min="2060" max="2060" width="11.5703125" style="3" customWidth="1"/>
    <col min="2061" max="2308" width="9.140625" style="3"/>
    <col min="2309" max="2310" width="36" style="3" customWidth="1"/>
    <col min="2311" max="2311" width="8.28515625" style="3" customWidth="1"/>
    <col min="2312" max="2312" width="12.42578125" style="3" customWidth="1"/>
    <col min="2313" max="2313" width="36.5703125" style="3" customWidth="1"/>
    <col min="2314" max="2314" width="9.140625" style="3"/>
    <col min="2315" max="2315" width="11.42578125" style="3" customWidth="1"/>
    <col min="2316" max="2316" width="11.5703125" style="3" customWidth="1"/>
    <col min="2317" max="2564" width="9.140625" style="3"/>
    <col min="2565" max="2566" width="36" style="3" customWidth="1"/>
    <col min="2567" max="2567" width="8.28515625" style="3" customWidth="1"/>
    <col min="2568" max="2568" width="12.42578125" style="3" customWidth="1"/>
    <col min="2569" max="2569" width="36.5703125" style="3" customWidth="1"/>
    <col min="2570" max="2570" width="9.140625" style="3"/>
    <col min="2571" max="2571" width="11.42578125" style="3" customWidth="1"/>
    <col min="2572" max="2572" width="11.5703125" style="3" customWidth="1"/>
    <col min="2573" max="2820" width="9.140625" style="3"/>
    <col min="2821" max="2822" width="36" style="3" customWidth="1"/>
    <col min="2823" max="2823" width="8.28515625" style="3" customWidth="1"/>
    <col min="2824" max="2824" width="12.42578125" style="3" customWidth="1"/>
    <col min="2825" max="2825" width="36.5703125" style="3" customWidth="1"/>
    <col min="2826" max="2826" width="9.140625" style="3"/>
    <col min="2827" max="2827" width="11.42578125" style="3" customWidth="1"/>
    <col min="2828" max="2828" width="11.5703125" style="3" customWidth="1"/>
    <col min="2829" max="3076" width="9.140625" style="3"/>
    <col min="3077" max="3078" width="36" style="3" customWidth="1"/>
    <col min="3079" max="3079" width="8.28515625" style="3" customWidth="1"/>
    <col min="3080" max="3080" width="12.42578125" style="3" customWidth="1"/>
    <col min="3081" max="3081" width="36.5703125" style="3" customWidth="1"/>
    <col min="3082" max="3082" width="9.140625" style="3"/>
    <col min="3083" max="3083" width="11.42578125" style="3" customWidth="1"/>
    <col min="3084" max="3084" width="11.5703125" style="3" customWidth="1"/>
    <col min="3085" max="3332" width="9.140625" style="3"/>
    <col min="3333" max="3334" width="36" style="3" customWidth="1"/>
    <col min="3335" max="3335" width="8.28515625" style="3" customWidth="1"/>
    <col min="3336" max="3336" width="12.42578125" style="3" customWidth="1"/>
    <col min="3337" max="3337" width="36.5703125" style="3" customWidth="1"/>
    <col min="3338" max="3338" width="9.140625" style="3"/>
    <col min="3339" max="3339" width="11.42578125" style="3" customWidth="1"/>
    <col min="3340" max="3340" width="11.5703125" style="3" customWidth="1"/>
    <col min="3341" max="3588" width="9.140625" style="3"/>
    <col min="3589" max="3590" width="36" style="3" customWidth="1"/>
    <col min="3591" max="3591" width="8.28515625" style="3" customWidth="1"/>
    <col min="3592" max="3592" width="12.42578125" style="3" customWidth="1"/>
    <col min="3593" max="3593" width="36.5703125" style="3" customWidth="1"/>
    <col min="3594" max="3594" width="9.140625" style="3"/>
    <col min="3595" max="3595" width="11.42578125" style="3" customWidth="1"/>
    <col min="3596" max="3596" width="11.5703125" style="3" customWidth="1"/>
    <col min="3597" max="3844" width="9.140625" style="3"/>
    <col min="3845" max="3846" width="36" style="3" customWidth="1"/>
    <col min="3847" max="3847" width="8.28515625" style="3" customWidth="1"/>
    <col min="3848" max="3848" width="12.42578125" style="3" customWidth="1"/>
    <col min="3849" max="3849" width="36.5703125" style="3" customWidth="1"/>
    <col min="3850" max="3850" width="9.140625" style="3"/>
    <col min="3851" max="3851" width="11.42578125" style="3" customWidth="1"/>
    <col min="3852" max="3852" width="11.5703125" style="3" customWidth="1"/>
    <col min="3853" max="4100" width="9.140625" style="3"/>
    <col min="4101" max="4102" width="36" style="3" customWidth="1"/>
    <col min="4103" max="4103" width="8.28515625" style="3" customWidth="1"/>
    <col min="4104" max="4104" width="12.42578125" style="3" customWidth="1"/>
    <col min="4105" max="4105" width="36.5703125" style="3" customWidth="1"/>
    <col min="4106" max="4106" width="9.140625" style="3"/>
    <col min="4107" max="4107" width="11.42578125" style="3" customWidth="1"/>
    <col min="4108" max="4108" width="11.5703125" style="3" customWidth="1"/>
    <col min="4109" max="4356" width="9.140625" style="3"/>
    <col min="4357" max="4358" width="36" style="3" customWidth="1"/>
    <col min="4359" max="4359" width="8.28515625" style="3" customWidth="1"/>
    <col min="4360" max="4360" width="12.42578125" style="3" customWidth="1"/>
    <col min="4361" max="4361" width="36.5703125" style="3" customWidth="1"/>
    <col min="4362" max="4362" width="9.140625" style="3"/>
    <col min="4363" max="4363" width="11.42578125" style="3" customWidth="1"/>
    <col min="4364" max="4364" width="11.5703125" style="3" customWidth="1"/>
    <col min="4365" max="4612" width="9.140625" style="3"/>
    <col min="4613" max="4614" width="36" style="3" customWidth="1"/>
    <col min="4615" max="4615" width="8.28515625" style="3" customWidth="1"/>
    <col min="4616" max="4616" width="12.42578125" style="3" customWidth="1"/>
    <col min="4617" max="4617" width="36.5703125" style="3" customWidth="1"/>
    <col min="4618" max="4618" width="9.140625" style="3"/>
    <col min="4619" max="4619" width="11.42578125" style="3" customWidth="1"/>
    <col min="4620" max="4620" width="11.5703125" style="3" customWidth="1"/>
    <col min="4621" max="4868" width="9.140625" style="3"/>
    <col min="4869" max="4870" width="36" style="3" customWidth="1"/>
    <col min="4871" max="4871" width="8.28515625" style="3" customWidth="1"/>
    <col min="4872" max="4872" width="12.42578125" style="3" customWidth="1"/>
    <col min="4873" max="4873" width="36.5703125" style="3" customWidth="1"/>
    <col min="4874" max="4874" width="9.140625" style="3"/>
    <col min="4875" max="4875" width="11.42578125" style="3" customWidth="1"/>
    <col min="4876" max="4876" width="11.5703125" style="3" customWidth="1"/>
    <col min="4877" max="5124" width="9.140625" style="3"/>
    <col min="5125" max="5126" width="36" style="3" customWidth="1"/>
    <col min="5127" max="5127" width="8.28515625" style="3" customWidth="1"/>
    <col min="5128" max="5128" width="12.42578125" style="3" customWidth="1"/>
    <col min="5129" max="5129" width="36.5703125" style="3" customWidth="1"/>
    <col min="5130" max="5130" width="9.140625" style="3"/>
    <col min="5131" max="5131" width="11.42578125" style="3" customWidth="1"/>
    <col min="5132" max="5132" width="11.5703125" style="3" customWidth="1"/>
    <col min="5133" max="5380" width="9.140625" style="3"/>
    <col min="5381" max="5382" width="36" style="3" customWidth="1"/>
    <col min="5383" max="5383" width="8.28515625" style="3" customWidth="1"/>
    <col min="5384" max="5384" width="12.42578125" style="3" customWidth="1"/>
    <col min="5385" max="5385" width="36.5703125" style="3" customWidth="1"/>
    <col min="5386" max="5386" width="9.140625" style="3"/>
    <col min="5387" max="5387" width="11.42578125" style="3" customWidth="1"/>
    <col min="5388" max="5388" width="11.5703125" style="3" customWidth="1"/>
    <col min="5389" max="5636" width="9.140625" style="3"/>
    <col min="5637" max="5638" width="36" style="3" customWidth="1"/>
    <col min="5639" max="5639" width="8.28515625" style="3" customWidth="1"/>
    <col min="5640" max="5640" width="12.42578125" style="3" customWidth="1"/>
    <col min="5641" max="5641" width="36.5703125" style="3" customWidth="1"/>
    <col min="5642" max="5642" width="9.140625" style="3"/>
    <col min="5643" max="5643" width="11.42578125" style="3" customWidth="1"/>
    <col min="5644" max="5644" width="11.5703125" style="3" customWidth="1"/>
    <col min="5645" max="5892" width="9.140625" style="3"/>
    <col min="5893" max="5894" width="36" style="3" customWidth="1"/>
    <col min="5895" max="5895" width="8.28515625" style="3" customWidth="1"/>
    <col min="5896" max="5896" width="12.42578125" style="3" customWidth="1"/>
    <col min="5897" max="5897" width="36.5703125" style="3" customWidth="1"/>
    <col min="5898" max="5898" width="9.140625" style="3"/>
    <col min="5899" max="5899" width="11.42578125" style="3" customWidth="1"/>
    <col min="5900" max="5900" width="11.5703125" style="3" customWidth="1"/>
    <col min="5901" max="6148" width="9.140625" style="3"/>
    <col min="6149" max="6150" width="36" style="3" customWidth="1"/>
    <col min="6151" max="6151" width="8.28515625" style="3" customWidth="1"/>
    <col min="6152" max="6152" width="12.42578125" style="3" customWidth="1"/>
    <col min="6153" max="6153" width="36.5703125" style="3" customWidth="1"/>
    <col min="6154" max="6154" width="9.140625" style="3"/>
    <col min="6155" max="6155" width="11.42578125" style="3" customWidth="1"/>
    <col min="6156" max="6156" width="11.5703125" style="3" customWidth="1"/>
    <col min="6157" max="6404" width="9.140625" style="3"/>
    <col min="6405" max="6406" width="36" style="3" customWidth="1"/>
    <col min="6407" max="6407" width="8.28515625" style="3" customWidth="1"/>
    <col min="6408" max="6408" width="12.42578125" style="3" customWidth="1"/>
    <col min="6409" max="6409" width="36.5703125" style="3" customWidth="1"/>
    <col min="6410" max="6410" width="9.140625" style="3"/>
    <col min="6411" max="6411" width="11.42578125" style="3" customWidth="1"/>
    <col min="6412" max="6412" width="11.5703125" style="3" customWidth="1"/>
    <col min="6413" max="6660" width="9.140625" style="3"/>
    <col min="6661" max="6662" width="36" style="3" customWidth="1"/>
    <col min="6663" max="6663" width="8.28515625" style="3" customWidth="1"/>
    <col min="6664" max="6664" width="12.42578125" style="3" customWidth="1"/>
    <col min="6665" max="6665" width="36.5703125" style="3" customWidth="1"/>
    <col min="6666" max="6666" width="9.140625" style="3"/>
    <col min="6667" max="6667" width="11.42578125" style="3" customWidth="1"/>
    <col min="6668" max="6668" width="11.5703125" style="3" customWidth="1"/>
    <col min="6669" max="6916" width="9.140625" style="3"/>
    <col min="6917" max="6918" width="36" style="3" customWidth="1"/>
    <col min="6919" max="6919" width="8.28515625" style="3" customWidth="1"/>
    <col min="6920" max="6920" width="12.42578125" style="3" customWidth="1"/>
    <col min="6921" max="6921" width="36.5703125" style="3" customWidth="1"/>
    <col min="6922" max="6922" width="9.140625" style="3"/>
    <col min="6923" max="6923" width="11.42578125" style="3" customWidth="1"/>
    <col min="6924" max="6924" width="11.5703125" style="3" customWidth="1"/>
    <col min="6925" max="7172" width="9.140625" style="3"/>
    <col min="7173" max="7174" width="36" style="3" customWidth="1"/>
    <col min="7175" max="7175" width="8.28515625" style="3" customWidth="1"/>
    <col min="7176" max="7176" width="12.42578125" style="3" customWidth="1"/>
    <col min="7177" max="7177" width="36.5703125" style="3" customWidth="1"/>
    <col min="7178" max="7178" width="9.140625" style="3"/>
    <col min="7179" max="7179" width="11.42578125" style="3" customWidth="1"/>
    <col min="7180" max="7180" width="11.5703125" style="3" customWidth="1"/>
    <col min="7181" max="7428" width="9.140625" style="3"/>
    <col min="7429" max="7430" width="36" style="3" customWidth="1"/>
    <col min="7431" max="7431" width="8.28515625" style="3" customWidth="1"/>
    <col min="7432" max="7432" width="12.42578125" style="3" customWidth="1"/>
    <col min="7433" max="7433" width="36.5703125" style="3" customWidth="1"/>
    <col min="7434" max="7434" width="9.140625" style="3"/>
    <col min="7435" max="7435" width="11.42578125" style="3" customWidth="1"/>
    <col min="7436" max="7436" width="11.5703125" style="3" customWidth="1"/>
    <col min="7437" max="7684" width="9.140625" style="3"/>
    <col min="7685" max="7686" width="36" style="3" customWidth="1"/>
    <col min="7687" max="7687" width="8.28515625" style="3" customWidth="1"/>
    <col min="7688" max="7688" width="12.42578125" style="3" customWidth="1"/>
    <col min="7689" max="7689" width="36.5703125" style="3" customWidth="1"/>
    <col min="7690" max="7690" width="9.140625" style="3"/>
    <col min="7691" max="7691" width="11.42578125" style="3" customWidth="1"/>
    <col min="7692" max="7692" width="11.5703125" style="3" customWidth="1"/>
    <col min="7693" max="7940" width="9.140625" style="3"/>
    <col min="7941" max="7942" width="36" style="3" customWidth="1"/>
    <col min="7943" max="7943" width="8.28515625" style="3" customWidth="1"/>
    <col min="7944" max="7944" width="12.42578125" style="3" customWidth="1"/>
    <col min="7945" max="7945" width="36.5703125" style="3" customWidth="1"/>
    <col min="7946" max="7946" width="9.140625" style="3"/>
    <col min="7947" max="7947" width="11.42578125" style="3" customWidth="1"/>
    <col min="7948" max="7948" width="11.5703125" style="3" customWidth="1"/>
    <col min="7949" max="8196" width="9.140625" style="3"/>
    <col min="8197" max="8198" width="36" style="3" customWidth="1"/>
    <col min="8199" max="8199" width="8.28515625" style="3" customWidth="1"/>
    <col min="8200" max="8200" width="12.42578125" style="3" customWidth="1"/>
    <col min="8201" max="8201" width="36.5703125" style="3" customWidth="1"/>
    <col min="8202" max="8202" width="9.140625" style="3"/>
    <col min="8203" max="8203" width="11.42578125" style="3" customWidth="1"/>
    <col min="8204" max="8204" width="11.5703125" style="3" customWidth="1"/>
    <col min="8205" max="8452" width="9.140625" style="3"/>
    <col min="8453" max="8454" width="36" style="3" customWidth="1"/>
    <col min="8455" max="8455" width="8.28515625" style="3" customWidth="1"/>
    <col min="8456" max="8456" width="12.42578125" style="3" customWidth="1"/>
    <col min="8457" max="8457" width="36.5703125" style="3" customWidth="1"/>
    <col min="8458" max="8458" width="9.140625" style="3"/>
    <col min="8459" max="8459" width="11.42578125" style="3" customWidth="1"/>
    <col min="8460" max="8460" width="11.5703125" style="3" customWidth="1"/>
    <col min="8461" max="8708" width="9.140625" style="3"/>
    <col min="8709" max="8710" width="36" style="3" customWidth="1"/>
    <col min="8711" max="8711" width="8.28515625" style="3" customWidth="1"/>
    <col min="8712" max="8712" width="12.42578125" style="3" customWidth="1"/>
    <col min="8713" max="8713" width="36.5703125" style="3" customWidth="1"/>
    <col min="8714" max="8714" width="9.140625" style="3"/>
    <col min="8715" max="8715" width="11.42578125" style="3" customWidth="1"/>
    <col min="8716" max="8716" width="11.5703125" style="3" customWidth="1"/>
    <col min="8717" max="8964" width="9.140625" style="3"/>
    <col min="8965" max="8966" width="36" style="3" customWidth="1"/>
    <col min="8967" max="8967" width="8.28515625" style="3" customWidth="1"/>
    <col min="8968" max="8968" width="12.42578125" style="3" customWidth="1"/>
    <col min="8969" max="8969" width="36.5703125" style="3" customWidth="1"/>
    <col min="8970" max="8970" width="9.140625" style="3"/>
    <col min="8971" max="8971" width="11.42578125" style="3" customWidth="1"/>
    <col min="8972" max="8972" width="11.5703125" style="3" customWidth="1"/>
    <col min="8973" max="9220" width="9.140625" style="3"/>
    <col min="9221" max="9222" width="36" style="3" customWidth="1"/>
    <col min="9223" max="9223" width="8.28515625" style="3" customWidth="1"/>
    <col min="9224" max="9224" width="12.42578125" style="3" customWidth="1"/>
    <col min="9225" max="9225" width="36.5703125" style="3" customWidth="1"/>
    <col min="9226" max="9226" width="9.140625" style="3"/>
    <col min="9227" max="9227" width="11.42578125" style="3" customWidth="1"/>
    <col min="9228" max="9228" width="11.5703125" style="3" customWidth="1"/>
    <col min="9229" max="9476" width="9.140625" style="3"/>
    <col min="9477" max="9478" width="36" style="3" customWidth="1"/>
    <col min="9479" max="9479" width="8.28515625" style="3" customWidth="1"/>
    <col min="9480" max="9480" width="12.42578125" style="3" customWidth="1"/>
    <col min="9481" max="9481" width="36.5703125" style="3" customWidth="1"/>
    <col min="9482" max="9482" width="9.140625" style="3"/>
    <col min="9483" max="9483" width="11.42578125" style="3" customWidth="1"/>
    <col min="9484" max="9484" width="11.5703125" style="3" customWidth="1"/>
    <col min="9485" max="9732" width="9.140625" style="3"/>
    <col min="9733" max="9734" width="36" style="3" customWidth="1"/>
    <col min="9735" max="9735" width="8.28515625" style="3" customWidth="1"/>
    <col min="9736" max="9736" width="12.42578125" style="3" customWidth="1"/>
    <col min="9737" max="9737" width="36.5703125" style="3" customWidth="1"/>
    <col min="9738" max="9738" width="9.140625" style="3"/>
    <col min="9739" max="9739" width="11.42578125" style="3" customWidth="1"/>
    <col min="9740" max="9740" width="11.5703125" style="3" customWidth="1"/>
    <col min="9741" max="9988" width="9.140625" style="3"/>
    <col min="9989" max="9990" width="36" style="3" customWidth="1"/>
    <col min="9991" max="9991" width="8.28515625" style="3" customWidth="1"/>
    <col min="9992" max="9992" width="12.42578125" style="3" customWidth="1"/>
    <col min="9993" max="9993" width="36.5703125" style="3" customWidth="1"/>
    <col min="9994" max="9994" width="9.140625" style="3"/>
    <col min="9995" max="9995" width="11.42578125" style="3" customWidth="1"/>
    <col min="9996" max="9996" width="11.5703125" style="3" customWidth="1"/>
    <col min="9997" max="10244" width="9.140625" style="3"/>
    <col min="10245" max="10246" width="36" style="3" customWidth="1"/>
    <col min="10247" max="10247" width="8.28515625" style="3" customWidth="1"/>
    <col min="10248" max="10248" width="12.42578125" style="3" customWidth="1"/>
    <col min="10249" max="10249" width="36.5703125" style="3" customWidth="1"/>
    <col min="10250" max="10250" width="9.140625" style="3"/>
    <col min="10251" max="10251" width="11.42578125" style="3" customWidth="1"/>
    <col min="10252" max="10252" width="11.5703125" style="3" customWidth="1"/>
    <col min="10253" max="10500" width="9.140625" style="3"/>
    <col min="10501" max="10502" width="36" style="3" customWidth="1"/>
    <col min="10503" max="10503" width="8.28515625" style="3" customWidth="1"/>
    <col min="10504" max="10504" width="12.42578125" style="3" customWidth="1"/>
    <col min="10505" max="10505" width="36.5703125" style="3" customWidth="1"/>
    <col min="10506" max="10506" width="9.140625" style="3"/>
    <col min="10507" max="10507" width="11.42578125" style="3" customWidth="1"/>
    <col min="10508" max="10508" width="11.5703125" style="3" customWidth="1"/>
    <col min="10509" max="10756" width="9.140625" style="3"/>
    <col min="10757" max="10758" width="36" style="3" customWidth="1"/>
    <col min="10759" max="10759" width="8.28515625" style="3" customWidth="1"/>
    <col min="10760" max="10760" width="12.42578125" style="3" customWidth="1"/>
    <col min="10761" max="10761" width="36.5703125" style="3" customWidth="1"/>
    <col min="10762" max="10762" width="9.140625" style="3"/>
    <col min="10763" max="10763" width="11.42578125" style="3" customWidth="1"/>
    <col min="10764" max="10764" width="11.5703125" style="3" customWidth="1"/>
    <col min="10765" max="11012" width="9.140625" style="3"/>
    <col min="11013" max="11014" width="36" style="3" customWidth="1"/>
    <col min="11015" max="11015" width="8.28515625" style="3" customWidth="1"/>
    <col min="11016" max="11016" width="12.42578125" style="3" customWidth="1"/>
    <col min="11017" max="11017" width="36.5703125" style="3" customWidth="1"/>
    <col min="11018" max="11018" width="9.140625" style="3"/>
    <col min="11019" max="11019" width="11.42578125" style="3" customWidth="1"/>
    <col min="11020" max="11020" width="11.5703125" style="3" customWidth="1"/>
    <col min="11021" max="11268" width="9.140625" style="3"/>
    <col min="11269" max="11270" width="36" style="3" customWidth="1"/>
    <col min="11271" max="11271" width="8.28515625" style="3" customWidth="1"/>
    <col min="11272" max="11272" width="12.42578125" style="3" customWidth="1"/>
    <col min="11273" max="11273" width="36.5703125" style="3" customWidth="1"/>
    <col min="11274" max="11274" width="9.140625" style="3"/>
    <col min="11275" max="11275" width="11.42578125" style="3" customWidth="1"/>
    <col min="11276" max="11276" width="11.5703125" style="3" customWidth="1"/>
    <col min="11277" max="11524" width="9.140625" style="3"/>
    <col min="11525" max="11526" width="36" style="3" customWidth="1"/>
    <col min="11527" max="11527" width="8.28515625" style="3" customWidth="1"/>
    <col min="11528" max="11528" width="12.42578125" style="3" customWidth="1"/>
    <col min="11529" max="11529" width="36.5703125" style="3" customWidth="1"/>
    <col min="11530" max="11530" width="9.140625" style="3"/>
    <col min="11531" max="11531" width="11.42578125" style="3" customWidth="1"/>
    <col min="11532" max="11532" width="11.5703125" style="3" customWidth="1"/>
    <col min="11533" max="11780" width="9.140625" style="3"/>
    <col min="11781" max="11782" width="36" style="3" customWidth="1"/>
    <col min="11783" max="11783" width="8.28515625" style="3" customWidth="1"/>
    <col min="11784" max="11784" width="12.42578125" style="3" customWidth="1"/>
    <col min="11785" max="11785" width="36.5703125" style="3" customWidth="1"/>
    <col min="11786" max="11786" width="9.140625" style="3"/>
    <col min="11787" max="11787" width="11.42578125" style="3" customWidth="1"/>
    <col min="11788" max="11788" width="11.5703125" style="3" customWidth="1"/>
    <col min="11789" max="12036" width="9.140625" style="3"/>
    <col min="12037" max="12038" width="36" style="3" customWidth="1"/>
    <col min="12039" max="12039" width="8.28515625" style="3" customWidth="1"/>
    <col min="12040" max="12040" width="12.42578125" style="3" customWidth="1"/>
    <col min="12041" max="12041" width="36.5703125" style="3" customWidth="1"/>
    <col min="12042" max="12042" width="9.140625" style="3"/>
    <col min="12043" max="12043" width="11.42578125" style="3" customWidth="1"/>
    <col min="12044" max="12044" width="11.5703125" style="3" customWidth="1"/>
    <col min="12045" max="12292" width="9.140625" style="3"/>
    <col min="12293" max="12294" width="36" style="3" customWidth="1"/>
    <col min="12295" max="12295" width="8.28515625" style="3" customWidth="1"/>
    <col min="12296" max="12296" width="12.42578125" style="3" customWidth="1"/>
    <col min="12297" max="12297" width="36.5703125" style="3" customWidth="1"/>
    <col min="12298" max="12298" width="9.140625" style="3"/>
    <col min="12299" max="12299" width="11.42578125" style="3" customWidth="1"/>
    <col min="12300" max="12300" width="11.5703125" style="3" customWidth="1"/>
    <col min="12301" max="12548" width="9.140625" style="3"/>
    <col min="12549" max="12550" width="36" style="3" customWidth="1"/>
    <col min="12551" max="12551" width="8.28515625" style="3" customWidth="1"/>
    <col min="12552" max="12552" width="12.42578125" style="3" customWidth="1"/>
    <col min="12553" max="12553" width="36.5703125" style="3" customWidth="1"/>
    <col min="12554" max="12554" width="9.140625" style="3"/>
    <col min="12555" max="12555" width="11.42578125" style="3" customWidth="1"/>
    <col min="12556" max="12556" width="11.5703125" style="3" customWidth="1"/>
    <col min="12557" max="12804" width="9.140625" style="3"/>
    <col min="12805" max="12806" width="36" style="3" customWidth="1"/>
    <col min="12807" max="12807" width="8.28515625" style="3" customWidth="1"/>
    <col min="12808" max="12808" width="12.42578125" style="3" customWidth="1"/>
    <col min="12809" max="12809" width="36.5703125" style="3" customWidth="1"/>
    <col min="12810" max="12810" width="9.140625" style="3"/>
    <col min="12811" max="12811" width="11.42578125" style="3" customWidth="1"/>
    <col min="12812" max="12812" width="11.5703125" style="3" customWidth="1"/>
    <col min="12813" max="13060" width="9.140625" style="3"/>
    <col min="13061" max="13062" width="36" style="3" customWidth="1"/>
    <col min="13063" max="13063" width="8.28515625" style="3" customWidth="1"/>
    <col min="13064" max="13064" width="12.42578125" style="3" customWidth="1"/>
    <col min="13065" max="13065" width="36.5703125" style="3" customWidth="1"/>
    <col min="13066" max="13066" width="9.140625" style="3"/>
    <col min="13067" max="13067" width="11.42578125" style="3" customWidth="1"/>
    <col min="13068" max="13068" width="11.5703125" style="3" customWidth="1"/>
    <col min="13069" max="13316" width="9.140625" style="3"/>
    <col min="13317" max="13318" width="36" style="3" customWidth="1"/>
    <col min="13319" max="13319" width="8.28515625" style="3" customWidth="1"/>
    <col min="13320" max="13320" width="12.42578125" style="3" customWidth="1"/>
    <col min="13321" max="13321" width="36.5703125" style="3" customWidth="1"/>
    <col min="13322" max="13322" width="9.140625" style="3"/>
    <col min="13323" max="13323" width="11.42578125" style="3" customWidth="1"/>
    <col min="13324" max="13324" width="11.5703125" style="3" customWidth="1"/>
    <col min="13325" max="13572" width="9.140625" style="3"/>
    <col min="13573" max="13574" width="36" style="3" customWidth="1"/>
    <col min="13575" max="13575" width="8.28515625" style="3" customWidth="1"/>
    <col min="13576" max="13576" width="12.42578125" style="3" customWidth="1"/>
    <col min="13577" max="13577" width="36.5703125" style="3" customWidth="1"/>
    <col min="13578" max="13578" width="9.140625" style="3"/>
    <col min="13579" max="13579" width="11.42578125" style="3" customWidth="1"/>
    <col min="13580" max="13580" width="11.5703125" style="3" customWidth="1"/>
    <col min="13581" max="13828" width="9.140625" style="3"/>
    <col min="13829" max="13830" width="36" style="3" customWidth="1"/>
    <col min="13831" max="13831" width="8.28515625" style="3" customWidth="1"/>
    <col min="13832" max="13832" width="12.42578125" style="3" customWidth="1"/>
    <col min="13833" max="13833" width="36.5703125" style="3" customWidth="1"/>
    <col min="13834" max="13834" width="9.140625" style="3"/>
    <col min="13835" max="13835" width="11.42578125" style="3" customWidth="1"/>
    <col min="13836" max="13836" width="11.5703125" style="3" customWidth="1"/>
    <col min="13837" max="14084" width="9.140625" style="3"/>
    <col min="14085" max="14086" width="36" style="3" customWidth="1"/>
    <col min="14087" max="14087" width="8.28515625" style="3" customWidth="1"/>
    <col min="14088" max="14088" width="12.42578125" style="3" customWidth="1"/>
    <col min="14089" max="14089" width="36.5703125" style="3" customWidth="1"/>
    <col min="14090" max="14090" width="9.140625" style="3"/>
    <col min="14091" max="14091" width="11.42578125" style="3" customWidth="1"/>
    <col min="14092" max="14092" width="11.5703125" style="3" customWidth="1"/>
    <col min="14093" max="14340" width="9.140625" style="3"/>
    <col min="14341" max="14342" width="36" style="3" customWidth="1"/>
    <col min="14343" max="14343" width="8.28515625" style="3" customWidth="1"/>
    <col min="14344" max="14344" width="12.42578125" style="3" customWidth="1"/>
    <col min="14345" max="14345" width="36.5703125" style="3" customWidth="1"/>
    <col min="14346" max="14346" width="9.140625" style="3"/>
    <col min="14347" max="14347" width="11.42578125" style="3" customWidth="1"/>
    <col min="14348" max="14348" width="11.5703125" style="3" customWidth="1"/>
    <col min="14349" max="14596" width="9.140625" style="3"/>
    <col min="14597" max="14598" width="36" style="3" customWidth="1"/>
    <col min="14599" max="14599" width="8.28515625" style="3" customWidth="1"/>
    <col min="14600" max="14600" width="12.42578125" style="3" customWidth="1"/>
    <col min="14601" max="14601" width="36.5703125" style="3" customWidth="1"/>
    <col min="14602" max="14602" width="9.140625" style="3"/>
    <col min="14603" max="14603" width="11.42578125" style="3" customWidth="1"/>
    <col min="14604" max="14604" width="11.5703125" style="3" customWidth="1"/>
    <col min="14605" max="14852" width="9.140625" style="3"/>
    <col min="14853" max="14854" width="36" style="3" customWidth="1"/>
    <col min="14855" max="14855" width="8.28515625" style="3" customWidth="1"/>
    <col min="14856" max="14856" width="12.42578125" style="3" customWidth="1"/>
    <col min="14857" max="14857" width="36.5703125" style="3" customWidth="1"/>
    <col min="14858" max="14858" width="9.140625" style="3"/>
    <col min="14859" max="14859" width="11.42578125" style="3" customWidth="1"/>
    <col min="14860" max="14860" width="11.5703125" style="3" customWidth="1"/>
    <col min="14861" max="15108" width="9.140625" style="3"/>
    <col min="15109" max="15110" width="36" style="3" customWidth="1"/>
    <col min="15111" max="15111" width="8.28515625" style="3" customWidth="1"/>
    <col min="15112" max="15112" width="12.42578125" style="3" customWidth="1"/>
    <col min="15113" max="15113" width="36.5703125" style="3" customWidth="1"/>
    <col min="15114" max="15114" width="9.140625" style="3"/>
    <col min="15115" max="15115" width="11.42578125" style="3" customWidth="1"/>
    <col min="15116" max="15116" width="11.5703125" style="3" customWidth="1"/>
    <col min="15117" max="15364" width="9.140625" style="3"/>
    <col min="15365" max="15366" width="36" style="3" customWidth="1"/>
    <col min="15367" max="15367" width="8.28515625" style="3" customWidth="1"/>
    <col min="15368" max="15368" width="12.42578125" style="3" customWidth="1"/>
    <col min="15369" max="15369" width="36.5703125" style="3" customWidth="1"/>
    <col min="15370" max="15370" width="9.140625" style="3"/>
    <col min="15371" max="15371" width="11.42578125" style="3" customWidth="1"/>
    <col min="15372" max="15372" width="11.5703125" style="3" customWidth="1"/>
    <col min="15373" max="15620" width="9.140625" style="3"/>
    <col min="15621" max="15622" width="36" style="3" customWidth="1"/>
    <col min="15623" max="15623" width="8.28515625" style="3" customWidth="1"/>
    <col min="15624" max="15624" width="12.42578125" style="3" customWidth="1"/>
    <col min="15625" max="15625" width="36.5703125" style="3" customWidth="1"/>
    <col min="15626" max="15626" width="9.140625" style="3"/>
    <col min="15627" max="15627" width="11.42578125" style="3" customWidth="1"/>
    <col min="15628" max="15628" width="11.5703125" style="3" customWidth="1"/>
    <col min="15629" max="15876" width="9.140625" style="3"/>
    <col min="15877" max="15878" width="36" style="3" customWidth="1"/>
    <col min="15879" max="15879" width="8.28515625" style="3" customWidth="1"/>
    <col min="15880" max="15880" width="12.42578125" style="3" customWidth="1"/>
    <col min="15881" max="15881" width="36.5703125" style="3" customWidth="1"/>
    <col min="15882" max="15882" width="9.140625" style="3"/>
    <col min="15883" max="15883" width="11.42578125" style="3" customWidth="1"/>
    <col min="15884" max="15884" width="11.5703125" style="3" customWidth="1"/>
    <col min="15885" max="16132" width="9.140625" style="3"/>
    <col min="16133" max="16134" width="36" style="3" customWidth="1"/>
    <col min="16135" max="16135" width="8.28515625" style="3" customWidth="1"/>
    <col min="16136" max="16136" width="12.42578125" style="3" customWidth="1"/>
    <col min="16137" max="16137" width="36.5703125" style="3" customWidth="1"/>
    <col min="16138" max="16138" width="9.140625" style="3"/>
    <col min="16139" max="16139" width="11.42578125" style="3" customWidth="1"/>
    <col min="16140" max="16140" width="11.5703125" style="3" customWidth="1"/>
    <col min="16141" max="16384" width="9.140625" style="3"/>
  </cols>
  <sheetData>
    <row r="1" spans="4:12" ht="15.75" x14ac:dyDescent="0.25">
      <c r="E1" s="77"/>
    </row>
    <row r="3" spans="4:12" ht="15.75" thickBot="1" x14ac:dyDescent="0.3"/>
    <row r="4" spans="4:12" ht="15.75" thickBot="1" x14ac:dyDescent="0.3">
      <c r="D4" s="170" t="s">
        <v>164</v>
      </c>
      <c r="E4" s="171"/>
      <c r="F4" s="171"/>
      <c r="G4" s="172"/>
      <c r="I4" s="173" t="s">
        <v>165</v>
      </c>
      <c r="J4" s="174"/>
      <c r="K4" s="174"/>
      <c r="L4" s="175"/>
    </row>
    <row r="5" spans="4:12" x14ac:dyDescent="0.25">
      <c r="D5" s="1"/>
      <c r="E5" s="2"/>
      <c r="F5" s="176" t="s">
        <v>166</v>
      </c>
      <c r="G5" s="177"/>
      <c r="I5" s="178" t="s">
        <v>167</v>
      </c>
      <c r="J5" s="179"/>
      <c r="K5" s="180" t="s">
        <v>168</v>
      </c>
      <c r="L5" s="181"/>
    </row>
    <row r="6" spans="4:12" x14ac:dyDescent="0.25">
      <c r="D6" s="1"/>
      <c r="E6" s="78" t="s">
        <v>169</v>
      </c>
      <c r="F6" s="79">
        <f>SUM(F9:F17)</f>
        <v>2101.5343317502557</v>
      </c>
      <c r="G6" s="80"/>
      <c r="I6" s="178"/>
      <c r="J6" s="179"/>
      <c r="K6" s="81" t="s">
        <v>38</v>
      </c>
      <c r="L6" s="82" t="s">
        <v>36</v>
      </c>
    </row>
    <row r="7" spans="4:12" x14ac:dyDescent="0.25">
      <c r="D7" s="1"/>
      <c r="E7" s="83"/>
      <c r="F7" s="84"/>
      <c r="G7" s="85"/>
      <c r="I7" s="86"/>
      <c r="J7" s="2"/>
      <c r="K7" s="2"/>
      <c r="L7" s="85"/>
    </row>
    <row r="8" spans="4:12" x14ac:dyDescent="0.25">
      <c r="D8" s="1"/>
      <c r="E8" s="78" t="s">
        <v>170</v>
      </c>
      <c r="F8" s="79">
        <f>'[1]Investimento Terminais'!K17/1000000</f>
        <v>519.35075969119976</v>
      </c>
      <c r="G8" s="80"/>
      <c r="I8" s="87" t="str">
        <f>IF('[1]Avaliação de Tarifa'!I$6&lt;&gt;" ",CONCATENATE('[1]Avaliação de Tarifa'!$I$4,'[1]Avaliação de Tarifa'!$I$5,'[1]Avaliação de Tarifa'!I$6)," ")</f>
        <v>ARAUCARIA a LONDRINA</v>
      </c>
      <c r="J8" s="88"/>
      <c r="K8" s="89">
        <f>'[1]Avaliação de Tarifa'!I118</f>
        <v>21.567057875103245</v>
      </c>
      <c r="L8" s="90">
        <f>'[1]Avaliação de Tarifa'!I126</f>
        <v>6.9605128288967213E-2</v>
      </c>
    </row>
    <row r="9" spans="4:12" x14ac:dyDescent="0.25">
      <c r="D9" s="1"/>
      <c r="E9" s="91" t="str">
        <f>IF('[1]Investimento Terminais'!D10=" "," ",'[1]Investimento Terminais'!D10)</f>
        <v>LONDRINA</v>
      </c>
      <c r="F9" s="92">
        <f>IF(E9="-"," ",'[1]Investimento Terminais'!K10/1000000)</f>
        <v>258.7430034494609</v>
      </c>
      <c r="G9" s="85"/>
      <c r="I9" s="93" t="s">
        <v>71</v>
      </c>
      <c r="J9" s="94"/>
      <c r="K9" s="95">
        <f>'[1]Avaliação de Tarifa'!I120</f>
        <v>19.852488632941061</v>
      </c>
      <c r="L9" s="96">
        <f>'[1]Avaliação de Tarifa'!I128</f>
        <v>6.4071558863218886E-2</v>
      </c>
    </row>
    <row r="10" spans="4:12" x14ac:dyDescent="0.25">
      <c r="D10" s="1"/>
      <c r="E10" s="91" t="str">
        <f>IF('[1]Investimento Terminais'!D11=" "," ",'[1]Investimento Terminais'!D11)</f>
        <v>CAMPO_GRANDE</v>
      </c>
      <c r="F10" s="92">
        <f>IF(E10="-"," ",'[1]Investimento Terminais'!K11/1000000)</f>
        <v>123.24509978909116</v>
      </c>
      <c r="G10" s="85"/>
      <c r="I10" s="93" t="s">
        <v>73</v>
      </c>
      <c r="J10" s="94"/>
      <c r="K10" s="95">
        <f>'[1]Avaliação de Tarifa'!I121</f>
        <v>19.934741481508166</v>
      </c>
      <c r="L10" s="96">
        <f>'[1]Avaliação de Tarifa'!I129</f>
        <v>6.4337020202906547E-2</v>
      </c>
    </row>
    <row r="11" spans="4:12" x14ac:dyDescent="0.25">
      <c r="D11" s="1"/>
      <c r="E11" s="91" t="str">
        <f>IF('[1]Investimento Terminais'!D12=" "," ",'[1]Investimento Terminais'!D12)</f>
        <v>CUIABA</v>
      </c>
      <c r="F11" s="92">
        <f>IF(E11="-"," ",'[1]Investimento Terminais'!K12/1000000)</f>
        <v>137.36265645264771</v>
      </c>
      <c r="G11" s="85"/>
      <c r="I11" s="93" t="s">
        <v>72</v>
      </c>
      <c r="J11" s="94"/>
      <c r="K11" s="95" t="str">
        <f>'[1]Avaliação de Tarifa'!I122</f>
        <v xml:space="preserve"> </v>
      </c>
      <c r="L11" s="96" t="str">
        <f>'[1]Avaliação de Tarifa'!I130</f>
        <v xml:space="preserve"> </v>
      </c>
    </row>
    <row r="12" spans="4:12" x14ac:dyDescent="0.25">
      <c r="D12" s="1"/>
      <c r="E12" s="91" t="str">
        <f>IF('[1]Investimento Terminais'!D13=" "," ",'[1]Investimento Terminais'!D13)</f>
        <v>-</v>
      </c>
      <c r="F12" s="92" t="str">
        <f>IF(E12="-"," ",'[1]Investimento Terminais'!K13/1000000)</f>
        <v xml:space="preserve"> </v>
      </c>
      <c r="G12" s="85"/>
      <c r="I12" s="93" t="s">
        <v>74</v>
      </c>
      <c r="J12" s="94"/>
      <c r="K12" s="95" t="str">
        <f>'[1]Avaliação de Tarifa'!I123</f>
        <v xml:space="preserve"> </v>
      </c>
      <c r="L12" s="96" t="str">
        <f>'[1]Avaliação de Tarifa'!I131</f>
        <v xml:space="preserve"> </v>
      </c>
    </row>
    <row r="13" spans="4:12" ht="15.75" thickBot="1" x14ac:dyDescent="0.3">
      <c r="D13" s="1"/>
      <c r="E13" s="91" t="str">
        <f>IF('[1]Investimento Terminais'!D14=" "," ",'[1]Investimento Terminais'!D14)</f>
        <v>-</v>
      </c>
      <c r="F13" s="92" t="str">
        <f>IF(E13="-"," ",'[1]Investimento Terminais'!K14/1000000)</f>
        <v xml:space="preserve"> </v>
      </c>
      <c r="G13" s="85"/>
      <c r="I13" s="93" t="s">
        <v>61</v>
      </c>
      <c r="J13" s="94"/>
      <c r="K13" s="95">
        <f>'[1]Avaliação de Tarifa'!I124</f>
        <v>21.056571156091142</v>
      </c>
      <c r="L13" s="96">
        <f>'[1]Avaliação de Tarifa'!I132</f>
        <v>6.7957592784939583E-2</v>
      </c>
    </row>
    <row r="14" spans="4:12" x14ac:dyDescent="0.25">
      <c r="D14" s="1"/>
      <c r="E14" s="91" t="str">
        <f>IF('[1]Investimento Terminais'!D15=" "," ",'[1]Investimento Terminais'!D15)</f>
        <v>-</v>
      </c>
      <c r="F14" s="92" t="str">
        <f>IF(E14="-"," ",'[1]Investimento Terminais'!K15/1000000)</f>
        <v xml:space="preserve"> </v>
      </c>
      <c r="G14" s="85"/>
      <c r="I14" s="97" t="str">
        <f>IF('[1]Avaliação de Tarifa'!J$6&lt;&gt;" ",CONCATENATE('[1]Avaliação de Tarifa'!$I$4,'[1]Avaliação de Tarifa'!$I$5,'[1]Avaliação de Tarifa'!J$6)," ")</f>
        <v>ARAUCARIA a CAMPO_GRANDE</v>
      </c>
      <c r="J14" s="98"/>
      <c r="K14" s="99">
        <f>'[1]Avaliação de Tarifa'!J118</f>
        <v>49.014734202452331</v>
      </c>
      <c r="L14" s="100">
        <f>'[1]Avaliação de Tarifa'!J126</f>
        <v>6.2285477116871532E-2</v>
      </c>
    </row>
    <row r="15" spans="4:12" x14ac:dyDescent="0.25">
      <c r="D15" s="1"/>
      <c r="E15" s="91" t="str">
        <f>IF('[1]Investimento Terminais'!D16=" "," ",'[1]Investimento Terminais'!D16)</f>
        <v>-</v>
      </c>
      <c r="F15" s="92" t="str">
        <f>IF(E15="-"," ",'[1]Investimento Terminais'!K16/1000000)</f>
        <v xml:space="preserve"> </v>
      </c>
      <c r="G15" s="85"/>
      <c r="I15" s="101" t="str">
        <f>IF('[1]Avaliação de Tarifa'!J$6&lt;&gt;" ",CONCATENATE(" ",'[1]Avaliação de Tarifa'!$I$6,'[1]Avaliação de Tarifa'!$I$5,'[1]Avaliação de Tarifa'!J$6)," ")</f>
        <v xml:space="preserve"> LONDRINA a CAMPO_GRANDE</v>
      </c>
      <c r="J15" s="102"/>
      <c r="K15" s="103">
        <f>'[1]Avaliação de Tarifa'!J101</f>
        <v>36.017108948837574</v>
      </c>
      <c r="L15" s="104">
        <f>'[1]Avaliação de Tarifa'!J109</f>
        <v>7.5493620717102305E-2</v>
      </c>
    </row>
    <row r="16" spans="4:12" x14ac:dyDescent="0.25">
      <c r="D16" s="1"/>
      <c r="E16" s="91"/>
      <c r="F16" s="92"/>
      <c r="G16" s="85"/>
      <c r="I16" s="93" t="s">
        <v>71</v>
      </c>
      <c r="J16" s="91"/>
      <c r="K16" s="105">
        <f>'[1]Avaliação de Tarifa'!J120</f>
        <v>41.262475660947565</v>
      </c>
      <c r="L16" s="106">
        <f>'[1]Avaliação de Tarifa'!J128</f>
        <v>5.243429400126854E-2</v>
      </c>
    </row>
    <row r="17" spans="4:12" x14ac:dyDescent="0.25">
      <c r="D17" s="1"/>
      <c r="E17" s="78" t="s">
        <v>171</v>
      </c>
      <c r="F17" s="79">
        <f>'[1]Investimento no Duto'!P22</f>
        <v>1582.1835720590561</v>
      </c>
      <c r="G17" s="80"/>
      <c r="I17" s="93" t="s">
        <v>73</v>
      </c>
      <c r="J17" s="91"/>
      <c r="K17" s="105">
        <f>'[1]Avaliação de Tarifa'!J121</f>
        <v>41.69806124673444</v>
      </c>
      <c r="L17" s="106">
        <f>'[1]Avaliação de Tarifa'!J129</f>
        <v>5.2987814416658452E-2</v>
      </c>
    </row>
    <row r="18" spans="4:12" x14ac:dyDescent="0.25">
      <c r="D18" s="1"/>
      <c r="E18" s="91" t="str">
        <f>IF('[1]Entrada de Dados-Abrangência'!B7&lt;&gt;" ",CONCATENATE('[1]Entrada de Dados-Abrangência'!E7," a ",'[1]Entrada de Dados-Abrangência'!E8)," ")</f>
        <v>ARAUCARIA a LONDRINA</v>
      </c>
      <c r="F18" s="107">
        <f>IF(E18&lt;&gt;" ",'[1]Investimento no Duto'!P14," ")</f>
        <v>557.72764348656665</v>
      </c>
      <c r="G18" s="85"/>
      <c r="I18" s="93" t="s">
        <v>72</v>
      </c>
      <c r="J18" s="91"/>
      <c r="K18" s="105" t="str">
        <f>'[1]Avaliação de Tarifa'!J122</f>
        <v xml:space="preserve"> </v>
      </c>
      <c r="L18" s="106" t="str">
        <f>'[1]Avaliação de Tarifa'!J130</f>
        <v xml:space="preserve"> </v>
      </c>
    </row>
    <row r="19" spans="4:12" x14ac:dyDescent="0.25">
      <c r="D19" s="1"/>
      <c r="E19" s="91" t="str">
        <f>IF('[1]Entrada de Dados-Abrangência'!B9&lt;&gt;" ",CONCATENATE('[1]Entrada de Dados-Abrangência'!E9," a ",'[1]Entrada de Dados-Abrangência'!E10)," ")</f>
        <v>LONDRINA a CAMPO_GRANDE</v>
      </c>
      <c r="F19" s="107">
        <f>IF(E19&lt;&gt;" ",'[1]Investimento no Duto'!P15," ")</f>
        <v>572.50573396877655</v>
      </c>
      <c r="G19" s="85"/>
      <c r="I19" s="93" t="s">
        <v>74</v>
      </c>
      <c r="J19" s="91"/>
      <c r="K19" s="105" t="str">
        <f>'[1]Avaliação de Tarifa'!J123</f>
        <v xml:space="preserve"> </v>
      </c>
      <c r="L19" s="106" t="str">
        <f>'[1]Avaliação de Tarifa'!J131</f>
        <v xml:space="preserve"> </v>
      </c>
    </row>
    <row r="20" spans="4:12" ht="15.75" thickBot="1" x14ac:dyDescent="0.3">
      <c r="D20" s="1"/>
      <c r="E20" s="91" t="str">
        <f>IF('[1]Entrada de Dados-Abrangência'!B11&lt;&gt;" ",CONCATENATE('[1]Entrada de Dados-Abrangência'!E11," a ",'[1]Entrada de Dados-Abrangência'!E12),"-")</f>
        <v>CAMPO_GRANDE a CUIABA</v>
      </c>
      <c r="F20" s="107">
        <f>IF(E20&lt;&gt;" ",'[1]Investimento no Duto'!P16," ")</f>
        <v>451.95019460371304</v>
      </c>
      <c r="G20" s="85"/>
      <c r="I20" s="108" t="s">
        <v>61</v>
      </c>
      <c r="J20" s="109"/>
      <c r="K20" s="110">
        <f>'[1]Avaliação de Tarifa'!J124</f>
        <v>46.73939432255078</v>
      </c>
      <c r="L20" s="111">
        <f>'[1]Avaliação de Tarifa'!J132</f>
        <v>5.9394088796017951E-2</v>
      </c>
    </row>
    <row r="21" spans="4:12" x14ac:dyDescent="0.25">
      <c r="D21" s="1"/>
      <c r="E21" s="91" t="str">
        <f>IF('[1]Entrada de Dados-Abrangência'!B13&lt;&gt;" ",CONCATENATE('[1]Entrada de Dados-Abrangência'!E13," a ",'[1]Entrada de Dados-Abrangência'!E14),"-")</f>
        <v>-</v>
      </c>
      <c r="F21" s="107" t="str">
        <f>IF(E21&lt;&gt;" ",'[1]Investimento no Duto'!P17," ")</f>
        <v xml:space="preserve"> </v>
      </c>
      <c r="G21" s="85"/>
      <c r="I21" s="87" t="str">
        <f>IF('[1]Avaliação de Tarifa'!K$6&lt;&gt;" ",CONCATENATE('[1]Avaliação de Tarifa'!$I$4,'[1]Avaliação de Tarifa'!$I$5,'[1]Avaliação de Tarifa'!K$6)," ")</f>
        <v>ARAUCARIA a CUIABA</v>
      </c>
      <c r="J21" s="88"/>
      <c r="K21" s="89">
        <f>'[1]Avaliação de Tarifa'!K118</f>
        <v>95.149580732333746</v>
      </c>
      <c r="L21" s="90">
        <f>'[1]Avaliação de Tarifa'!K126</f>
        <v>7.0383439819540428E-2</v>
      </c>
    </row>
    <row r="22" spans="4:12" x14ac:dyDescent="0.25">
      <c r="D22" s="1"/>
      <c r="E22" s="91" t="str">
        <f>IF('[1]Entrada de Dados-Abrangência'!B15&lt;&gt;" ",CONCATENATE('[1]Entrada de Dados-Abrangência'!E15," a ",'[1]Entrada de Dados-Abrangência'!E16),"-")</f>
        <v>-</v>
      </c>
      <c r="F22" s="107" t="str">
        <f>IF(E22&lt;&gt;" ",'[1]Investimento no Duto'!P18," ")</f>
        <v xml:space="preserve"> </v>
      </c>
      <c r="G22" s="85"/>
      <c r="I22" s="101" t="str">
        <f>IF('[1]Avaliação de Tarifa'!K$6&lt;&gt;" ",CONCATENATE(" ",'[1]Avaliação de Tarifa'!$J$6,'[1]Avaliação de Tarifa'!$I$5,'[1]Avaliação de Tarifa'!K$6)," ")</f>
        <v xml:space="preserve"> CAMPO_GRANDE a CUIABA</v>
      </c>
      <c r="J22" s="83"/>
      <c r="K22" s="103">
        <f>'[1]Avaliação de Tarifa'!K101</f>
        <v>51.71601809327872</v>
      </c>
      <c r="L22" s="104">
        <f>'[1]Avaliação de Tarifa'!K109</f>
        <v>9.1542862396375824E-2</v>
      </c>
    </row>
    <row r="23" spans="4:12" x14ac:dyDescent="0.25">
      <c r="D23" s="1"/>
      <c r="E23" s="91" t="str">
        <f>IF('[1]Entrada de Dados-Abrangência'!B17&lt;&gt;" ",CONCATENATE('[1]Entrada de Dados-Abrangência'!E17," a ",'[1]Entrada de Dados-Abrangência'!E18),"-")</f>
        <v>-</v>
      </c>
      <c r="F23" s="107" t="str">
        <f>IF(E23&lt;&gt;" ",'[1]Investimento no Duto'!P19," ")</f>
        <v xml:space="preserve"> </v>
      </c>
      <c r="G23" s="85"/>
      <c r="I23" s="93" t="s">
        <v>71</v>
      </c>
      <c r="J23" s="2"/>
      <c r="K23" s="105">
        <f>'[1]Avaliação de Tarifa'!K120</f>
        <v>69.580646576841843</v>
      </c>
      <c r="L23" s="106">
        <f>'[1]Avaliação de Tarifa'!K128</f>
        <v>5.1469751240655226E-2</v>
      </c>
    </row>
    <row r="24" spans="4:12" x14ac:dyDescent="0.25">
      <c r="D24" s="1"/>
      <c r="E24" s="91" t="str">
        <f>IF('[1]Entrada de Dados-Abrangência'!B19&lt;&gt;" ",CONCATENATE('[1]Entrada de Dados-Abrangência'!E19," a ",'[1]Entrada de Dados-Abrangência'!E20),"-")</f>
        <v>-</v>
      </c>
      <c r="F24" s="107" t="str">
        <f>IF(E24&lt;&gt;" ",'[1]Investimento no Duto'!P20," ")</f>
        <v xml:space="preserve"> </v>
      </c>
      <c r="G24" s="85"/>
      <c r="I24" s="93" t="s">
        <v>73</v>
      </c>
      <c r="J24" s="2"/>
      <c r="K24" s="105">
        <f>'[1]Avaliação de Tarifa'!K121</f>
        <v>70.919405683290634</v>
      </c>
      <c r="L24" s="106">
        <f>'[1]Avaliação de Tarifa'!K129</f>
        <v>5.2460049571729013E-2</v>
      </c>
    </row>
    <row r="25" spans="4:12" x14ac:dyDescent="0.25">
      <c r="D25" s="1"/>
      <c r="E25" s="91"/>
      <c r="F25" s="107"/>
      <c r="G25" s="85"/>
      <c r="I25" s="93" t="s">
        <v>72</v>
      </c>
      <c r="J25" s="2"/>
      <c r="K25" s="105" t="str">
        <f>'[1]Avaliação de Tarifa'!K122</f>
        <v xml:space="preserve"> </v>
      </c>
      <c r="L25" s="106" t="str">
        <f>'[1]Avaliação de Tarifa'!K130</f>
        <v xml:space="preserve"> </v>
      </c>
    </row>
    <row r="26" spans="4:12" x14ac:dyDescent="0.25">
      <c r="D26" s="1"/>
      <c r="E26" s="112"/>
      <c r="F26" s="113"/>
      <c r="G26" s="85"/>
      <c r="I26" s="93" t="s">
        <v>74</v>
      </c>
      <c r="J26" s="2"/>
      <c r="K26" s="105" t="str">
        <f>'[1]Avaliação de Tarifa'!K123</f>
        <v xml:space="preserve"> </v>
      </c>
      <c r="L26" s="106" t="str">
        <f>'[1]Avaliação de Tarifa'!K131</f>
        <v xml:space="preserve"> </v>
      </c>
    </row>
    <row r="27" spans="4:12" ht="15.75" thickBot="1" x14ac:dyDescent="0.3">
      <c r="D27" s="1"/>
      <c r="E27" s="78" t="s">
        <v>43</v>
      </c>
      <c r="F27" s="79">
        <f>'[1]Capital de Giro'!F92/1000000</f>
        <v>187.42581917278861</v>
      </c>
      <c r="G27" s="80"/>
      <c r="I27" s="93" t="s">
        <v>61</v>
      </c>
      <c r="J27" s="2"/>
      <c r="K27" s="105">
        <f>'[1]Avaliação de Tarifa'!K124</f>
        <v>87.582223476938651</v>
      </c>
      <c r="L27" s="106">
        <f>'[1]Avaliação de Tarifa'!K132</f>
        <v>6.4785762668693361E-2</v>
      </c>
    </row>
    <row r="28" spans="4:12" ht="15.75" thickBot="1" x14ac:dyDescent="0.3">
      <c r="D28" s="1"/>
      <c r="E28" s="83"/>
      <c r="F28" s="84"/>
      <c r="G28" s="85"/>
      <c r="I28" s="97" t="str">
        <f>IF('[1]Avaliação de Tarifa'!L$6&lt;&gt;" ",CONCATENATE('[1]Avaliação de Tarifa'!$I$4,'[1]Avaliação de Tarifa'!$I$5,'[1]Avaliação de Tarifa'!L$6)," ")</f>
        <v xml:space="preserve"> </v>
      </c>
      <c r="J28" s="98"/>
      <c r="K28" s="99" t="str">
        <f>'[1]Avaliação de Tarifa'!L118</f>
        <v xml:space="preserve"> </v>
      </c>
      <c r="L28" s="100" t="str">
        <f>'[1]Avaliação de Tarifa'!L126</f>
        <v xml:space="preserve"> </v>
      </c>
    </row>
    <row r="29" spans="4:12" ht="15.75" thickBot="1" x14ac:dyDescent="0.3">
      <c r="D29" s="163" t="s">
        <v>172</v>
      </c>
      <c r="E29" s="164"/>
      <c r="F29" s="114">
        <f>F27+F6</f>
        <v>2288.9601509230442</v>
      </c>
      <c r="G29" s="115"/>
      <c r="I29" s="101" t="str">
        <f>IF('[1]Avaliação de Tarifa'!L$6&lt;&gt;" ",CONCATENATE(" ",'[1]Avaliação de Tarifa'!$K$6,'[1]Avaliação de Tarifa'!$I$5,'[1]Avaliação de Tarifa'!L$6)," ")</f>
        <v xml:space="preserve"> </v>
      </c>
      <c r="J29" s="83"/>
      <c r="K29" s="103" t="str">
        <f>'[1]Avaliação de Tarifa'!L101</f>
        <v xml:space="preserve"> </v>
      </c>
      <c r="L29" s="104" t="str">
        <f>'[1]Avaliação de Tarifa'!L109</f>
        <v xml:space="preserve"> </v>
      </c>
    </row>
    <row r="30" spans="4:12" ht="15.75" thickBot="1" x14ac:dyDescent="0.3">
      <c r="D30" s="163" t="s">
        <v>173</v>
      </c>
      <c r="E30" s="164"/>
      <c r="F30" s="114">
        <f>'[1]Custos Operacionais'!H35/1000000</f>
        <v>72.311472011712013</v>
      </c>
      <c r="G30" s="116"/>
      <c r="I30" s="93" t="s">
        <v>71</v>
      </c>
      <c r="J30" s="2"/>
      <c r="K30" s="105" t="str">
        <f>'[1]Avaliação de Tarifa'!L120</f>
        <v xml:space="preserve"> </v>
      </c>
      <c r="L30" s="106" t="str">
        <f>'[1]Avaliação de Tarifa'!L128</f>
        <v xml:space="preserve"> </v>
      </c>
    </row>
    <row r="31" spans="4:12" ht="15.75" thickBot="1" x14ac:dyDescent="0.3">
      <c r="I31" s="93" t="s">
        <v>73</v>
      </c>
      <c r="J31" s="2"/>
      <c r="K31" s="105" t="str">
        <f>'[1]Avaliação de Tarifa'!L121</f>
        <v xml:space="preserve"> </v>
      </c>
      <c r="L31" s="106" t="str">
        <f>'[1]Avaliação de Tarifa'!L129</f>
        <v xml:space="preserve"> </v>
      </c>
    </row>
    <row r="32" spans="4:12" ht="15.75" thickBot="1" x14ac:dyDescent="0.3">
      <c r="D32" s="165" t="s">
        <v>174</v>
      </c>
      <c r="E32" s="166"/>
      <c r="F32" s="166"/>
      <c r="G32" s="167"/>
      <c r="I32" s="93" t="s">
        <v>72</v>
      </c>
      <c r="J32" s="2"/>
      <c r="K32" s="105" t="str">
        <f>'[1]Avaliação de Tarifa'!L122</f>
        <v xml:space="preserve"> </v>
      </c>
      <c r="L32" s="106" t="str">
        <f>'[1]Avaliação de Tarifa'!L130</f>
        <v xml:space="preserve"> </v>
      </c>
    </row>
    <row r="33" spans="4:12" x14ac:dyDescent="0.25">
      <c r="D33" s="1"/>
      <c r="E33" s="2"/>
      <c r="F33" s="117" t="s">
        <v>175</v>
      </c>
      <c r="G33" s="85"/>
      <c r="I33" s="93" t="s">
        <v>74</v>
      </c>
      <c r="J33" s="2"/>
      <c r="K33" s="105" t="str">
        <f>'[1]Avaliação de Tarifa'!L123</f>
        <v xml:space="preserve"> </v>
      </c>
      <c r="L33" s="106" t="str">
        <f>'[1]Avaliação de Tarifa'!L131</f>
        <v xml:space="preserve"> </v>
      </c>
    </row>
    <row r="34" spans="4:12" ht="15.75" thickBot="1" x14ac:dyDescent="0.3">
      <c r="D34" s="1"/>
      <c r="E34" s="83" t="s">
        <v>176</v>
      </c>
      <c r="F34" s="118">
        <f>'[1]Custo de Transporte Básico'!$K$44</f>
        <v>455635224.47800553</v>
      </c>
      <c r="G34" s="85"/>
      <c r="I34" s="108" t="s">
        <v>61</v>
      </c>
      <c r="J34" s="119"/>
      <c r="K34" s="110" t="str">
        <f>'[1]Avaliação de Tarifa'!L124</f>
        <v xml:space="preserve"> </v>
      </c>
      <c r="L34" s="111" t="str">
        <f>'[1]Avaliação de Tarifa'!L132</f>
        <v xml:space="preserve"> </v>
      </c>
    </row>
    <row r="35" spans="4:12" x14ac:dyDescent="0.25">
      <c r="D35" s="1"/>
      <c r="E35" s="83" t="s">
        <v>177</v>
      </c>
      <c r="F35" s="118">
        <f>'[1]Custos de Transporte com Duto'!$K$88</f>
        <v>491270531.16769946</v>
      </c>
      <c r="G35" s="85"/>
      <c r="I35" s="87" t="str">
        <f>IF('[1]Avaliação de Tarifa'!M6&lt;&gt;" ",CONCATENATE('[1]Avaliação de Tarifa'!$I$4,'[1]Avaliação de Tarifa'!$I$5,'[1]Avaliação de Tarifa'!M$6)," ")</f>
        <v xml:space="preserve"> </v>
      </c>
      <c r="J35" s="88"/>
      <c r="K35" s="89" t="str">
        <f>'[1]Avaliação de Tarifa'!M118</f>
        <v xml:space="preserve"> </v>
      </c>
      <c r="L35" s="90" t="str">
        <f>'[1]Avaliação de Tarifa'!M126</f>
        <v xml:space="preserve"> </v>
      </c>
    </row>
    <row r="36" spans="4:12" ht="15.75" thickBot="1" x14ac:dyDescent="0.3">
      <c r="D36" s="120"/>
      <c r="E36" s="121" t="s">
        <v>178</v>
      </c>
      <c r="F36" s="122">
        <f>F34-F35</f>
        <v>-35635306.689693928</v>
      </c>
      <c r="G36" s="123"/>
      <c r="I36" s="101" t="str">
        <f>IF('[1]Avaliação de Tarifa'!M$6&lt;&gt;" ",CONCATENATE(" ",'[1]Avaliação de Tarifa'!$L$6,'[1]Avaliação de Tarifa'!$I$5,'[1]Avaliação de Tarifa'!M$6)," ")</f>
        <v xml:space="preserve"> </v>
      </c>
      <c r="J36" s="83"/>
      <c r="K36" s="103" t="str">
        <f>'[1]Avaliação de Tarifa'!M101</f>
        <v xml:space="preserve"> </v>
      </c>
      <c r="L36" s="104" t="str">
        <f>'[1]Avaliação de Tarifa'!M109</f>
        <v xml:space="preserve"> </v>
      </c>
    </row>
    <row r="37" spans="4:12" ht="15.75" thickBot="1" x14ac:dyDescent="0.3">
      <c r="I37" s="93" t="s">
        <v>71</v>
      </c>
      <c r="J37" s="2"/>
      <c r="K37" s="105" t="str">
        <f>'[1]Avaliação de Tarifa'!M120</f>
        <v xml:space="preserve"> </v>
      </c>
      <c r="L37" s="106" t="str">
        <f>'[1]Avaliação de Tarifa'!M128</f>
        <v xml:space="preserve"> </v>
      </c>
    </row>
    <row r="38" spans="4:12" ht="15.75" thickBot="1" x14ac:dyDescent="0.3">
      <c r="D38" s="168" t="s">
        <v>179</v>
      </c>
      <c r="E38" s="169"/>
      <c r="F38" s="168" t="s">
        <v>180</v>
      </c>
      <c r="G38" s="169"/>
      <c r="I38" s="93" t="s">
        <v>73</v>
      </c>
      <c r="J38" s="2"/>
      <c r="K38" s="105" t="str">
        <f>'[1]Avaliação de Tarifa'!M121</f>
        <v xml:space="preserve"> </v>
      </c>
      <c r="L38" s="106" t="str">
        <f>'[1]Avaliação de Tarifa'!M129</f>
        <v xml:space="preserve"> </v>
      </c>
    </row>
    <row r="39" spans="4:12" x14ac:dyDescent="0.25">
      <c r="D39" s="1" t="str">
        <f>'[1]Tabelas de Apoio'!K39</f>
        <v>MS</v>
      </c>
      <c r="E39" s="2" t="str">
        <f>'[1]Tabelas de Apoio'!J39</f>
        <v>CAMPO_GRANDE</v>
      </c>
      <c r="F39" s="86" t="str">
        <f>VLOOKUP(E39,'[1]Matriz Distâncias Rodoviárias'!$E$13:$W$42,19,0)</f>
        <v>CAMPO_GRANDE</v>
      </c>
      <c r="G39" s="85"/>
      <c r="I39" s="93" t="s">
        <v>72</v>
      </c>
      <c r="J39" s="2"/>
      <c r="K39" s="105" t="str">
        <f>'[1]Avaliação de Tarifa'!M122</f>
        <v xml:space="preserve"> </v>
      </c>
      <c r="L39" s="106" t="str">
        <f>'[1]Avaliação de Tarifa'!M130</f>
        <v xml:space="preserve"> </v>
      </c>
    </row>
    <row r="40" spans="4:12" x14ac:dyDescent="0.25">
      <c r="D40" s="1" t="str">
        <f>'[1]Tabelas de Apoio'!K40</f>
        <v>MT</v>
      </c>
      <c r="E40" s="2" t="str">
        <f>'[1]Tabelas de Apoio'!J40</f>
        <v>CUIABA</v>
      </c>
      <c r="F40" s="86" t="str">
        <f>VLOOKUP(E40,'[1]Matriz Distâncias Rodoviárias'!$E$13:$W$42,19,0)</f>
        <v>CUIABA</v>
      </c>
      <c r="G40" s="85"/>
      <c r="I40" s="93" t="s">
        <v>74</v>
      </c>
      <c r="J40" s="2"/>
      <c r="K40" s="105" t="str">
        <f>'[1]Avaliação de Tarifa'!M123</f>
        <v xml:space="preserve"> </v>
      </c>
      <c r="L40" s="106" t="str">
        <f>'[1]Avaliação de Tarifa'!M131</f>
        <v xml:space="preserve"> </v>
      </c>
    </row>
    <row r="41" spans="4:12" ht="15.75" thickBot="1" x14ac:dyDescent="0.3">
      <c r="D41" s="1" t="str">
        <f>'[1]Tabelas de Apoio'!K41</f>
        <v>PR</v>
      </c>
      <c r="E41" s="2" t="str">
        <f>'[1]Tabelas de Apoio'!J41</f>
        <v>LONDRINA</v>
      </c>
      <c r="F41" s="86" t="str">
        <f>VLOOKUP(E41,'[1]Matriz Distâncias Rodoviárias'!$E$13:$W$42,19,0)</f>
        <v>LONDRINA</v>
      </c>
      <c r="G41" s="85"/>
      <c r="I41" s="93" t="s">
        <v>61</v>
      </c>
      <c r="J41" s="2"/>
      <c r="K41" s="105" t="str">
        <f>'[1]Avaliação de Tarifa'!M124</f>
        <v xml:space="preserve"> </v>
      </c>
      <c r="L41" s="106" t="str">
        <f>'[1]Avaliação de Tarifa'!M132</f>
        <v xml:space="preserve"> </v>
      </c>
    </row>
    <row r="42" spans="4:12" x14ac:dyDescent="0.25">
      <c r="D42" s="1" t="str">
        <f>'[1]Tabelas de Apoio'!K42</f>
        <v>PR</v>
      </c>
      <c r="E42" s="2" t="str">
        <f>'[1]Tabelas de Apoio'!J42</f>
        <v>MARINGA</v>
      </c>
      <c r="F42" s="86" t="str">
        <f>VLOOKUP(E42,'[1]Matriz Distâncias Rodoviárias'!$E$13:$W$42,19,0)</f>
        <v>LONDRINA</v>
      </c>
      <c r="G42" s="85"/>
      <c r="I42" s="97" t="str">
        <f>IF('[1]Avaliação de Tarifa'!N$6&lt;&gt;" ",CONCATENATE('[1]Avaliação de Tarifa'!$I$4,'[1]Avaliação de Tarifa'!$I$5,'[1]Avaliação de Tarifa'!N$6)," ")</f>
        <v xml:space="preserve"> </v>
      </c>
      <c r="J42" s="98"/>
      <c r="K42" s="99" t="str">
        <f>'[1]Avaliação de Tarifa'!N118</f>
        <v xml:space="preserve"> </v>
      </c>
      <c r="L42" s="100" t="str">
        <f>'[1]Avaliação de Tarifa'!N126</f>
        <v xml:space="preserve"> </v>
      </c>
    </row>
    <row r="43" spans="4:12" x14ac:dyDescent="0.25">
      <c r="D43" s="1" t="str">
        <f>'[1]Tabelas de Apoio'!K43</f>
        <v>SP</v>
      </c>
      <c r="E43" s="2" t="str">
        <f>'[1]Tabelas de Apoio'!J43</f>
        <v>PRESIDENTE_PRUDENTE</v>
      </c>
      <c r="F43" s="86" t="str">
        <f>VLOOKUP(E43,'[1]Matriz Distâncias Rodoviárias'!$E$13:$W$42,19,0)</f>
        <v>LONDRINA</v>
      </c>
      <c r="G43" s="85"/>
      <c r="I43" s="101" t="str">
        <f>IF('[1]Avaliação de Tarifa'!N$6&lt;&gt;" ",CONCATENATE(" ",'[1]Avaliação de Tarifa'!$M$6,'[1]Avaliação de Tarifa'!$I$5,'[1]Avaliação de Tarifa'!N$6)," ")</f>
        <v xml:space="preserve"> </v>
      </c>
      <c r="J43" s="83"/>
      <c r="K43" s="103" t="str">
        <f>'[1]Avaliação de Tarifa'!N101</f>
        <v xml:space="preserve"> </v>
      </c>
      <c r="L43" s="104" t="str">
        <f>'[1]Avaliação de Tarifa'!N109</f>
        <v xml:space="preserve"> </v>
      </c>
    </row>
    <row r="44" spans="4:12" x14ac:dyDescent="0.25">
      <c r="D44" s="1" t="str">
        <f>'[1]Tabelas de Apoio'!K44</f>
        <v>SP</v>
      </c>
      <c r="E44" s="2" t="str">
        <f>'[1]Tabelas de Apoio'!J44</f>
        <v>OURINHOS</v>
      </c>
      <c r="F44" s="86" t="str">
        <f>VLOOKUP(E44,'[1]Matriz Distâncias Rodoviárias'!$E$13:$W$42,19,0)</f>
        <v>LONDRINA</v>
      </c>
      <c r="G44" s="85"/>
      <c r="I44" s="93" t="s">
        <v>71</v>
      </c>
      <c r="J44" s="2"/>
      <c r="K44" s="105" t="str">
        <f>'[1]Avaliação de Tarifa'!N120</f>
        <v xml:space="preserve"> </v>
      </c>
      <c r="L44" s="106" t="str">
        <f>'[1]Avaliação de Tarifa'!N128</f>
        <v xml:space="preserve"> </v>
      </c>
    </row>
    <row r="45" spans="4:12" x14ac:dyDescent="0.25">
      <c r="D45" s="1" t="str">
        <f>'[1]Tabelas de Apoio'!K45</f>
        <v>PR</v>
      </c>
      <c r="E45" s="2" t="str">
        <f>'[1]Tabelas de Apoio'!J45</f>
        <v>CASCAVEL</v>
      </c>
      <c r="F45" s="86" t="str">
        <f>VLOOKUP(E45,'[1]Matriz Distâncias Rodoviárias'!$E$13:$W$42,19,0)</f>
        <v>LONDRINA</v>
      </c>
      <c r="G45" s="85"/>
      <c r="I45" s="93" t="s">
        <v>73</v>
      </c>
      <c r="J45" s="2"/>
      <c r="K45" s="105" t="str">
        <f>'[1]Avaliação de Tarifa'!N121</f>
        <v xml:space="preserve"> </v>
      </c>
      <c r="L45" s="106" t="str">
        <f>'[1]Avaliação de Tarifa'!N129</f>
        <v xml:space="preserve"> </v>
      </c>
    </row>
    <row r="46" spans="4:12" x14ac:dyDescent="0.25">
      <c r="D46" s="1" t="str">
        <f>'[1]Tabelas de Apoio'!K46</f>
        <v>MT</v>
      </c>
      <c r="E46" s="2" t="str">
        <f>'[1]Tabelas de Apoio'!J46</f>
        <v>VARZEA_GRANDE</v>
      </c>
      <c r="F46" s="86" t="str">
        <f>VLOOKUP(E46,'[1]Matriz Distâncias Rodoviárias'!$E$13:$W$42,19,0)</f>
        <v>CUIABA</v>
      </c>
      <c r="G46" s="85"/>
      <c r="I46" s="93" t="s">
        <v>72</v>
      </c>
      <c r="J46" s="2"/>
      <c r="K46" s="105" t="str">
        <f>'[1]Avaliação de Tarifa'!N122</f>
        <v xml:space="preserve"> </v>
      </c>
      <c r="L46" s="106" t="str">
        <f>'[1]Avaliação de Tarifa'!N130</f>
        <v xml:space="preserve"> </v>
      </c>
    </row>
    <row r="47" spans="4:12" x14ac:dyDescent="0.25">
      <c r="D47" s="1" t="str">
        <f>'[1]Tabelas de Apoio'!K47</f>
        <v>MT</v>
      </c>
      <c r="E47" s="2" t="str">
        <f>'[1]Tabelas de Apoio'!J47</f>
        <v>SINOP</v>
      </c>
      <c r="F47" s="86" t="str">
        <f>VLOOKUP(E47,'[1]Matriz Distâncias Rodoviárias'!$E$13:$W$42,19,0)</f>
        <v>CUIABA</v>
      </c>
      <c r="G47" s="85"/>
      <c r="I47" s="93" t="s">
        <v>74</v>
      </c>
      <c r="J47" s="2"/>
      <c r="K47" s="105" t="str">
        <f>'[1]Avaliação de Tarifa'!N123</f>
        <v xml:space="preserve"> </v>
      </c>
      <c r="L47" s="106" t="str">
        <f>'[1]Avaliação de Tarifa'!N131</f>
        <v xml:space="preserve"> </v>
      </c>
    </row>
    <row r="48" spans="4:12" ht="15.75" thickBot="1" x14ac:dyDescent="0.3">
      <c r="D48" s="1" t="str">
        <f>'[1]Tabelas de Apoio'!K48</f>
        <v>MS</v>
      </c>
      <c r="E48" s="2" t="str">
        <f>'[1]Tabelas de Apoio'!J48</f>
        <v>DOURADOS</v>
      </c>
      <c r="F48" s="86" t="str">
        <f>VLOOKUP(E48,'[1]Matriz Distâncias Rodoviárias'!$E$13:$W$42,19,0)</f>
        <v>CAMPO_GRANDE</v>
      </c>
      <c r="G48" s="85"/>
      <c r="I48" s="108" t="s">
        <v>61</v>
      </c>
      <c r="J48" s="119"/>
      <c r="K48" s="110" t="str">
        <f>'[1]Avaliação de Tarifa'!N124</f>
        <v xml:space="preserve"> </v>
      </c>
      <c r="L48" s="111" t="str">
        <f>'[1]Avaliação de Tarifa'!N132</f>
        <v xml:space="preserve"> </v>
      </c>
    </row>
    <row r="49" spans="4:12" x14ac:dyDescent="0.25">
      <c r="D49" s="1" t="str">
        <f>'[1]Tabelas de Apoio'!K49</f>
        <v>RO</v>
      </c>
      <c r="E49" s="2" t="str">
        <f>'[1]Tabelas de Apoio'!J49</f>
        <v>PORTO_VELHO</v>
      </c>
      <c r="F49" s="86" t="str">
        <f>VLOOKUP(E49,'[1]Matriz Distâncias Rodoviárias'!$E$13:$W$42,19,0)</f>
        <v>CUIABA</v>
      </c>
      <c r="G49" s="85"/>
      <c r="I49" s="87" t="str">
        <f>IF('[1]Avaliação de Tarifa'!O$6&lt;&gt;" ",CONCATENATE('[1]Avaliação de Tarifa'!$I$4,'[1]Avaliação de Tarifa'!$I$5,'[1]Avaliação de Tarifa'!O$6)," ")</f>
        <v xml:space="preserve"> </v>
      </c>
      <c r="J49" s="88"/>
      <c r="K49" s="89" t="str">
        <f>'[1]Avaliação de Tarifa'!O118</f>
        <v xml:space="preserve"> </v>
      </c>
      <c r="L49" s="90" t="str">
        <f>'[1]Avaliação de Tarifa'!O126</f>
        <v xml:space="preserve"> </v>
      </c>
    </row>
    <row r="50" spans="4:12" x14ac:dyDescent="0.25">
      <c r="D50" s="1" t="str">
        <f>'[1]Tabelas de Apoio'!K50</f>
        <v>PR</v>
      </c>
      <c r="E50" s="2" t="str">
        <f>'[1]Tabelas de Apoio'!J50</f>
        <v>CIANORTE</v>
      </c>
      <c r="F50" s="86" t="str">
        <f>VLOOKUP(E50,'[1]Matriz Distâncias Rodoviárias'!$E$13:$W$42,19,0)</f>
        <v>LONDRINA</v>
      </c>
      <c r="G50" s="85"/>
      <c r="I50" s="101" t="str">
        <f>IF('[1]Avaliação de Tarifa'!O$6&lt;&gt;" ",CONCATENATE(" ",'[1]Avaliação de Tarifa'!$N$6,'[1]Avaliação de Tarifa'!$I$5,'[1]Avaliação de Tarifa'!O$6)," ")</f>
        <v xml:space="preserve"> </v>
      </c>
      <c r="J50" s="83"/>
      <c r="K50" s="103" t="str">
        <f>'[1]Avaliação de Tarifa'!O101</f>
        <v xml:space="preserve"> </v>
      </c>
      <c r="L50" s="104" t="str">
        <f>'[1]Avaliação de Tarifa'!O109</f>
        <v xml:space="preserve"> </v>
      </c>
    </row>
    <row r="51" spans="4:12" x14ac:dyDescent="0.25">
      <c r="D51" s="1" t="str">
        <f>'[1]Tabelas de Apoio'!K51</f>
        <v>RO</v>
      </c>
      <c r="E51" s="2" t="str">
        <f>'[1]Tabelas de Apoio'!J51</f>
        <v>VILHENA</v>
      </c>
      <c r="F51" s="86" t="str">
        <f>VLOOKUP(E51,'[1]Matriz Distâncias Rodoviárias'!$E$13:$W$42,19,0)</f>
        <v>CUIABA</v>
      </c>
      <c r="G51" s="85"/>
      <c r="I51" s="93" t="s">
        <v>71</v>
      </c>
      <c r="J51" s="2"/>
      <c r="K51" s="105" t="str">
        <f>'[1]Avaliação de Tarifa'!O120</f>
        <v xml:space="preserve"> </v>
      </c>
      <c r="L51" s="106" t="str">
        <f>'[1]Avaliação de Tarifa'!O128</f>
        <v xml:space="preserve"> </v>
      </c>
    </row>
    <row r="52" spans="4:12" x14ac:dyDescent="0.25">
      <c r="D52" s="1" t="str">
        <f>'[1]Tabelas de Apoio'!K52</f>
        <v>PR</v>
      </c>
      <c r="E52" s="2" t="str">
        <f>'[1]Tabelas de Apoio'!J52</f>
        <v>PAICANDU</v>
      </c>
      <c r="F52" s="86" t="str">
        <f>VLOOKUP(E52,'[1]Matriz Distâncias Rodoviárias'!$E$13:$W$42,19,0)</f>
        <v>LONDRINA</v>
      </c>
      <c r="G52" s="85"/>
      <c r="I52" s="93" t="s">
        <v>73</v>
      </c>
      <c r="J52" s="2"/>
      <c r="K52" s="105" t="str">
        <f>'[1]Avaliação de Tarifa'!O121</f>
        <v xml:space="preserve"> </v>
      </c>
      <c r="L52" s="106" t="str">
        <f>'[1]Avaliação de Tarifa'!O129</f>
        <v xml:space="preserve"> </v>
      </c>
    </row>
    <row r="53" spans="4:12" x14ac:dyDescent="0.25">
      <c r="D53" s="1" t="str">
        <f>'[1]Tabelas de Apoio'!K53</f>
        <v>SP</v>
      </c>
      <c r="E53" s="2" t="str">
        <f>'[1]Tabelas de Apoio'!J53</f>
        <v>ARACATUBA</v>
      </c>
      <c r="F53" s="86" t="str">
        <f>VLOOKUP(E53,'[1]Matriz Distâncias Rodoviárias'!$E$13:$W$42,19,0)</f>
        <v>LONDRINA</v>
      </c>
      <c r="G53" s="85"/>
      <c r="I53" s="93" t="s">
        <v>72</v>
      </c>
      <c r="J53" s="2"/>
      <c r="K53" s="105" t="str">
        <f>'[1]Avaliação de Tarifa'!O122</f>
        <v xml:space="preserve"> </v>
      </c>
      <c r="L53" s="106" t="str">
        <f>'[1]Avaliação de Tarifa'!O130</f>
        <v xml:space="preserve"> </v>
      </c>
    </row>
    <row r="54" spans="4:12" x14ac:dyDescent="0.25">
      <c r="D54" s="1" t="str">
        <f>'[1]Tabelas de Apoio'!K54</f>
        <v>PR</v>
      </c>
      <c r="E54" s="2" t="str">
        <f>'[1]Tabelas de Apoio'!J54</f>
        <v>NOVA_ESPERANCA</v>
      </c>
      <c r="F54" s="86" t="str">
        <f>VLOOKUP(E54,'[1]Matriz Distâncias Rodoviárias'!$E$13:$W$42,19,0)</f>
        <v>LONDRINA</v>
      </c>
      <c r="G54" s="85"/>
      <c r="I54" s="93" t="s">
        <v>74</v>
      </c>
      <c r="J54" s="2"/>
      <c r="K54" s="105" t="str">
        <f>'[1]Avaliação de Tarifa'!O123</f>
        <v xml:space="preserve"> </v>
      </c>
      <c r="L54" s="106" t="str">
        <f>'[1]Avaliação de Tarifa'!O131</f>
        <v xml:space="preserve"> </v>
      </c>
    </row>
    <row r="55" spans="4:12" ht="15.75" thickBot="1" x14ac:dyDescent="0.3">
      <c r="D55" s="1" t="str">
        <f>'[1]Tabelas de Apoio'!K55</f>
        <v>SP</v>
      </c>
      <c r="E55" s="2" t="str">
        <f>'[1]Tabelas de Apoio'!J55</f>
        <v>REGENTE_FEIJO</v>
      </c>
      <c r="F55" s="86" t="str">
        <f>VLOOKUP(E55,'[1]Matriz Distâncias Rodoviárias'!$E$13:$W$42,19,0)</f>
        <v>LONDRINA</v>
      </c>
      <c r="G55" s="85"/>
      <c r="I55" s="93" t="s">
        <v>61</v>
      </c>
      <c r="J55" s="2"/>
      <c r="K55" s="105" t="str">
        <f>'[1]Avaliação de Tarifa'!O124</f>
        <v xml:space="preserve"> </v>
      </c>
      <c r="L55" s="106" t="str">
        <f>'[1]Avaliação de Tarifa'!O132</f>
        <v xml:space="preserve"> </v>
      </c>
    </row>
    <row r="56" spans="4:12" x14ac:dyDescent="0.25">
      <c r="D56" s="1" t="str">
        <f>'[1]Tabelas de Apoio'!K56</f>
        <v>PR</v>
      </c>
      <c r="E56" s="2" t="str">
        <f>'[1]Tabelas de Apoio'!J56</f>
        <v>JACAREZINHO</v>
      </c>
      <c r="F56" s="86" t="str">
        <f>VLOOKUP(E56,'[1]Matriz Distâncias Rodoviárias'!$E$13:$W$42,19,0)</f>
        <v>LONDRINA</v>
      </c>
      <c r="G56" s="85"/>
      <c r="I56" s="97" t="s">
        <v>181</v>
      </c>
      <c r="J56" s="98"/>
      <c r="K56" s="99">
        <f>'[1]Avaliação de Tarifa'!H118</f>
        <v>44.594549060341365</v>
      </c>
      <c r="L56" s="100">
        <f>'[1]Avaliação de Tarifa'!H126</f>
        <v>3.2987194855830619E-2</v>
      </c>
    </row>
    <row r="57" spans="4:12" x14ac:dyDescent="0.25">
      <c r="D57" s="1" t="str">
        <f>'[1]Tabelas de Apoio'!K57</f>
        <v>PR</v>
      </c>
      <c r="E57" s="2" t="str">
        <f>'[1]Tabelas de Apoio'!J57</f>
        <v>DOIS_VIZINHOS</v>
      </c>
      <c r="F57" s="86" t="str">
        <f>VLOOKUP(E57,'[1]Matriz Distâncias Rodoviárias'!$E$13:$W$42,19,0)</f>
        <v>LONDRINA</v>
      </c>
      <c r="G57" s="85"/>
      <c r="I57" s="93" t="s">
        <v>71</v>
      </c>
      <c r="J57" s="2"/>
      <c r="K57" s="2"/>
      <c r="L57" s="85"/>
    </row>
    <row r="58" spans="4:12" x14ac:dyDescent="0.25">
      <c r="D58" s="1" t="str">
        <f>'[1]Tabelas de Apoio'!K58</f>
        <v xml:space="preserve"> </v>
      </c>
      <c r="E58" s="2" t="str">
        <f>'[1]Tabelas de Apoio'!J58</f>
        <v xml:space="preserve"> </v>
      </c>
      <c r="F58" s="86" t="str">
        <f>VLOOKUP(E58,'[1]Matriz Distâncias Rodoviárias'!$E$13:$W$42,19,0)</f>
        <v xml:space="preserve"> </v>
      </c>
      <c r="G58" s="85"/>
      <c r="I58" s="93" t="s">
        <v>73</v>
      </c>
      <c r="J58" s="2"/>
      <c r="K58" s="2"/>
      <c r="L58" s="85"/>
    </row>
    <row r="59" spans="4:12" x14ac:dyDescent="0.25">
      <c r="D59" s="1" t="str">
        <f>'[1]Tabelas de Apoio'!K59</f>
        <v xml:space="preserve"> </v>
      </c>
      <c r="E59" s="2" t="str">
        <f>'[1]Tabelas de Apoio'!J59</f>
        <v xml:space="preserve"> </v>
      </c>
      <c r="F59" s="86" t="str">
        <f>VLOOKUP(E59,'[1]Matriz Distâncias Rodoviárias'!$E$13:$W$42,19,0)</f>
        <v xml:space="preserve"> </v>
      </c>
      <c r="G59" s="85"/>
      <c r="I59" s="93" t="s">
        <v>72</v>
      </c>
      <c r="J59" s="2"/>
      <c r="K59" s="2"/>
      <c r="L59" s="85"/>
    </row>
    <row r="60" spans="4:12" x14ac:dyDescent="0.25">
      <c r="D60" s="1" t="str">
        <f>'[1]Tabelas de Apoio'!K60</f>
        <v xml:space="preserve"> </v>
      </c>
      <c r="E60" s="2" t="str">
        <f>'[1]Tabelas de Apoio'!J60</f>
        <v xml:space="preserve"> </v>
      </c>
      <c r="F60" s="86" t="str">
        <f>VLOOKUP(E60,'[1]Matriz Distâncias Rodoviárias'!$E$13:$W$42,19,0)</f>
        <v xml:space="preserve"> </v>
      </c>
      <c r="G60" s="85"/>
      <c r="I60" s="93" t="s">
        <v>74</v>
      </c>
      <c r="J60" s="2"/>
      <c r="K60" s="2"/>
      <c r="L60" s="85"/>
    </row>
    <row r="61" spans="4:12" ht="15.75" thickBot="1" x14ac:dyDescent="0.3">
      <c r="D61" s="1" t="str">
        <f>'[1]Tabelas de Apoio'!K61</f>
        <v xml:space="preserve"> </v>
      </c>
      <c r="E61" s="2" t="str">
        <f>'[1]Tabelas de Apoio'!J61</f>
        <v xml:space="preserve"> </v>
      </c>
      <c r="F61" s="86" t="str">
        <f>VLOOKUP(E61,'[1]Matriz Distâncias Rodoviárias'!$E$13:$W$42,19,0)</f>
        <v xml:space="preserve"> </v>
      </c>
      <c r="G61" s="85"/>
      <c r="I61" s="108" t="s">
        <v>61</v>
      </c>
      <c r="J61" s="119"/>
      <c r="K61" s="119"/>
      <c r="L61" s="123"/>
    </row>
    <row r="62" spans="4:12" x14ac:dyDescent="0.25">
      <c r="D62" s="1" t="str">
        <f>'[1]Tabelas de Apoio'!K62</f>
        <v xml:space="preserve"> </v>
      </c>
      <c r="E62" s="2" t="str">
        <f>'[1]Tabelas de Apoio'!J62</f>
        <v xml:space="preserve"> </v>
      </c>
      <c r="F62" s="86" t="str">
        <f>VLOOKUP(E62,'[1]Matriz Distâncias Rodoviárias'!$E$13:$W$42,19,0)</f>
        <v xml:space="preserve"> </v>
      </c>
      <c r="G62" s="85"/>
    </row>
    <row r="63" spans="4:12" x14ac:dyDescent="0.25">
      <c r="D63" s="1" t="str">
        <f>'[1]Tabelas de Apoio'!K63</f>
        <v xml:space="preserve"> </v>
      </c>
      <c r="E63" s="2" t="str">
        <f>'[1]Tabelas de Apoio'!J63</f>
        <v xml:space="preserve"> </v>
      </c>
      <c r="F63" s="86" t="str">
        <f>VLOOKUP(E63,'[1]Matriz Distâncias Rodoviárias'!$E$13:$W$42,19,0)</f>
        <v xml:space="preserve"> </v>
      </c>
      <c r="G63" s="85"/>
    </row>
    <row r="64" spans="4:12" x14ac:dyDescent="0.25">
      <c r="D64" s="1" t="str">
        <f>'[1]Tabelas de Apoio'!K64</f>
        <v xml:space="preserve"> </v>
      </c>
      <c r="E64" s="2" t="str">
        <f>'[1]Tabelas de Apoio'!J64</f>
        <v xml:space="preserve"> </v>
      </c>
      <c r="F64" s="86" t="str">
        <f>VLOOKUP(E64,'[1]Matriz Distâncias Rodoviárias'!$E$13:$W$42,19,0)</f>
        <v xml:space="preserve"> </v>
      </c>
      <c r="G64" s="85"/>
    </row>
    <row r="65" spans="4:7" x14ac:dyDescent="0.25">
      <c r="D65" s="1" t="str">
        <f>'[1]Tabelas de Apoio'!K65</f>
        <v xml:space="preserve"> </v>
      </c>
      <c r="E65" s="2" t="str">
        <f>'[1]Tabelas de Apoio'!J65</f>
        <v xml:space="preserve"> </v>
      </c>
      <c r="F65" s="86" t="str">
        <f>VLOOKUP(E65,'[1]Matriz Distâncias Rodoviárias'!$E$13:$W$42,19,0)</f>
        <v xml:space="preserve"> </v>
      </c>
      <c r="G65" s="85"/>
    </row>
    <row r="66" spans="4:7" x14ac:dyDescent="0.25">
      <c r="D66" s="1" t="str">
        <f>'[1]Tabelas de Apoio'!K66</f>
        <v xml:space="preserve"> </v>
      </c>
      <c r="E66" s="2" t="str">
        <f>'[1]Tabelas de Apoio'!J66</f>
        <v xml:space="preserve"> </v>
      </c>
      <c r="F66" s="86" t="str">
        <f>VLOOKUP(E66,'[1]Matriz Distâncias Rodoviárias'!$E$13:$W$42,19,0)</f>
        <v xml:space="preserve"> </v>
      </c>
      <c r="G66" s="85"/>
    </row>
    <row r="67" spans="4:7" x14ac:dyDescent="0.25">
      <c r="D67" s="1" t="str">
        <f>'[1]Tabelas de Apoio'!K67</f>
        <v xml:space="preserve"> </v>
      </c>
      <c r="E67" s="2" t="str">
        <f>'[1]Tabelas de Apoio'!J67</f>
        <v xml:space="preserve"> </v>
      </c>
      <c r="F67" s="86" t="str">
        <f>VLOOKUP(E67,'[1]Matriz Distâncias Rodoviárias'!$E$13:$W$42,19,0)</f>
        <v xml:space="preserve"> </v>
      </c>
      <c r="G67" s="85"/>
    </row>
    <row r="68" spans="4:7" ht="15.75" thickBot="1" x14ac:dyDescent="0.3">
      <c r="D68" s="120" t="str">
        <f>'[1]Tabelas de Apoio'!K68</f>
        <v xml:space="preserve"> </v>
      </c>
      <c r="E68" s="119" t="str">
        <f>'[1]Tabelas de Apoio'!J68</f>
        <v xml:space="preserve"> </v>
      </c>
      <c r="F68" s="124" t="str">
        <f>VLOOKUP(E68,'[1]Matriz Distâncias Rodoviárias'!$E$13:$W$42,19,0)</f>
        <v xml:space="preserve"> </v>
      </c>
      <c r="G68" s="123"/>
    </row>
  </sheetData>
  <mergeCells count="10">
    <mergeCell ref="I4:L4"/>
    <mergeCell ref="F5:G5"/>
    <mergeCell ref="I5:J6"/>
    <mergeCell ref="K5:L5"/>
    <mergeCell ref="D29:E29"/>
    <mergeCell ref="D30:E30"/>
    <mergeCell ref="D32:G32"/>
    <mergeCell ref="D38:E38"/>
    <mergeCell ref="F38:G38"/>
    <mergeCell ref="D4:G4"/>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polos de suprimento</vt:lpstr>
      <vt:lpstr>polos de abastecimento</vt:lpstr>
      <vt:lpstr>parâmetros de entrada</vt:lpstr>
      <vt:lpstr>características dos flúidos</vt:lpstr>
      <vt:lpstr>dados técnicos de tubos de aço</vt:lpstr>
      <vt:lpstr>rugosidade relativa</vt:lpstr>
      <vt:lpstr>inputs gerais</vt:lpstr>
      <vt:lpstr>coeficiente transposição</vt:lpstr>
      <vt:lpstr>Resumio Financeiro</vt:lpstr>
      <vt:lpstr>dados gerais do projeto</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GILDO</dc:creator>
  <cp:lastModifiedBy>GILDO</cp:lastModifiedBy>
  <dcterms:created xsi:type="dcterms:W3CDTF">2015-09-11T00:19:48Z</dcterms:created>
  <dcterms:modified xsi:type="dcterms:W3CDTF">2015-09-11T03:38:37Z</dcterms:modified>
</cp:coreProperties>
</file>