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mc:AlternateContent xmlns:mc="http://schemas.openxmlformats.org/markup-compatibility/2006">
    <mc:Choice Requires="x15">
      <x15ac:absPath xmlns:x15ac="http://schemas.microsoft.com/office/spreadsheetml/2010/11/ac" url="E:\Work Projects\AFSC\Sablefish Assessment\2024 Assessment\__Final SAFE Report\_Final Tables\raw inputs for tables\"/>
    </mc:Choice>
  </mc:AlternateContent>
  <xr:revisionPtr revIDLastSave="0" documentId="13_ncr:1_{6BD10DA9-0266-4DA5-BCF7-6D31C05DA085}" xr6:coauthVersionLast="36" xr6:coauthVersionMax="36" xr10:uidLastSave="{00000000-0000-0000-0000-000000000000}"/>
  <bookViews>
    <workbookView xWindow="0" yWindow="0" windowWidth="19200" windowHeight="7188" xr2:uid="{00000000-000D-0000-FFFF-FFFF00000000}"/>
  </bookViews>
  <sheets>
    <sheet name="README" sheetId="13" r:id="rId1"/>
    <sheet name="Apportionment" sheetId="1" r:id="rId2"/>
    <sheet name="5yr_Survey_Avg_Apport" sheetId="15"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4" i="13" l="1"/>
  <c r="I47" i="13"/>
  <c r="O32" i="13"/>
  <c r="S37" i="13"/>
  <c r="R37" i="13"/>
  <c r="O37" i="13" l="1"/>
  <c r="J21" i="15" s="1"/>
  <c r="M37" i="13"/>
  <c r="J10" i="15" s="1"/>
  <c r="R10" i="15"/>
  <c r="I21" i="15"/>
  <c r="I10" i="15"/>
  <c r="S38" i="13"/>
  <c r="R38" i="13"/>
  <c r="I41" i="13"/>
  <c r="I35" i="13"/>
  <c r="I34" i="13"/>
  <c r="I33" i="13"/>
  <c r="I31" i="13"/>
  <c r="I30" i="13"/>
  <c r="K39" i="15"/>
  <c r="G34" i="15"/>
  <c r="D31" i="1" l="1"/>
  <c r="D32" i="1"/>
  <c r="H21" i="1"/>
  <c r="H10" i="1"/>
  <c r="J16" i="15" l="1"/>
  <c r="H58" i="1"/>
  <c r="H56" i="1"/>
  <c r="H57" i="1"/>
  <c r="H55" i="1"/>
  <c r="H54" i="1"/>
  <c r="H53" i="1"/>
  <c r="C20" i="15"/>
  <c r="E22" i="1" l="1"/>
  <c r="E31" i="1" l="1"/>
  <c r="F31" i="1"/>
  <c r="E32" i="1"/>
  <c r="F32" i="1"/>
  <c r="E33" i="1"/>
  <c r="F33" i="1"/>
  <c r="E34" i="1"/>
  <c r="F34" i="1"/>
  <c r="E35" i="1"/>
  <c r="F35" i="1"/>
  <c r="E36" i="1"/>
  <c r="F36" i="1"/>
  <c r="D36" i="1"/>
  <c r="D35" i="1"/>
  <c r="D34" i="1"/>
  <c r="D33" i="1"/>
  <c r="E4" i="15" l="1"/>
  <c r="F4" i="15"/>
  <c r="G4" i="15"/>
  <c r="H4" i="15"/>
  <c r="I4" i="15"/>
  <c r="D4" i="15"/>
  <c r="H12" i="1"/>
  <c r="F24" i="1"/>
  <c r="D24" i="1"/>
  <c r="G24" i="1"/>
  <c r="E24" i="1"/>
  <c r="B24" i="1"/>
  <c r="C24" i="1"/>
  <c r="D6" i="15" s="1"/>
  <c r="K36" i="13"/>
  <c r="K35" i="13"/>
  <c r="K34" i="13"/>
  <c r="K33" i="13"/>
  <c r="K31" i="13"/>
  <c r="K30" i="13"/>
  <c r="H37" i="13"/>
  <c r="J36" i="13"/>
  <c r="J35" i="13"/>
  <c r="J34" i="13"/>
  <c r="J33" i="13"/>
  <c r="J31" i="13"/>
  <c r="J30" i="13"/>
  <c r="E6" i="15" l="1"/>
  <c r="I6" i="15"/>
  <c r="H6" i="15"/>
  <c r="G6" i="15"/>
  <c r="F6" i="15"/>
  <c r="K37" i="13"/>
  <c r="K32" i="13"/>
  <c r="J37" i="13"/>
  <c r="I32" i="13"/>
  <c r="J32" i="13"/>
  <c r="J41" i="13" l="1"/>
  <c r="K41" i="13"/>
  <c r="J40" i="13"/>
  <c r="K40" i="13"/>
  <c r="I40" i="13"/>
  <c r="B15" i="1" l="1"/>
  <c r="B14" i="1"/>
  <c r="G39" i="15"/>
  <c r="K34" i="15"/>
  <c r="U26" i="15"/>
  <c r="T26" i="15"/>
  <c r="C17" i="15"/>
  <c r="C15" i="15"/>
  <c r="I9" i="15"/>
  <c r="I20" i="15" s="1"/>
  <c r="H9" i="15"/>
  <c r="G9" i="15"/>
  <c r="G20" i="15" s="1"/>
  <c r="F9" i="15"/>
  <c r="F20" i="15" s="1"/>
  <c r="E9" i="15"/>
  <c r="E20" i="15" s="1"/>
  <c r="D9" i="15"/>
  <c r="D20" i="15" s="1"/>
  <c r="H15" i="15" l="1"/>
  <c r="F15" i="15"/>
  <c r="I15" i="15"/>
  <c r="E15" i="15"/>
  <c r="H20" i="15"/>
  <c r="J9" i="15"/>
  <c r="J20" i="15" s="1"/>
  <c r="G15" i="15"/>
  <c r="D15" i="15" l="1"/>
  <c r="J4" i="15"/>
  <c r="J15" i="15" s="1"/>
  <c r="H17" i="15" l="1"/>
  <c r="F17" i="15"/>
  <c r="I17" i="15"/>
  <c r="G17" i="15"/>
  <c r="E17" i="15"/>
  <c r="G33" i="15"/>
  <c r="J18" i="15"/>
  <c r="F15" i="1" l="1"/>
  <c r="F14" i="1"/>
  <c r="C15" i="1"/>
  <c r="C14" i="1"/>
  <c r="G15" i="1"/>
  <c r="G14" i="1"/>
  <c r="D15" i="1"/>
  <c r="D14" i="1"/>
  <c r="E15" i="1"/>
  <c r="E14" i="1"/>
  <c r="J6" i="15"/>
  <c r="J17" i="15" s="1"/>
  <c r="D17" i="15"/>
  <c r="K33" i="15"/>
  <c r="K36" i="15" s="1"/>
  <c r="G36" i="15"/>
  <c r="G35" i="15" l="1"/>
  <c r="K35" i="15" s="1"/>
  <c r="K37" i="15" s="1"/>
  <c r="K38" i="15" s="1"/>
  <c r="N37" i="13" s="1"/>
  <c r="G37" i="15" l="1"/>
  <c r="G38" i="15" s="1"/>
  <c r="G40" i="15" s="1"/>
  <c r="K40" i="15"/>
  <c r="L37" i="13" l="1"/>
  <c r="C2" i="1"/>
  <c r="K12" i="1" s="1"/>
  <c r="E5" i="15" l="1"/>
  <c r="M12" i="1"/>
  <c r="L12" i="1"/>
  <c r="D5" i="15" s="1"/>
  <c r="N12" i="1"/>
  <c r="P12" i="1"/>
  <c r="O12" i="1"/>
  <c r="H5" i="15" l="1"/>
  <c r="H7" i="15" s="1"/>
  <c r="E7" i="15"/>
  <c r="E8" i="15" s="1"/>
  <c r="E10" i="15" s="1"/>
  <c r="M30" i="13" s="1"/>
  <c r="I5" i="15"/>
  <c r="I7" i="15" s="1"/>
  <c r="G5" i="15"/>
  <c r="G7" i="15" s="1"/>
  <c r="F5" i="15"/>
  <c r="F7" i="15" s="1"/>
  <c r="Q12" i="1"/>
  <c r="F8" i="15" l="1"/>
  <c r="F10" i="15" s="1"/>
  <c r="M33" i="13" s="1"/>
  <c r="E11" i="15"/>
  <c r="G8" i="15"/>
  <c r="G10" i="15" s="1"/>
  <c r="M34" i="13" s="1"/>
  <c r="J5" i="15"/>
  <c r="D16" i="15" s="1"/>
  <c r="D7" i="15"/>
  <c r="D8" i="15" s="1"/>
  <c r="D10" i="15" s="1"/>
  <c r="M31" i="13" s="1"/>
  <c r="I8" i="15"/>
  <c r="H8" i="15"/>
  <c r="H10" i="15" s="1"/>
  <c r="I11" i="15" l="1"/>
  <c r="F27" i="15"/>
  <c r="H16" i="15"/>
  <c r="I16" i="15"/>
  <c r="D18" i="15"/>
  <c r="D19" i="15" s="1"/>
  <c r="E27" i="15"/>
  <c r="M35" i="13" s="1"/>
  <c r="H11" i="15"/>
  <c r="H27" i="15"/>
  <c r="F16" i="15"/>
  <c r="F11" i="15"/>
  <c r="M10" i="15"/>
  <c r="D11" i="15"/>
  <c r="J11" i="15"/>
  <c r="P10" i="15"/>
  <c r="M36" i="13"/>
  <c r="J8" i="15"/>
  <c r="E16" i="15"/>
  <c r="J7" i="15"/>
  <c r="G11" i="15"/>
  <c r="G16" i="15"/>
  <c r="H18" i="15" l="1"/>
  <c r="H19" i="15" s="1"/>
  <c r="H21" i="15" s="1"/>
  <c r="I18" i="15"/>
  <c r="I19" i="15" s="1"/>
  <c r="F28" i="15" s="1"/>
  <c r="O36" i="13" s="1"/>
  <c r="M32" i="13"/>
  <c r="K16" i="15"/>
  <c r="G27" i="15"/>
  <c r="D21" i="15"/>
  <c r="O31" i="13" s="1"/>
  <c r="F18" i="15"/>
  <c r="F19" i="15" s="1"/>
  <c r="F21" i="15" s="1"/>
  <c r="O33" i="13" s="1"/>
  <c r="E18" i="15"/>
  <c r="E19" i="15" s="1"/>
  <c r="E21" i="15" s="1"/>
  <c r="O30" i="13" s="1"/>
  <c r="G18" i="15"/>
  <c r="G19" i="15" s="1"/>
  <c r="G21" i="15" s="1"/>
  <c r="O34" i="13" s="1"/>
  <c r="H22" i="15" l="1"/>
  <c r="E28" i="15"/>
  <c r="H28" i="15"/>
  <c r="I22" i="15"/>
  <c r="G22" i="15"/>
  <c r="J19" i="15"/>
  <c r="J22" i="15" s="1"/>
  <c r="S21" i="15"/>
  <c r="Q21" i="15"/>
  <c r="D22" i="15"/>
  <c r="E22" i="15"/>
  <c r="F22" i="15"/>
  <c r="N21" i="15"/>
  <c r="G28" i="15" l="1"/>
  <c r="O35" i="13"/>
</calcChain>
</file>

<file path=xl/sharedStrings.xml><?xml version="1.0" encoding="utf-8"?>
<sst xmlns="http://schemas.openxmlformats.org/spreadsheetml/2006/main" count="216" uniqueCount="117">
  <si>
    <t>ABC proportions by area BEFORE whale depredation correction</t>
  </si>
  <si>
    <t>BS</t>
  </si>
  <si>
    <t>AI</t>
  </si>
  <si>
    <t>WG</t>
  </si>
  <si>
    <t>CG</t>
  </si>
  <si>
    <t>WY</t>
  </si>
  <si>
    <t>EY/SEO</t>
  </si>
  <si>
    <t>Apportionment method</t>
  </si>
  <si>
    <t>Alternative total ABC</t>
  </si>
  <si>
    <r>
      <t> </t>
    </r>
    <r>
      <rPr>
        <b/>
        <u/>
        <sz val="11"/>
        <color rgb="FF000000"/>
        <rFont val="Times New Roman"/>
        <family val="1"/>
      </rPr>
      <t>Area</t>
    </r>
  </si>
  <si>
    <t>WY*</t>
  </si>
  <si>
    <t>EY*</t>
  </si>
  <si>
    <t>Total</t>
  </si>
  <si>
    <t>Deduct 3 year adjusted average</t>
  </si>
  <si>
    <r>
      <t>* Before 95:5 hook and line: trawl split shown below. **ABC</t>
    </r>
    <r>
      <rPr>
        <vertAlign val="subscript"/>
        <sz val="11"/>
        <color theme="1"/>
        <rFont val="Times New Roman"/>
        <family val="1"/>
      </rPr>
      <t xml:space="preserve">w </t>
    </r>
    <r>
      <rPr>
        <sz val="11"/>
        <color theme="1"/>
        <rFont val="Times New Roman"/>
        <family val="1"/>
      </rPr>
      <t>is the author recommended ABC that accounts for whales.</t>
    </r>
  </si>
  <si>
    <t>Check</t>
  </si>
  <si>
    <r>
      <t>* Before 95:5 hook and line: trawl split shown below. ** ABC</t>
    </r>
    <r>
      <rPr>
        <vertAlign val="subscript"/>
        <sz val="11"/>
        <color theme="1"/>
        <rFont val="Times New Roman"/>
        <family val="1"/>
      </rPr>
      <t xml:space="preserve">w </t>
    </r>
    <r>
      <rPr>
        <sz val="11"/>
        <color theme="1"/>
        <rFont val="Times New Roman"/>
        <family val="1"/>
      </rPr>
      <t>is the author recommended ABC that accounts for whales.</t>
    </r>
  </si>
  <si>
    <t>Adjusted for 95:5 hook-and-line: trawl split in EGOA</t>
  </si>
  <si>
    <t>Year</t>
  </si>
  <si>
    <t>W. Yakutat</t>
  </si>
  <si>
    <t>Area </t>
  </si>
  <si>
    <t>3 year average depredation</t>
  </si>
  <si>
    <t>Ratio</t>
  </si>
  <si>
    <t>Deduct 3 year average</t>
  </si>
  <si>
    <r>
      <t>*OFL</t>
    </r>
    <r>
      <rPr>
        <b/>
        <vertAlign val="subscript"/>
        <sz val="11"/>
        <color rgb="FF000000"/>
        <rFont val="Times New Roman"/>
        <family val="1"/>
      </rPr>
      <t>w</t>
    </r>
  </si>
  <si>
    <r>
      <t>* OFL</t>
    </r>
    <r>
      <rPr>
        <vertAlign val="subscript"/>
        <sz val="11"/>
        <color theme="1"/>
        <rFont val="Times New Roman"/>
        <family val="1"/>
      </rPr>
      <t xml:space="preserve">w </t>
    </r>
    <r>
      <rPr>
        <sz val="11"/>
        <color theme="1"/>
        <rFont val="Times New Roman"/>
        <family val="1"/>
      </rPr>
      <t>is the author recommended OFL that accounts for whales.</t>
    </r>
  </si>
  <si>
    <t>SE</t>
  </si>
  <si>
    <t>Total ABC</t>
  </si>
  <si>
    <t>Proportion of ABC by Area</t>
  </si>
  <si>
    <t>*put values here that want to perform whale depredation corrections on to get final ABC on next tab</t>
  </si>
  <si>
    <t>GOA Sum</t>
  </si>
  <si>
    <t>GOA SUM</t>
  </si>
  <si>
    <t>BSAI Sun</t>
  </si>
  <si>
    <t>BSAI Sum</t>
  </si>
  <si>
    <t>Values to Use for Whale Dep Tables and Comparisons</t>
  </si>
  <si>
    <t>This sheet is mostly automated to provide estimates of whale depredated ABC by area using input apportionment and historic depredation estimates</t>
  </si>
  <si>
    <t>Inputs:</t>
  </si>
  <si>
    <t>Apportionment</t>
  </si>
  <si>
    <t>Whale depredation</t>
  </si>
  <si>
    <t xml:space="preserve">Change: </t>
  </si>
  <si>
    <t>Update previous year ABC by area on at bottom of 'apportionment' tab….this should be the final area ABCs after whale depredation as recorded in harvest specs for the previous year (i.e., the final final ABC)</t>
  </si>
  <si>
    <t>E. Yakutat/ Southeast</t>
  </si>
  <si>
    <t>Associated OFL</t>
  </si>
  <si>
    <t>Do the same with the associated OFL for the next two years</t>
  </si>
  <si>
    <t>Previous Year OFL (after depredation as reported in harvest specs)</t>
  </si>
  <si>
    <t>Do the same for the OFL (after whale depredation as reported in harvest specs or summary table in previous year SAFE)</t>
  </si>
  <si>
    <t>IF WANT OTHER THAN 5YR Survey Apportionment then change red input on bottom right of 'apportionment' tab to desired area apportionment values</t>
  </si>
  <si>
    <t>Outputs:</t>
  </si>
  <si>
    <t>Whale Dep ABC</t>
  </si>
  <si>
    <t>All the ABC and OFL whale depredation estimates and area ABCs</t>
  </si>
  <si>
    <t>Apport Options Compare</t>
  </si>
  <si>
    <t>Table comparing the different stair step approaches to ABC usually requested by SSC</t>
  </si>
  <si>
    <t>&lt;- (DO NOT CHANGE) next year ABC before whale depredation</t>
  </si>
  <si>
    <t>*Uses most recent 5 year average survey apportionment</t>
  </si>
  <si>
    <t>Associated regional apportionment</t>
  </si>
  <si>
    <t>Add previous year recommended apportionment for comparison at bottom of 'apportionment' tab</t>
  </si>
  <si>
    <t>Region</t>
  </si>
  <si>
    <r>
      <t>OFL</t>
    </r>
    <r>
      <rPr>
        <vertAlign val="subscript"/>
        <sz val="11"/>
        <color rgb="FF000000"/>
        <rFont val="Times New Roman"/>
        <family val="1"/>
      </rPr>
      <t>w</t>
    </r>
  </si>
  <si>
    <r>
      <t>ABC</t>
    </r>
    <r>
      <rPr>
        <vertAlign val="subscript"/>
        <sz val="11"/>
        <color theme="1"/>
        <rFont val="Times New Roman"/>
        <family val="1"/>
      </rPr>
      <t>w</t>
    </r>
  </si>
  <si>
    <t>TAC</t>
  </si>
  <si>
    <t>Catch**</t>
  </si>
  <si>
    <r>
      <t>ABC</t>
    </r>
    <r>
      <rPr>
        <vertAlign val="subscript"/>
        <sz val="11"/>
        <color theme="1"/>
        <rFont val="Times New Roman"/>
        <family val="1"/>
      </rPr>
      <t>w</t>
    </r>
    <r>
      <rPr>
        <sz val="11"/>
        <color theme="1"/>
        <rFont val="Times New Roman"/>
        <family val="1"/>
      </rPr>
      <t>***</t>
    </r>
  </si>
  <si>
    <t>--</t>
  </si>
  <si>
    <t>GOA</t>
  </si>
  <si>
    <t>WGOA</t>
  </si>
  <si>
    <t>CGOA</t>
  </si>
  <si>
    <t>***WYAK</t>
  </si>
  <si>
    <t>***EY/SEO</t>
  </si>
  <si>
    <t>PT summary table, uses 5-year survey avg and 50% stair step for 2022, 75% stair step for 2023</t>
  </si>
  <si>
    <t xml:space="preserve">Total </t>
  </si>
  <si>
    <t>ABC</t>
  </si>
  <si>
    <t>2024 ABC</t>
  </si>
  <si>
    <t>**2024 ABCw</t>
  </si>
  <si>
    <t>SSC Recommended Apportionment Last Year</t>
  </si>
  <si>
    <t>Terminal Yr+1</t>
  </si>
  <si>
    <t>Terminal Yr+2</t>
  </si>
  <si>
    <t>Make sure to update the average depredation with the new year value (within the three year moving average) on the 'whale depredation est' tab….the average depredation needs to be correctly called in apportionment tab</t>
  </si>
  <si>
    <t>fill in 5 year ave apportionment from apportionment.csv made when running 'Sable_Data_Pull_Final.r'</t>
  </si>
  <si>
    <t>fill in estimated whale depredation in the 'whale depredation est' tab, from total_depredation_area.csv made when running 'Sable_Data_Pull_Final.r'</t>
  </si>
  <si>
    <t>3 Year average whale depredation</t>
  </si>
  <si>
    <t>Whale Depredation</t>
  </si>
  <si>
    <t>biomass</t>
  </si>
  <si>
    <t>ABC on 'apportionment' tab, replace values in red with the max_ABC or author rec ABC from the Table 3.11 Sablefish projections spreadsheet</t>
  </si>
  <si>
    <t>Curr_Yr+1</t>
  </si>
  <si>
    <t>(these are the projected OFLs from last SAFE)</t>
  </si>
  <si>
    <t>Author Recommended Apportionment Last Year (Full 5yr avg)</t>
  </si>
  <si>
    <t xml:space="preserve">Five Year Survey Average </t>
  </si>
  <si>
    <t>2025 ABC</t>
  </si>
  <si>
    <t>**2025 ABCw</t>
  </si>
  <si>
    <t>(from .rep file for term year and projections spreadsheet for projected)</t>
  </si>
  <si>
    <t>Current Year Catch (from AKFIN)</t>
  </si>
  <si>
    <t>Current Year TAC/ACT (if set &lt; ABC; From harvest specs)</t>
  </si>
  <si>
    <t>RPW</t>
  </si>
  <si>
    <t>3yr ave dep</t>
  </si>
  <si>
    <t>catch 2023</t>
  </si>
  <si>
    <t>2025*</t>
  </si>
  <si>
    <t>New OFL</t>
  </si>
  <si>
    <t>Current (assess. Terminal year) ABC (before whale dep)</t>
  </si>
  <si>
    <t>Prev Year Inputs/Results (all can be taken from last year's spreadsheet)</t>
  </si>
  <si>
    <t>Curr_YR</t>
  </si>
  <si>
    <t>rpw by area terminal assessment year (prev yr if no survey)</t>
  </si>
  <si>
    <t>3 yr average</t>
  </si>
  <si>
    <t>Author recommended 2025/2026 ABC (with whale depredation adjustments)</t>
  </si>
  <si>
    <t>2021 - 2023 avg. depredation</t>
  </si>
  <si>
    <t>Ratio 2025:2024 ABC</t>
  </si>
  <si>
    <t>Change from 2024 ABCw</t>
  </si>
  <si>
    <t>2026 ABC</t>
  </si>
  <si>
    <t>Ratio 2026:2024 ABC</t>
  </si>
  <si>
    <t>**2026 ABCw</t>
  </si>
  <si>
    <t>Author recommended 2025/2026 OFLs (with whale depredation adjustments)</t>
  </si>
  <si>
    <t>Current (assess. Terminal year) Year ABCw (i.e used for harvest specs..bef WY/EY splits)</t>
  </si>
  <si>
    <t>**assumes current author rec ABC for 2026</t>
  </si>
  <si>
    <t>Change from 2024/2025</t>
  </si>
  <si>
    <t>2026*</t>
  </si>
  <si>
    <t>Current (assess. Terminal year) Year ABCw (i.e used for harvest specs..aft WY/EY splits)</t>
  </si>
  <si>
    <t>DOUBLECHECK THE ROUNDING…paste values and delete extra decimals then sum</t>
  </si>
  <si>
    <t>2024 and 2025 OFLw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</si>
</sst>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00"/>
    <numFmt numFmtId="166" formatCode="0.000"/>
    <numFmt numFmtId="167" formatCode="#,##0.0"/>
    <numFmt numFmtId="168" formatCode="_(* #,##0.0_);_(* \(#,##0.0\);_(* &quot;-&quot;??_);_(@_)"/>
    <numFmt numFmtId="169" formatCode="_(* #,##0.000_);_(* \(#,##0.00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3"/>
      <color theme="1"/>
      <name val="Times New Roman"/>
      <family val="1"/>
    </font>
    <font>
      <b/>
      <sz val="11"/>
      <color rgb="FF000000"/>
      <name val="Times New Roman"/>
      <family val="1"/>
    </font>
    <font>
      <b/>
      <u/>
      <sz val="11"/>
      <color rgb="FF000000"/>
      <name val="Times New Roman"/>
      <family val="1"/>
    </font>
    <font>
      <sz val="11"/>
      <color rgb="FF000000"/>
      <name val="Times New Roman"/>
      <family val="1"/>
    </font>
    <font>
      <sz val="11"/>
      <color theme="1"/>
      <name val="Times New Roman"/>
      <family val="1"/>
    </font>
    <font>
      <b/>
      <sz val="11"/>
      <color theme="1"/>
      <name val="Times New Roman"/>
      <family val="1"/>
    </font>
    <font>
      <b/>
      <vertAlign val="subscript"/>
      <sz val="11"/>
      <color rgb="FF000000"/>
      <name val="Times New Roman"/>
      <family val="1"/>
    </font>
    <font>
      <vertAlign val="subscript"/>
      <sz val="11"/>
      <color rgb="FF000000"/>
      <name val="Times New Roman"/>
      <family val="1"/>
    </font>
    <font>
      <vertAlign val="subscript"/>
      <sz val="11"/>
      <color theme="1"/>
      <name val="Times New Roman"/>
      <family val="1"/>
    </font>
    <font>
      <sz val="10"/>
      <color theme="1"/>
      <name val="Calibri"/>
      <family val="2"/>
      <scheme val="minor"/>
    </font>
    <font>
      <u/>
      <sz val="11"/>
      <color theme="1"/>
      <name val="Times New Roman"/>
      <family val="1"/>
    </font>
    <font>
      <b/>
      <sz val="14"/>
      <color theme="1"/>
      <name val="Calibri"/>
      <family val="2"/>
      <scheme val="minor"/>
    </font>
    <font>
      <b/>
      <i/>
      <sz val="11"/>
      <color theme="1"/>
      <name val="Calibri"/>
      <family val="2"/>
      <scheme val="minor"/>
    </font>
    <font>
      <sz val="11"/>
      <color theme="0"/>
      <name val="Calibri"/>
      <family val="2"/>
      <scheme val="minor"/>
    </font>
    <font>
      <sz val="11"/>
      <name val="Calibri"/>
      <family val="2"/>
      <scheme val="minor"/>
    </font>
    <font>
      <b/>
      <sz val="11"/>
      <name val="Times New Roman"/>
      <family val="1"/>
    </font>
    <font>
      <b/>
      <sz val="11"/>
      <color theme="0"/>
      <name val="Times New Roman"/>
      <family val="1"/>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tint="-0.249977111117893"/>
        <bgColor indexed="64"/>
      </patternFill>
    </fill>
    <fill>
      <patternFill patternType="solid">
        <fgColor rgb="FF00B050"/>
        <bgColor indexed="64"/>
      </patternFill>
    </fill>
  </fills>
  <borders count="22">
    <border>
      <left/>
      <right/>
      <top/>
      <bottom/>
      <diagonal/>
    </border>
    <border>
      <left/>
      <right/>
      <top/>
      <bottom style="thick">
        <color indexed="64"/>
      </bottom>
      <diagonal/>
    </border>
    <border>
      <left/>
      <right/>
      <top style="dotted">
        <color indexed="64"/>
      </top>
      <bottom style="dotted">
        <color indexed="64"/>
      </bottom>
      <diagonal/>
    </border>
    <border>
      <left/>
      <right/>
      <top/>
      <bottom style="medium">
        <color indexed="64"/>
      </bottom>
      <diagonal/>
    </border>
    <border>
      <left/>
      <right/>
      <top style="thick">
        <color indexed="64"/>
      </top>
      <bottom/>
      <diagonal/>
    </border>
    <border>
      <left/>
      <right style="medium">
        <color rgb="FFD9D9D9"/>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rgb="FFD9D9D9"/>
      </right>
      <top/>
      <bottom/>
      <diagonal/>
    </border>
    <border>
      <left/>
      <right style="medium">
        <color indexed="64"/>
      </right>
      <top/>
      <bottom/>
      <diagonal/>
    </border>
    <border>
      <left style="medium">
        <color rgb="FFD9D9D9"/>
      </left>
      <right/>
      <top/>
      <bottom/>
      <diagonal/>
    </border>
    <border>
      <left/>
      <right style="medium">
        <color rgb="FFD9D9D9"/>
      </right>
      <top/>
      <bottom style="medium">
        <color indexed="64"/>
      </bottom>
      <diagonal/>
    </border>
    <border>
      <left/>
      <right/>
      <top/>
      <bottom style="thin">
        <color indexed="64"/>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5">
    <xf numFmtId="0" fontId="0" fillId="0" borderId="0" xfId="0"/>
    <xf numFmtId="164" fontId="0" fillId="2" borderId="0" xfId="1" applyNumberFormat="1" applyFont="1" applyFill="1"/>
    <xf numFmtId="0" fontId="0" fillId="3" borderId="0" xfId="0" applyFill="1"/>
    <xf numFmtId="164" fontId="0" fillId="3" borderId="0" xfId="1" applyNumberFormat="1" applyFont="1" applyFill="1"/>
    <xf numFmtId="0" fontId="2" fillId="3" borderId="0" xfId="0" applyFont="1" applyFill="1"/>
    <xf numFmtId="165" fontId="0" fillId="3" borderId="0" xfId="0" applyNumberFormat="1" applyFill="1"/>
    <xf numFmtId="166" fontId="0" fillId="3" borderId="0" xfId="0" applyNumberFormat="1" applyFill="1" applyAlignment="1">
      <alignment horizontal="right" indent="1"/>
    </xf>
    <xf numFmtId="0" fontId="0" fillId="3" borderId="0" xfId="0" applyFill="1" applyAlignment="1">
      <alignment horizontal="left"/>
    </xf>
    <xf numFmtId="0" fontId="2" fillId="3" borderId="12" xfId="0" applyFont="1" applyFill="1" applyBorder="1" applyAlignment="1">
      <alignment horizontal="center"/>
    </xf>
    <xf numFmtId="0" fontId="0" fillId="3" borderId="12" xfId="0" applyFill="1" applyBorder="1"/>
    <xf numFmtId="164" fontId="0" fillId="3" borderId="0" xfId="0" applyNumberFormat="1" applyFill="1"/>
    <xf numFmtId="0" fontId="0" fillId="3" borderId="0" xfId="0" applyFill="1" applyBorder="1"/>
    <xf numFmtId="0" fontId="2" fillId="3" borderId="0" xfId="0" applyFont="1" applyFill="1" applyBorder="1" applyAlignment="1">
      <alignment horizontal="center"/>
    </xf>
    <xf numFmtId="1" fontId="0" fillId="3" borderId="0" xfId="0" applyNumberFormat="1" applyFill="1" applyBorder="1"/>
    <xf numFmtId="0" fontId="3" fillId="3" borderId="0" xfId="0" applyFont="1" applyFill="1" applyAlignment="1">
      <alignment vertical="center"/>
    </xf>
    <xf numFmtId="0" fontId="5" fillId="3" borderId="0" xfId="0" applyFont="1" applyFill="1" applyBorder="1" applyAlignment="1">
      <alignment horizontal="left" vertical="center"/>
    </xf>
    <xf numFmtId="3" fontId="7" fillId="3" borderId="0" xfId="0" applyNumberFormat="1" applyFont="1" applyFill="1"/>
    <xf numFmtId="3" fontId="0" fillId="3" borderId="0" xfId="0" applyNumberFormat="1" applyFill="1"/>
    <xf numFmtId="0" fontId="7" fillId="3" borderId="0" xfId="0" applyFont="1" applyFill="1" applyAlignment="1">
      <alignment vertical="center"/>
    </xf>
    <xf numFmtId="0" fontId="0" fillId="3" borderId="0" xfId="0" applyFill="1" applyAlignment="1"/>
    <xf numFmtId="164" fontId="0" fillId="3" borderId="0" xfId="0" applyNumberFormat="1" applyFill="1" applyAlignment="1"/>
    <xf numFmtId="43" fontId="0" fillId="3" borderId="0" xfId="0" applyNumberFormat="1" applyFill="1" applyAlignment="1"/>
    <xf numFmtId="0" fontId="5" fillId="3" borderId="0" xfId="0" applyFont="1" applyFill="1" applyBorder="1" applyAlignment="1">
      <alignment horizontal="right" vertical="center"/>
    </xf>
    <xf numFmtId="0" fontId="7" fillId="3" borderId="0" xfId="0" applyFont="1" applyFill="1" applyBorder="1" applyAlignment="1">
      <alignment horizontal="center" vertical="center"/>
    </xf>
    <xf numFmtId="3" fontId="8" fillId="3" borderId="2" xfId="0" applyNumberFormat="1" applyFont="1" applyFill="1" applyBorder="1" applyAlignment="1">
      <alignment horizontal="center" vertical="center"/>
    </xf>
    <xf numFmtId="0" fontId="6" fillId="3" borderId="3" xfId="0" applyFont="1" applyFill="1" applyBorder="1" applyAlignment="1">
      <alignment vertical="center"/>
    </xf>
    <xf numFmtId="0" fontId="13" fillId="3" borderId="4"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7" fillId="3" borderId="0" xfId="0" applyFont="1" applyFill="1" applyAlignment="1">
      <alignment horizontal="center" vertical="center" wrapText="1"/>
    </xf>
    <xf numFmtId="0" fontId="7" fillId="3" borderId="1" xfId="0" applyFont="1" applyFill="1" applyBorder="1" applyAlignment="1">
      <alignment horizontal="center" vertical="center" wrapText="1"/>
    </xf>
    <xf numFmtId="0" fontId="4" fillId="3" borderId="5" xfId="0" applyFont="1" applyFill="1" applyBorder="1" applyAlignment="1">
      <alignment vertical="center"/>
    </xf>
    <xf numFmtId="0" fontId="12" fillId="3" borderId="6" xfId="0" applyFont="1" applyFill="1" applyBorder="1"/>
    <xf numFmtId="0" fontId="4" fillId="3" borderId="6" xfId="0" applyFont="1" applyFill="1" applyBorder="1" applyAlignment="1">
      <alignment horizontal="center" vertical="center"/>
    </xf>
    <xf numFmtId="0" fontId="12" fillId="3" borderId="7" xfId="0" applyFont="1" applyFill="1" applyBorder="1"/>
    <xf numFmtId="0" fontId="5" fillId="3" borderId="5" xfId="0" applyFont="1" applyFill="1" applyBorder="1" applyAlignment="1">
      <alignment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7" fillId="3" borderId="0" xfId="0" applyFont="1" applyFill="1"/>
    <xf numFmtId="0" fontId="6" fillId="3" borderId="8" xfId="0" applyFont="1" applyFill="1" applyBorder="1" applyAlignment="1">
      <alignment vertical="center"/>
    </xf>
    <xf numFmtId="3" fontId="7" fillId="3" borderId="0" xfId="0" applyNumberFormat="1" applyFont="1" applyFill="1" applyAlignment="1">
      <alignment horizontal="center" vertical="center"/>
    </xf>
    <xf numFmtId="3" fontId="7" fillId="3" borderId="9" xfId="0" applyNumberFormat="1" applyFont="1" applyFill="1" applyBorder="1" applyAlignment="1">
      <alignment horizontal="center" vertical="center"/>
    </xf>
    <xf numFmtId="2" fontId="7" fillId="3" borderId="0" xfId="0" applyNumberFormat="1" applyFont="1" applyFill="1" applyAlignment="1">
      <alignment horizontal="center" vertical="center"/>
    </xf>
    <xf numFmtId="3" fontId="7" fillId="3" borderId="0" xfId="1" applyNumberFormat="1" applyFont="1" applyFill="1" applyAlignment="1">
      <alignment horizontal="center" vertical="center"/>
    </xf>
    <xf numFmtId="0" fontId="4" fillId="3" borderId="8" xfId="0" applyFont="1" applyFill="1" applyBorder="1" applyAlignment="1">
      <alignment vertical="center"/>
    </xf>
    <xf numFmtId="3" fontId="8" fillId="3" borderId="0" xfId="0" applyNumberFormat="1" applyFont="1" applyFill="1" applyAlignment="1">
      <alignment horizontal="center" vertical="center"/>
    </xf>
    <xf numFmtId="3" fontId="8" fillId="3" borderId="10" xfId="0" applyNumberFormat="1" applyFont="1" applyFill="1" applyBorder="1" applyAlignment="1">
      <alignment horizontal="center" vertical="center"/>
    </xf>
    <xf numFmtId="0" fontId="6" fillId="3" borderId="11" xfId="0" applyFont="1" applyFill="1" applyBorder="1" applyAlignment="1">
      <alignment vertical="center"/>
    </xf>
    <xf numFmtId="9" fontId="7" fillId="3" borderId="3" xfId="0" applyNumberFormat="1" applyFont="1" applyFill="1" applyBorder="1" applyAlignment="1">
      <alignment horizontal="center" vertical="center"/>
    </xf>
    <xf numFmtId="0" fontId="4" fillId="3" borderId="4" xfId="0" applyFont="1" applyFill="1" applyBorder="1" applyAlignment="1">
      <alignment vertical="center"/>
    </xf>
    <xf numFmtId="0" fontId="5" fillId="3" borderId="4" xfId="0" applyFont="1" applyFill="1" applyBorder="1" applyAlignment="1">
      <alignment horizontal="center" vertical="center"/>
    </xf>
    <xf numFmtId="0" fontId="6" fillId="3" borderId="0" xfId="0" applyFont="1" applyFill="1" applyBorder="1" applyAlignment="1">
      <alignment vertical="center"/>
    </xf>
    <xf numFmtId="0" fontId="7" fillId="3" borderId="0" xfId="0" applyFont="1" applyFill="1" applyBorder="1" applyAlignment="1">
      <alignment vertical="center"/>
    </xf>
    <xf numFmtId="0" fontId="4" fillId="3" borderId="0" xfId="0" applyFont="1" applyFill="1" applyBorder="1" applyAlignment="1">
      <alignment vertical="center"/>
    </xf>
    <xf numFmtId="3" fontId="0" fillId="3" borderId="0" xfId="0" applyNumberFormat="1" applyFill="1" applyAlignment="1"/>
    <xf numFmtId="3" fontId="6" fillId="3" borderId="6" xfId="0" applyNumberFormat="1" applyFont="1" applyFill="1" applyBorder="1" applyAlignment="1">
      <alignment horizontal="right" vertical="center" wrapText="1"/>
    </xf>
    <xf numFmtId="3" fontId="6" fillId="3" borderId="0" xfId="0" applyNumberFormat="1" applyFont="1" applyFill="1" applyAlignment="1">
      <alignment horizontal="right" vertical="center" wrapText="1"/>
    </xf>
    <xf numFmtId="3" fontId="6" fillId="3" borderId="3" xfId="0" applyNumberFormat="1" applyFont="1" applyFill="1" applyBorder="1" applyAlignment="1">
      <alignment horizontal="right" vertical="center" wrapText="1"/>
    </xf>
    <xf numFmtId="0" fontId="0" fillId="3" borderId="0" xfId="0" applyFill="1" applyBorder="1" applyAlignment="1"/>
    <xf numFmtId="3" fontId="7" fillId="3" borderId="0" xfId="0" applyNumberFormat="1" applyFont="1" applyFill="1" applyBorder="1" applyAlignment="1">
      <alignment horizontal="center" vertical="center"/>
    </xf>
    <xf numFmtId="3" fontId="7" fillId="3" borderId="0" xfId="0" applyNumberFormat="1" applyFont="1" applyFill="1" applyBorder="1" applyAlignment="1">
      <alignment vertical="center"/>
    </xf>
    <xf numFmtId="168" fontId="7" fillId="3" borderId="0" xfId="2" applyNumberFormat="1" applyFont="1" applyFill="1" applyBorder="1" applyAlignment="1">
      <alignment horizontal="center" vertical="center"/>
    </xf>
    <xf numFmtId="3" fontId="8" fillId="3" borderId="0" xfId="0" applyNumberFormat="1" applyFont="1" applyFill="1" applyBorder="1" applyAlignment="1">
      <alignment horizontal="center" vertical="center"/>
    </xf>
    <xf numFmtId="3" fontId="0" fillId="3" borderId="0" xfId="0" applyNumberFormat="1" applyFill="1" applyBorder="1"/>
    <xf numFmtId="3" fontId="0" fillId="3" borderId="0" xfId="0" applyNumberFormat="1" applyFill="1" applyBorder="1" applyAlignment="1"/>
    <xf numFmtId="0" fontId="14" fillId="3" borderId="0" xfId="0" applyFont="1" applyFill="1"/>
    <xf numFmtId="167" fontId="0" fillId="3" borderId="0" xfId="0" applyNumberFormat="1" applyFill="1"/>
    <xf numFmtId="164" fontId="7" fillId="3" borderId="0" xfId="1" applyNumberFormat="1" applyFont="1" applyFill="1"/>
    <xf numFmtId="0" fontId="0" fillId="4" borderId="0" xfId="0" applyFill="1"/>
    <xf numFmtId="0" fontId="2" fillId="4" borderId="0" xfId="0" applyFont="1" applyFill="1"/>
    <xf numFmtId="164" fontId="7" fillId="4" borderId="0" xfId="1" applyNumberFormat="1" applyFont="1" applyFill="1"/>
    <xf numFmtId="3" fontId="7" fillId="3" borderId="0" xfId="0" applyNumberFormat="1" applyFont="1" applyFill="1" applyAlignment="1">
      <alignment horizontal="right" vertical="center" wrapText="1"/>
    </xf>
    <xf numFmtId="0" fontId="2" fillId="0" borderId="0" xfId="0" applyFont="1"/>
    <xf numFmtId="0" fontId="15" fillId="0" borderId="0" xfId="0" applyFont="1"/>
    <xf numFmtId="167" fontId="7" fillId="4" borderId="0" xfId="0" applyNumberFormat="1" applyFont="1" applyFill="1" applyBorder="1" applyAlignment="1">
      <alignment horizontal="center" vertical="center"/>
    </xf>
    <xf numFmtId="165" fontId="0" fillId="4" borderId="0" xfId="0" applyNumberFormat="1" applyFill="1"/>
    <xf numFmtId="3" fontId="7" fillId="0" borderId="13" xfId="0" applyNumberFormat="1" applyFont="1" applyBorder="1" applyAlignment="1">
      <alignment horizontal="right" vertical="center" wrapText="1"/>
    </xf>
    <xf numFmtId="0" fontId="16" fillId="3" borderId="0" xfId="0" applyFont="1" applyFill="1"/>
    <xf numFmtId="3" fontId="19" fillId="3" borderId="0" xfId="0" applyNumberFormat="1" applyFont="1" applyFill="1"/>
    <xf numFmtId="3" fontId="0" fillId="0" borderId="0" xfId="0" applyNumberFormat="1"/>
    <xf numFmtId="0" fontId="8" fillId="3" borderId="14" xfId="0" applyFont="1" applyFill="1" applyBorder="1" applyAlignment="1">
      <alignment vertical="center" wrapText="1"/>
    </xf>
    <xf numFmtId="0" fontId="7" fillId="3" borderId="17" xfId="0" applyFont="1" applyFill="1" applyBorder="1" applyAlignment="1">
      <alignment vertical="center" wrapText="1"/>
    </xf>
    <xf numFmtId="0" fontId="6" fillId="3" borderId="18"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3" borderId="20" xfId="0" applyFont="1" applyFill="1" applyBorder="1" applyAlignment="1">
      <alignment vertical="center" wrapText="1"/>
    </xf>
    <xf numFmtId="3" fontId="7" fillId="3" borderId="13" xfId="0" applyNumberFormat="1" applyFont="1" applyFill="1" applyBorder="1" applyAlignment="1">
      <alignment horizontal="right" vertical="center" wrapText="1"/>
    </xf>
    <xf numFmtId="3" fontId="6" fillId="3" borderId="13" xfId="0" applyNumberFormat="1" applyFont="1" applyFill="1" applyBorder="1" applyAlignment="1">
      <alignment horizontal="right" vertical="center" wrapText="1"/>
    </xf>
    <xf numFmtId="0" fontId="6" fillId="3" borderId="0" xfId="0" applyFont="1" applyFill="1" applyAlignment="1">
      <alignment horizontal="center" vertical="center" wrapText="1"/>
    </xf>
    <xf numFmtId="0" fontId="7" fillId="5" borderId="17" xfId="0" applyFont="1" applyFill="1" applyBorder="1" applyAlignment="1">
      <alignment vertical="center" wrapText="1"/>
    </xf>
    <xf numFmtId="3" fontId="7" fillId="5" borderId="18" xfId="0" applyNumberFormat="1" applyFont="1" applyFill="1" applyBorder="1" applyAlignment="1">
      <alignment horizontal="right" vertical="center" wrapText="1"/>
    </xf>
    <xf numFmtId="3" fontId="7" fillId="5" borderId="19" xfId="0" applyNumberFormat="1" applyFont="1" applyFill="1" applyBorder="1" applyAlignment="1">
      <alignment horizontal="right" vertical="center" wrapText="1"/>
    </xf>
    <xf numFmtId="3" fontId="6" fillId="5" borderId="19" xfId="0" applyNumberFormat="1" applyFont="1" applyFill="1" applyBorder="1" applyAlignment="1">
      <alignment horizontal="right" vertical="center" wrapText="1"/>
    </xf>
    <xf numFmtId="3" fontId="6" fillId="5" borderId="18" xfId="0" applyNumberFormat="1" applyFont="1" applyFill="1" applyBorder="1" applyAlignment="1">
      <alignment horizontal="right" vertical="center" wrapText="1"/>
    </xf>
    <xf numFmtId="0" fontId="0" fillId="0" borderId="0" xfId="0" applyFill="1"/>
    <xf numFmtId="0" fontId="17" fillId="0" borderId="0" xfId="0" applyFont="1" applyFill="1"/>
    <xf numFmtId="3" fontId="18" fillId="0" borderId="0" xfId="0" applyNumberFormat="1" applyFont="1" applyFill="1"/>
    <xf numFmtId="0" fontId="0" fillId="6" borderId="0" xfId="0" applyFill="1"/>
    <xf numFmtId="169" fontId="2" fillId="3" borderId="0" xfId="0" applyNumberFormat="1" applyFont="1" applyFill="1"/>
    <xf numFmtId="0" fontId="0" fillId="4" borderId="0" xfId="0" applyFill="1" applyBorder="1"/>
    <xf numFmtId="3" fontId="7" fillId="5" borderId="18" xfId="0" quotePrefix="1" applyNumberFormat="1" applyFont="1" applyFill="1" applyBorder="1" applyAlignment="1">
      <alignment horizontal="center" vertical="center" wrapText="1"/>
    </xf>
    <xf numFmtId="164" fontId="7" fillId="3" borderId="0" xfId="1" applyNumberFormat="1" applyFont="1" applyFill="1" applyBorder="1" applyAlignment="1">
      <alignment horizontal="center" vertical="center"/>
    </xf>
    <xf numFmtId="164" fontId="8" fillId="3" borderId="0" xfId="1" applyNumberFormat="1" applyFont="1" applyFill="1" applyBorder="1" applyAlignment="1">
      <alignment horizontal="center" vertical="center"/>
    </xf>
    <xf numFmtId="164" fontId="7" fillId="3" borderId="0" xfId="1" applyNumberFormat="1" applyFont="1" applyFill="1" applyBorder="1" applyAlignment="1"/>
    <xf numFmtId="1" fontId="7" fillId="3" borderId="0" xfId="1" applyNumberFormat="1" applyFont="1" applyFill="1" applyBorder="1" applyAlignment="1">
      <alignment horizontal="right" vertical="center"/>
    </xf>
    <xf numFmtId="164" fontId="7" fillId="3" borderId="0" xfId="1" applyNumberFormat="1" applyFont="1" applyFill="1" applyBorder="1" applyAlignment="1">
      <alignment horizontal="right" vertical="center"/>
    </xf>
    <xf numFmtId="164" fontId="8" fillId="3" borderId="0" xfId="1" applyNumberFormat="1" applyFont="1" applyFill="1" applyBorder="1" applyAlignment="1">
      <alignment horizontal="right" vertical="center"/>
    </xf>
    <xf numFmtId="43" fontId="7" fillId="3" borderId="0" xfId="1" applyNumberFormat="1" applyFont="1" applyFill="1" applyBorder="1" applyAlignment="1">
      <alignment horizontal="right" vertical="center"/>
    </xf>
    <xf numFmtId="10" fontId="7" fillId="3" borderId="3" xfId="0" applyNumberFormat="1" applyFont="1" applyFill="1" applyBorder="1" applyAlignment="1">
      <alignment horizontal="center" vertical="center"/>
    </xf>
    <xf numFmtId="164" fontId="7" fillId="3" borderId="0" xfId="0" applyNumberFormat="1" applyFont="1" applyFill="1" applyBorder="1" applyAlignment="1">
      <alignment horizontal="center" vertical="center"/>
    </xf>
    <xf numFmtId="3" fontId="8" fillId="3" borderId="0" xfId="0" applyNumberFormat="1" applyFont="1" applyFill="1" applyAlignment="1">
      <alignment horizontal="center" vertical="center" wrapText="1"/>
    </xf>
    <xf numFmtId="3" fontId="8" fillId="3" borderId="1" xfId="0" applyNumberFormat="1" applyFont="1" applyFill="1" applyBorder="1" applyAlignment="1">
      <alignment horizontal="center" vertical="center" wrapText="1"/>
    </xf>
    <xf numFmtId="1" fontId="0" fillId="3" borderId="0" xfId="0" applyNumberFormat="1" applyFill="1"/>
    <xf numFmtId="1" fontId="0" fillId="4" borderId="0" xfId="0" applyNumberFormat="1" applyFill="1"/>
    <xf numFmtId="1" fontId="0" fillId="4" borderId="0" xfId="0" applyNumberFormat="1" applyFill="1" applyBorder="1"/>
    <xf numFmtId="43" fontId="0" fillId="3" borderId="0" xfId="1" applyNumberFormat="1" applyFont="1" applyFill="1"/>
    <xf numFmtId="3" fontId="0" fillId="4" borderId="0" xfId="0" applyNumberFormat="1" applyFill="1"/>
    <xf numFmtId="0" fontId="8" fillId="3" borderId="21"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2" fillId="3" borderId="0" xfId="0" applyFont="1" applyFill="1" applyAlignment="1">
      <alignment horizontal="center"/>
    </xf>
    <xf numFmtId="3" fontId="7" fillId="3" borderId="0" xfId="0" applyNumberFormat="1" applyFont="1" applyFill="1" applyAlignment="1">
      <alignment horizontal="center"/>
    </xf>
    <xf numFmtId="0" fontId="8" fillId="3" borderId="4" xfId="0" applyFont="1" applyFill="1" applyBorder="1" applyAlignment="1">
      <alignment vertical="center" wrapText="1"/>
    </xf>
    <xf numFmtId="0" fontId="8" fillId="3" borderId="0" xfId="0" applyFont="1" applyFill="1" applyBorder="1" applyAlignment="1">
      <alignment vertical="center" wrapText="1"/>
    </xf>
    <xf numFmtId="0" fontId="8" fillId="3" borderId="1" xfId="0" applyFont="1" applyFill="1" applyBorder="1" applyAlignment="1">
      <alignment vertical="center" wrapText="1"/>
    </xf>
    <xf numFmtId="1"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T47"/>
  <sheetViews>
    <sheetView tabSelected="1" topLeftCell="A28" workbookViewId="0">
      <selection activeCell="I38" sqref="I38"/>
    </sheetView>
  </sheetViews>
  <sheetFormatPr defaultRowHeight="14.4" x14ac:dyDescent="0.3"/>
  <cols>
    <col min="4" max="4" width="22.5546875" customWidth="1"/>
    <col min="7" max="7" width="11.109375" customWidth="1"/>
  </cols>
  <sheetData>
    <row r="3" spans="3:5" x14ac:dyDescent="0.3">
      <c r="C3" t="s">
        <v>35</v>
      </c>
    </row>
    <row r="5" spans="3:5" x14ac:dyDescent="0.3">
      <c r="C5" s="71" t="s">
        <v>36</v>
      </c>
    </row>
    <row r="6" spans="3:5" x14ac:dyDescent="0.3">
      <c r="D6" s="72" t="s">
        <v>37</v>
      </c>
      <c r="E6" t="s">
        <v>77</v>
      </c>
    </row>
    <row r="7" spans="3:5" x14ac:dyDescent="0.3">
      <c r="D7" s="72" t="s">
        <v>38</v>
      </c>
      <c r="E7" t="s">
        <v>78</v>
      </c>
    </row>
    <row r="9" spans="3:5" x14ac:dyDescent="0.3">
      <c r="C9" s="71" t="s">
        <v>39</v>
      </c>
    </row>
    <row r="10" spans="3:5" x14ac:dyDescent="0.3">
      <c r="D10" t="s">
        <v>82</v>
      </c>
    </row>
    <row r="11" spans="3:5" x14ac:dyDescent="0.3">
      <c r="D11" t="s">
        <v>43</v>
      </c>
    </row>
    <row r="12" spans="3:5" x14ac:dyDescent="0.3">
      <c r="D12" t="s">
        <v>76</v>
      </c>
    </row>
    <row r="13" spans="3:5" x14ac:dyDescent="0.3">
      <c r="D13" t="s">
        <v>40</v>
      </c>
    </row>
    <row r="14" spans="3:5" x14ac:dyDescent="0.3">
      <c r="D14" t="s">
        <v>45</v>
      </c>
    </row>
    <row r="15" spans="3:5" x14ac:dyDescent="0.3">
      <c r="D15" t="s">
        <v>55</v>
      </c>
    </row>
    <row r="17" spans="3:19" x14ac:dyDescent="0.3">
      <c r="D17" t="s">
        <v>46</v>
      </c>
    </row>
    <row r="19" spans="3:19" x14ac:dyDescent="0.3">
      <c r="C19" s="71" t="s">
        <v>47</v>
      </c>
    </row>
    <row r="20" spans="3:19" x14ac:dyDescent="0.3">
      <c r="D20" s="72" t="s">
        <v>48</v>
      </c>
      <c r="E20" t="s">
        <v>49</v>
      </c>
    </row>
    <row r="21" spans="3:19" x14ac:dyDescent="0.3">
      <c r="D21" s="72" t="s">
        <v>50</v>
      </c>
      <c r="E21" t="s">
        <v>51</v>
      </c>
    </row>
    <row r="26" spans="3:19" x14ac:dyDescent="0.3">
      <c r="G26" t="s">
        <v>68</v>
      </c>
    </row>
    <row r="27" spans="3:19" ht="15" thickBot="1" x14ac:dyDescent="0.35">
      <c r="F27" s="2"/>
      <c r="G27" s="2"/>
      <c r="H27" s="2"/>
      <c r="I27" s="2"/>
      <c r="J27" s="2"/>
      <c r="K27" s="2"/>
      <c r="L27" s="2"/>
      <c r="M27" s="2"/>
      <c r="N27" s="2"/>
      <c r="O27" s="2"/>
      <c r="P27" s="2"/>
    </row>
    <row r="28" spans="3:19" ht="15" thickBot="1" x14ac:dyDescent="0.35">
      <c r="F28" s="2"/>
      <c r="G28" s="79" t="s">
        <v>18</v>
      </c>
      <c r="H28" s="116">
        <v>2024</v>
      </c>
      <c r="I28" s="117"/>
      <c r="J28" s="117"/>
      <c r="K28" s="118"/>
      <c r="L28" s="116" t="s">
        <v>95</v>
      </c>
      <c r="M28" s="118"/>
      <c r="N28" s="116" t="s">
        <v>113</v>
      </c>
      <c r="O28" s="118"/>
      <c r="P28" s="2"/>
    </row>
    <row r="29" spans="3:19" ht="30.6" thickBot="1" x14ac:dyDescent="0.35">
      <c r="F29" s="2"/>
      <c r="G29" s="80" t="s">
        <v>56</v>
      </c>
      <c r="H29" s="81" t="s">
        <v>57</v>
      </c>
      <c r="I29" s="82" t="s">
        <v>58</v>
      </c>
      <c r="J29" s="82" t="s">
        <v>59</v>
      </c>
      <c r="K29" s="83" t="s">
        <v>60</v>
      </c>
      <c r="L29" s="81" t="s">
        <v>57</v>
      </c>
      <c r="M29" s="83" t="s">
        <v>61</v>
      </c>
      <c r="N29" s="81" t="s">
        <v>57</v>
      </c>
      <c r="O29" s="83" t="s">
        <v>61</v>
      </c>
      <c r="P29" s="2"/>
    </row>
    <row r="30" spans="3:19" x14ac:dyDescent="0.3">
      <c r="F30" s="2"/>
      <c r="G30" s="84" t="s">
        <v>1</v>
      </c>
      <c r="H30" s="28" t="s">
        <v>62</v>
      </c>
      <c r="I30" s="70">
        <f>Apportionment!B13</f>
        <v>11449.548225968985</v>
      </c>
      <c r="J30" s="70">
        <f>Apportionment!B22</f>
        <v>7996</v>
      </c>
      <c r="K30" s="85">
        <f>Apportionment!B21</f>
        <v>3939.5</v>
      </c>
      <c r="L30" s="28" t="s">
        <v>62</v>
      </c>
      <c r="M30" s="86">
        <f>'5yr_Survey_Avg_Apport'!E10</f>
        <v>13897.785685690169</v>
      </c>
      <c r="N30" s="87" t="s">
        <v>62</v>
      </c>
      <c r="O30" s="86">
        <f>'5yr_Survey_Avg_Apport'!E21</f>
        <v>13723.106359608684</v>
      </c>
      <c r="P30" s="2"/>
      <c r="R30" s="75">
        <v>13898</v>
      </c>
      <c r="S30" s="75">
        <v>13723</v>
      </c>
    </row>
    <row r="31" spans="3:19" x14ac:dyDescent="0.3">
      <c r="F31" s="2"/>
      <c r="G31" s="84" t="s">
        <v>2</v>
      </c>
      <c r="H31" s="28" t="s">
        <v>62</v>
      </c>
      <c r="I31" s="70">
        <f>Apportionment!C13</f>
        <v>13100.302750210658</v>
      </c>
      <c r="J31" s="70">
        <f>Apportionment!C22</f>
        <v>8440</v>
      </c>
      <c r="K31" s="85">
        <f>Apportionment!C21</f>
        <v>1265.7</v>
      </c>
      <c r="L31" s="28" t="s">
        <v>62</v>
      </c>
      <c r="M31" s="86">
        <f>'5yr_Survey_Avg_Apport'!D10</f>
        <v>12175.263938498063</v>
      </c>
      <c r="N31" s="87" t="s">
        <v>62</v>
      </c>
      <c r="O31" s="86">
        <f>'5yr_Survey_Avg_Apport'!D21</f>
        <v>12022.234747536306</v>
      </c>
      <c r="P31" s="2"/>
      <c r="R31" s="75">
        <v>12175</v>
      </c>
      <c r="S31" s="75">
        <v>12022</v>
      </c>
    </row>
    <row r="32" spans="3:19" x14ac:dyDescent="0.3">
      <c r="F32" s="2"/>
      <c r="G32" s="84" t="s">
        <v>63</v>
      </c>
      <c r="H32" s="28" t="s">
        <v>62</v>
      </c>
      <c r="I32" s="70">
        <f>SUM(I33:I36)</f>
        <v>22595.632982055013</v>
      </c>
      <c r="J32" s="70">
        <f>SUM(J33:J36)</f>
        <v>22595.979711819011</v>
      </c>
      <c r="K32" s="85">
        <f>SUM(K33:K36)</f>
        <v>13406.400000000001</v>
      </c>
      <c r="L32" s="28" t="s">
        <v>62</v>
      </c>
      <c r="M32" s="86">
        <f>SUM(M33:M36)</f>
        <v>24038.486014783859</v>
      </c>
      <c r="N32" s="87" t="s">
        <v>62</v>
      </c>
      <c r="O32" s="86">
        <f>S37</f>
        <v>23737</v>
      </c>
      <c r="P32" s="2"/>
      <c r="R32" s="75"/>
      <c r="S32" s="75"/>
    </row>
    <row r="33" spans="6:20" x14ac:dyDescent="0.3">
      <c r="F33" s="2"/>
      <c r="G33" s="84" t="s">
        <v>64</v>
      </c>
      <c r="H33" s="28" t="s">
        <v>62</v>
      </c>
      <c r="I33" s="70">
        <f>Apportionment!D13</f>
        <v>4698.6532702360046</v>
      </c>
      <c r="J33" s="70">
        <f>Apportionment!D22</f>
        <v>4699</v>
      </c>
      <c r="K33" s="85">
        <f>Apportionment!D21</f>
        <v>2100.9</v>
      </c>
      <c r="L33" s="28" t="s">
        <v>62</v>
      </c>
      <c r="M33" s="86">
        <f>'5yr_Survey_Avg_Apport'!F10</f>
        <v>4996.4343025940352</v>
      </c>
      <c r="N33" s="87" t="s">
        <v>62</v>
      </c>
      <c r="O33" s="86">
        <f>'5yr_Survey_Avg_Apport'!F21</f>
        <v>4933.6348180915365</v>
      </c>
      <c r="P33" s="2"/>
      <c r="R33" s="75">
        <v>4996</v>
      </c>
      <c r="S33" s="75">
        <v>4934</v>
      </c>
    </row>
    <row r="34" spans="6:20" x14ac:dyDescent="0.3">
      <c r="F34" s="2"/>
      <c r="G34" s="84" t="s">
        <v>65</v>
      </c>
      <c r="H34" s="28" t="s">
        <v>62</v>
      </c>
      <c r="I34" s="70">
        <f>Apportionment!E13</f>
        <v>9650.979711819009</v>
      </c>
      <c r="J34" s="70">
        <f>Apportionment!E22</f>
        <v>9650.979711819009</v>
      </c>
      <c r="K34" s="85">
        <f>Apportionment!E21</f>
        <v>5655.1</v>
      </c>
      <c r="L34" s="28" t="s">
        <v>62</v>
      </c>
      <c r="M34" s="86">
        <f>'5yr_Survey_Avg_Apport'!G10</f>
        <v>10257.307329692021</v>
      </c>
      <c r="N34" s="87" t="s">
        <v>62</v>
      </c>
      <c r="O34" s="86">
        <f>'5yr_Survey_Avg_Apport'!G21</f>
        <v>10128.384667313789</v>
      </c>
      <c r="P34" s="2"/>
      <c r="R34" s="75">
        <v>10257</v>
      </c>
      <c r="S34" s="75">
        <v>10128</v>
      </c>
    </row>
    <row r="35" spans="6:20" ht="27.6" customHeight="1" x14ac:dyDescent="0.3">
      <c r="F35" s="2"/>
      <c r="G35" s="84" t="s">
        <v>66</v>
      </c>
      <c r="H35" s="28" t="s">
        <v>62</v>
      </c>
      <c r="I35" s="70">
        <f>Apportionment!F13</f>
        <v>2926</v>
      </c>
      <c r="J35" s="70">
        <f>Apportionment!F22</f>
        <v>2926</v>
      </c>
      <c r="K35" s="85">
        <f>Apportionment!F21</f>
        <v>2172.1</v>
      </c>
      <c r="L35" s="28" t="s">
        <v>62</v>
      </c>
      <c r="M35" s="86">
        <f>'5yr_Survey_Avg_Apport'!E27</f>
        <v>3124.7794762504509</v>
      </c>
      <c r="N35" s="87" t="s">
        <v>62</v>
      </c>
      <c r="O35" s="86">
        <f>'5yr_Survey_Avg_Apport'!E28</f>
        <v>3085.5045596983341</v>
      </c>
      <c r="P35" s="2"/>
      <c r="R35" s="75">
        <v>3125</v>
      </c>
      <c r="S35" s="75">
        <v>3086</v>
      </c>
    </row>
    <row r="36" spans="6:20" ht="27.6" customHeight="1" x14ac:dyDescent="0.3">
      <c r="F36" s="2"/>
      <c r="G36" s="84" t="s">
        <v>67</v>
      </c>
      <c r="H36" s="28" t="s">
        <v>62</v>
      </c>
      <c r="I36" s="70">
        <v>5320</v>
      </c>
      <c r="J36" s="70">
        <f>Apportionment!G22</f>
        <v>5320</v>
      </c>
      <c r="K36" s="85">
        <f>Apportionment!G21</f>
        <v>3478.3</v>
      </c>
      <c r="L36" s="28" t="s">
        <v>62</v>
      </c>
      <c r="M36" s="86">
        <f>'5yr_Survey_Avg_Apport'!F27</f>
        <v>5659.9649062473509</v>
      </c>
      <c r="N36" s="87" t="s">
        <v>62</v>
      </c>
      <c r="O36" s="86">
        <f>'5yr_Survey_Avg_Apport'!F28</f>
        <v>5588.8255983152876</v>
      </c>
      <c r="P36" s="2"/>
      <c r="R36" s="75">
        <v>5660</v>
      </c>
      <c r="S36" s="75">
        <v>5589</v>
      </c>
    </row>
    <row r="37" spans="6:20" ht="15" thickBot="1" x14ac:dyDescent="0.35">
      <c r="F37" s="2"/>
      <c r="G37" s="88" t="s">
        <v>12</v>
      </c>
      <c r="H37" s="89">
        <f>Apportionment!B18</f>
        <v>55084</v>
      </c>
      <c r="I37" s="89">
        <v>47146</v>
      </c>
      <c r="J37" s="89">
        <f>SUM(J30:J31,J33:J36)</f>
        <v>39031.979711819011</v>
      </c>
      <c r="K37" s="90">
        <f>SUM(K30:K31,K33:K36)</f>
        <v>18611.600000000002</v>
      </c>
      <c r="L37" s="99">
        <f>'5yr_Survey_Avg_Apport'!G38</f>
        <v>58532.365379621631</v>
      </c>
      <c r="M37" s="91">
        <f>R38</f>
        <v>50111</v>
      </c>
      <c r="N37" s="92">
        <f>'5yr_Survey_Avg_Apport'!K38</f>
        <v>57796.861375770844</v>
      </c>
      <c r="O37" s="91">
        <f>S38</f>
        <v>49482</v>
      </c>
      <c r="P37" s="2"/>
      <c r="R37" s="78">
        <f>SUM(R33:R36)</f>
        <v>24038</v>
      </c>
      <c r="S37" s="78">
        <f>SUM(S33:S36)</f>
        <v>23737</v>
      </c>
    </row>
    <row r="38" spans="6:20" x14ac:dyDescent="0.3">
      <c r="F38" s="2"/>
      <c r="G38" s="2"/>
      <c r="H38" s="2"/>
      <c r="I38" s="2"/>
      <c r="J38" s="2"/>
      <c r="K38" s="2"/>
      <c r="L38" s="2"/>
      <c r="M38" s="2"/>
      <c r="N38" s="2"/>
      <c r="O38" s="2"/>
      <c r="P38" s="2"/>
      <c r="R38" s="115">
        <f>SUM(R30:R36)</f>
        <v>50111</v>
      </c>
      <c r="S38" s="115">
        <f>SUM(S30:S36)</f>
        <v>49482</v>
      </c>
      <c r="T38" t="s">
        <v>115</v>
      </c>
    </row>
    <row r="39" spans="6:20" x14ac:dyDescent="0.3">
      <c r="F39" s="2"/>
      <c r="G39" s="2"/>
      <c r="H39" s="2"/>
      <c r="I39" s="2"/>
      <c r="J39" s="2"/>
      <c r="K39" s="2"/>
      <c r="L39" s="2"/>
      <c r="M39" s="2"/>
      <c r="N39" s="2"/>
      <c r="O39" s="2"/>
      <c r="P39" s="2"/>
    </row>
    <row r="40" spans="6:20" x14ac:dyDescent="0.3">
      <c r="H40" t="s">
        <v>69</v>
      </c>
      <c r="I40" s="78">
        <f>SUM(I30:I31,I33:I36)</f>
        <v>47145.483958234661</v>
      </c>
      <c r="J40" s="78">
        <f t="shared" ref="J40:K40" si="0">SUM(J30:J31,J33:J36)</f>
        <v>39031.979711819011</v>
      </c>
      <c r="K40" s="78">
        <f t="shared" si="0"/>
        <v>18611.600000000002</v>
      </c>
    </row>
    <row r="41" spans="6:20" x14ac:dyDescent="0.3">
      <c r="H41" t="s">
        <v>63</v>
      </c>
      <c r="I41" s="78">
        <f>SUM(I33:I36)</f>
        <v>22595.632982055013</v>
      </c>
      <c r="J41" s="78">
        <f t="shared" ref="J41:K41" si="1">SUM(J33:J36)</f>
        <v>22595.979711819011</v>
      </c>
      <c r="K41" s="78">
        <f t="shared" si="1"/>
        <v>13406.400000000001</v>
      </c>
    </row>
    <row r="43" spans="6:20" x14ac:dyDescent="0.3">
      <c r="I43" s="124">
        <v>4698.6532702360046</v>
      </c>
    </row>
    <row r="44" spans="6:20" x14ac:dyDescent="0.3">
      <c r="I44" s="124">
        <v>9650.979711819009</v>
      </c>
      <c r="J44">
        <f>11450+13100+22596</f>
        <v>47146</v>
      </c>
    </row>
    <row r="45" spans="6:20" x14ac:dyDescent="0.3">
      <c r="I45">
        <v>2926</v>
      </c>
    </row>
    <row r="46" spans="6:20" x14ac:dyDescent="0.3">
      <c r="I46">
        <v>5320</v>
      </c>
    </row>
    <row r="47" spans="6:20" x14ac:dyDescent="0.3">
      <c r="I47" s="124">
        <f>4699+9651+2926+5320</f>
        <v>22596</v>
      </c>
    </row>
  </sheetData>
  <mergeCells count="3">
    <mergeCell ref="H28:K28"/>
    <mergeCell ref="L28:M28"/>
    <mergeCell ref="N28:O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0"/>
  <sheetViews>
    <sheetView workbookViewId="0">
      <selection activeCell="G17" sqref="G17"/>
    </sheetView>
  </sheetViews>
  <sheetFormatPr defaultColWidth="8.6640625" defaultRowHeight="14.4" x14ac:dyDescent="0.3"/>
  <cols>
    <col min="1" max="1" width="78.5546875" style="2" customWidth="1"/>
    <col min="2" max="2" width="15.44140625" style="2" customWidth="1"/>
    <col min="3" max="3" width="14.109375" style="2" customWidth="1"/>
    <col min="4" max="4" width="12.33203125" style="2" customWidth="1"/>
    <col min="5" max="5" width="11.44140625" style="2" customWidth="1"/>
    <col min="6" max="6" width="10.6640625" style="2" customWidth="1"/>
    <col min="7" max="7" width="7.44140625" style="2" customWidth="1"/>
    <col min="8" max="8" width="9.33203125" style="2" customWidth="1"/>
    <col min="9" max="9" width="8.6640625" style="11"/>
    <col min="10" max="10" width="49.5546875" style="2" customWidth="1"/>
    <col min="11" max="11" width="10.5546875" style="2" bestFit="1" customWidth="1"/>
    <col min="12" max="13" width="8.6640625" style="2"/>
    <col min="14" max="15" width="13.6640625" style="2" bestFit="1" customWidth="1"/>
    <col min="16" max="16" width="12.5546875" style="2" bestFit="1" customWidth="1"/>
    <col min="17" max="17" width="13.6640625" style="11" bestFit="1" customWidth="1"/>
    <col min="18" max="18" width="41.88671875" style="2" customWidth="1"/>
    <col min="19" max="19" width="12.5546875" style="2" bestFit="1" customWidth="1"/>
    <col min="20" max="24" width="9.109375" style="2" bestFit="1" customWidth="1"/>
    <col min="25" max="25" width="10.109375" style="2" bestFit="1" customWidth="1"/>
    <col min="26" max="26" width="8.6640625" style="11"/>
    <col min="27" max="16384" width="8.6640625" style="2"/>
  </cols>
  <sheetData>
    <row r="1" spans="1:19" x14ac:dyDescent="0.3">
      <c r="A1" s="96"/>
      <c r="C1" s="2" t="s">
        <v>70</v>
      </c>
      <c r="H1" s="2" t="s">
        <v>0</v>
      </c>
    </row>
    <row r="2" spans="1:19" x14ac:dyDescent="0.3">
      <c r="B2" s="2" t="s">
        <v>52</v>
      </c>
      <c r="C2" s="1">
        <f>B6</f>
        <v>50283</v>
      </c>
    </row>
    <row r="4" spans="1:19" x14ac:dyDescent="0.3">
      <c r="J4" s="119" t="s">
        <v>28</v>
      </c>
      <c r="K4" s="119"/>
      <c r="L4" s="119"/>
      <c r="M4" s="119"/>
      <c r="N4" s="119"/>
      <c r="O4" s="119"/>
      <c r="P4" s="119"/>
    </row>
    <row r="5" spans="1:19" s="8" customFormat="1" x14ac:dyDescent="0.3">
      <c r="A5" s="67"/>
      <c r="B5" s="68" t="s">
        <v>74</v>
      </c>
      <c r="C5" s="68" t="s">
        <v>75</v>
      </c>
      <c r="E5" s="2"/>
      <c r="F5" s="2"/>
      <c r="G5" s="2"/>
      <c r="H5" s="2"/>
      <c r="I5" s="12"/>
      <c r="J5" s="8" t="s">
        <v>7</v>
      </c>
      <c r="K5" s="8" t="s">
        <v>1</v>
      </c>
      <c r="L5" s="8" t="s">
        <v>2</v>
      </c>
      <c r="M5" s="8" t="s">
        <v>3</v>
      </c>
      <c r="N5" s="8" t="s">
        <v>4</v>
      </c>
      <c r="O5" s="8" t="s">
        <v>5</v>
      </c>
      <c r="P5" s="8" t="s">
        <v>6</v>
      </c>
    </row>
    <row r="6" spans="1:19" x14ac:dyDescent="0.3">
      <c r="A6" s="67" t="s">
        <v>34</v>
      </c>
      <c r="B6" s="69">
        <v>50283</v>
      </c>
      <c r="C6" s="69">
        <v>49651</v>
      </c>
      <c r="I6" s="13"/>
      <c r="J6" s="67" t="s">
        <v>86</v>
      </c>
      <c r="K6" s="67">
        <v>0.27672899248743399</v>
      </c>
      <c r="L6" s="67">
        <v>0.24223458887456401</v>
      </c>
      <c r="M6" s="67">
        <v>9.9611169699796401E-2</v>
      </c>
      <c r="N6" s="67">
        <v>0.20415411517152199</v>
      </c>
      <c r="O6" s="67">
        <v>5.6643876153308403E-2</v>
      </c>
      <c r="P6" s="67">
        <v>0.12062725761337401</v>
      </c>
    </row>
    <row r="7" spans="1:19" x14ac:dyDescent="0.3">
      <c r="A7" s="2" t="s">
        <v>42</v>
      </c>
      <c r="B7" s="67">
        <v>58731</v>
      </c>
      <c r="C7" s="67">
        <v>57993</v>
      </c>
      <c r="I7" s="13"/>
      <c r="K7" s="6"/>
      <c r="L7" s="6"/>
      <c r="M7" s="6"/>
      <c r="N7" s="6"/>
      <c r="O7" s="6"/>
      <c r="P7" s="6"/>
    </row>
    <row r="8" spans="1:19" x14ac:dyDescent="0.3">
      <c r="I8" s="13"/>
      <c r="K8"/>
      <c r="L8"/>
      <c r="M8"/>
      <c r="N8"/>
      <c r="O8"/>
      <c r="P8"/>
    </row>
    <row r="9" spans="1:19" ht="18" x14ac:dyDescent="0.35">
      <c r="A9" s="2" t="s">
        <v>98</v>
      </c>
      <c r="B9" s="8" t="s">
        <v>1</v>
      </c>
      <c r="C9" s="8" t="s">
        <v>2</v>
      </c>
      <c r="D9" s="8" t="s">
        <v>3</v>
      </c>
      <c r="E9" s="8" t="s">
        <v>4</v>
      </c>
      <c r="F9" s="8" t="s">
        <v>5</v>
      </c>
      <c r="G9" s="8" t="s">
        <v>6</v>
      </c>
      <c r="H9" s="8" t="s">
        <v>27</v>
      </c>
      <c r="J9" s="64"/>
      <c r="K9" s="8"/>
      <c r="L9" s="8"/>
      <c r="M9" s="8"/>
      <c r="N9" s="8"/>
      <c r="O9" s="8"/>
      <c r="P9" s="8"/>
    </row>
    <row r="10" spans="1:19" x14ac:dyDescent="0.3">
      <c r="A10" s="2" t="s">
        <v>110</v>
      </c>
      <c r="B10" s="74">
        <v>11449.548225968985</v>
      </c>
      <c r="C10" s="67">
        <v>13100.302750210658</v>
      </c>
      <c r="D10" s="74">
        <v>4698.6532702360046</v>
      </c>
      <c r="E10" s="74">
        <v>9650.979711819009</v>
      </c>
      <c r="F10" s="74">
        <v>2647.0315597593153</v>
      </c>
      <c r="G10" s="67">
        <v>5599.4808852571678</v>
      </c>
      <c r="H10" s="65">
        <f>SUM(B10:G10)</f>
        <v>47145.996403251142</v>
      </c>
      <c r="K10" s="4" t="s">
        <v>8</v>
      </c>
    </row>
    <row r="11" spans="1:19" x14ac:dyDescent="0.3">
      <c r="A11" s="2" t="s">
        <v>54</v>
      </c>
      <c r="B11" s="67">
        <v>0.24223458887456401</v>
      </c>
      <c r="C11" s="67">
        <v>0.27672899248743399</v>
      </c>
      <c r="D11" s="67">
        <v>9.9611169699796401E-2</v>
      </c>
      <c r="E11" s="67">
        <v>0.20415411517152199</v>
      </c>
      <c r="F11" s="67">
        <v>5.6643876153308403E-2</v>
      </c>
      <c r="G11" s="67">
        <v>0.12062725761337401</v>
      </c>
      <c r="J11" s="8" t="s">
        <v>7</v>
      </c>
      <c r="K11" s="8" t="s">
        <v>1</v>
      </c>
      <c r="L11" s="8" t="s">
        <v>2</v>
      </c>
      <c r="M11" s="8" t="s">
        <v>3</v>
      </c>
      <c r="N11" s="8" t="s">
        <v>4</v>
      </c>
      <c r="O11" s="8" t="s">
        <v>5</v>
      </c>
      <c r="P11" s="8" t="s">
        <v>6</v>
      </c>
      <c r="Q11" s="8" t="s">
        <v>12</v>
      </c>
      <c r="R11" s="11"/>
    </row>
    <row r="12" spans="1:19" x14ac:dyDescent="0.3">
      <c r="A12" s="2" t="s">
        <v>97</v>
      </c>
      <c r="B12" s="112">
        <v>11473.901547762585</v>
      </c>
      <c r="C12" s="112">
        <v>13107.794514253037</v>
      </c>
      <c r="D12" s="112">
        <v>4718.2723140532862</v>
      </c>
      <c r="E12" s="112">
        <v>9670.147557917966</v>
      </c>
      <c r="F12" s="113">
        <v>2683.0448173661439</v>
      </c>
      <c r="G12" s="112">
        <v>5713.7392486469253</v>
      </c>
      <c r="H12" s="2">
        <f>SUM(C12:G12)</f>
        <v>35892.998452237356</v>
      </c>
      <c r="I12" s="12"/>
      <c r="J12" s="93" t="s">
        <v>86</v>
      </c>
      <c r="K12" s="114">
        <f t="shared" ref="K12:P12" si="0">K6*$C$2</f>
        <v>13914.763929245642</v>
      </c>
      <c r="L12" s="3">
        <f t="shared" si="0"/>
        <v>12180.281832379702</v>
      </c>
      <c r="M12" s="3">
        <f t="shared" si="0"/>
        <v>5008.7484460148626</v>
      </c>
      <c r="N12" s="3">
        <f t="shared" si="0"/>
        <v>10265.481373169639</v>
      </c>
      <c r="O12" s="3">
        <f t="shared" si="0"/>
        <v>2848.2240246168067</v>
      </c>
      <c r="P12" s="3">
        <f t="shared" si="0"/>
        <v>6065.5003945732851</v>
      </c>
      <c r="Q12" s="3">
        <f t="shared" ref="Q12" si="1">SUM(K12:P12)</f>
        <v>50282.999999999935</v>
      </c>
      <c r="R12" s="12"/>
      <c r="S12" s="8"/>
    </row>
    <row r="13" spans="1:19" x14ac:dyDescent="0.3">
      <c r="A13" s="2" t="s">
        <v>114</v>
      </c>
      <c r="B13" s="74">
        <v>11449.548225968985</v>
      </c>
      <c r="C13" s="67">
        <v>13100.302750210658</v>
      </c>
      <c r="D13" s="74">
        <v>4698.6532702360046</v>
      </c>
      <c r="E13" s="74">
        <v>9650.979711819009</v>
      </c>
      <c r="F13" s="74">
        <v>2926</v>
      </c>
      <c r="G13" s="67">
        <v>5321</v>
      </c>
      <c r="I13" s="12"/>
      <c r="J13" s="93"/>
      <c r="K13" s="114"/>
      <c r="L13" s="3"/>
      <c r="M13" s="3"/>
      <c r="N13" s="3"/>
      <c r="O13" s="3"/>
      <c r="P13" s="3"/>
      <c r="Q13" s="3"/>
      <c r="R13" s="12"/>
      <c r="S13" s="12"/>
    </row>
    <row r="14" spans="1:19" x14ac:dyDescent="0.3">
      <c r="A14" s="2" t="s">
        <v>85</v>
      </c>
      <c r="B14" s="2">
        <f>B11</f>
        <v>0.24223458887456401</v>
      </c>
      <c r="C14" s="2">
        <f>C11</f>
        <v>0.27672899248743399</v>
      </c>
      <c r="D14" s="2">
        <f t="shared" ref="D14:G14" si="2">D11</f>
        <v>9.9611169699796401E-2</v>
      </c>
      <c r="E14" s="2">
        <f t="shared" si="2"/>
        <v>0.20415411517152199</v>
      </c>
      <c r="F14" s="2">
        <f t="shared" si="2"/>
        <v>5.6643876153308403E-2</v>
      </c>
      <c r="G14" s="2">
        <f t="shared" si="2"/>
        <v>0.12062725761337401</v>
      </c>
      <c r="K14" s="3"/>
      <c r="L14" s="3"/>
      <c r="M14" s="3"/>
      <c r="N14" s="3"/>
      <c r="O14" s="3"/>
      <c r="P14" s="3"/>
      <c r="Q14" s="3"/>
      <c r="R14" s="11"/>
    </row>
    <row r="15" spans="1:19" x14ac:dyDescent="0.3">
      <c r="A15" s="2" t="s">
        <v>73</v>
      </c>
      <c r="B15" s="93">
        <f>B11</f>
        <v>0.24223458887456401</v>
      </c>
      <c r="C15" s="93">
        <f>C11</f>
        <v>0.27672899248743399</v>
      </c>
      <c r="D15" s="93">
        <f t="shared" ref="D15:G15" si="3">D11</f>
        <v>9.9611169699796401E-2</v>
      </c>
      <c r="E15" s="93">
        <f t="shared" si="3"/>
        <v>0.20415411517152199</v>
      </c>
      <c r="F15" s="93">
        <f t="shared" si="3"/>
        <v>5.6643876153308403E-2</v>
      </c>
      <c r="G15" s="93">
        <f t="shared" si="3"/>
        <v>0.12062725761337401</v>
      </c>
      <c r="Q15" s="2"/>
      <c r="R15" s="11"/>
    </row>
    <row r="16" spans="1:19" x14ac:dyDescent="0.3">
      <c r="K16" s="7" t="s">
        <v>29</v>
      </c>
      <c r="Q16" s="2"/>
      <c r="R16" s="11"/>
    </row>
    <row r="17" spans="1:26" x14ac:dyDescent="0.3">
      <c r="B17" s="67" t="s">
        <v>99</v>
      </c>
      <c r="C17" s="67" t="s">
        <v>83</v>
      </c>
      <c r="D17" s="2" t="s">
        <v>84</v>
      </c>
      <c r="Q17" s="2"/>
      <c r="R17" s="11"/>
    </row>
    <row r="18" spans="1:26" x14ac:dyDescent="0.3">
      <c r="A18" s="2" t="s">
        <v>44</v>
      </c>
      <c r="B18" s="67">
        <v>55084</v>
      </c>
      <c r="C18" s="67">
        <v>55317</v>
      </c>
      <c r="Q18" s="2"/>
      <c r="R18" s="11"/>
      <c r="Z18" s="2"/>
    </row>
    <row r="19" spans="1:26" x14ac:dyDescent="0.3">
      <c r="B19" s="77"/>
      <c r="C19" s="76"/>
      <c r="Q19" s="2"/>
      <c r="R19" s="11"/>
      <c r="Z19" s="2"/>
    </row>
    <row r="20" spans="1:26" x14ac:dyDescent="0.3">
      <c r="A20" s="93"/>
      <c r="B20" s="95"/>
      <c r="C20" s="94"/>
      <c r="D20" s="93"/>
      <c r="E20" s="93"/>
      <c r="F20" s="93"/>
      <c r="G20" s="93"/>
      <c r="I20" s="2"/>
      <c r="J20" s="4"/>
      <c r="Q20" s="2"/>
      <c r="R20" s="11"/>
      <c r="Z20" s="2"/>
    </row>
    <row r="21" spans="1:26" x14ac:dyDescent="0.3">
      <c r="A21" s="2" t="s">
        <v>90</v>
      </c>
      <c r="B21" s="67">
        <v>3939.5</v>
      </c>
      <c r="C21" s="67">
        <v>1265.7</v>
      </c>
      <c r="D21" s="67">
        <v>2100.9</v>
      </c>
      <c r="E21" s="67">
        <v>5655.1</v>
      </c>
      <c r="F21" s="67">
        <v>2172.1</v>
      </c>
      <c r="G21" s="67">
        <v>3478.3</v>
      </c>
      <c r="H21" s="2">
        <f>SUM(B21:G21)</f>
        <v>18611.600000000002</v>
      </c>
      <c r="I21" s="2"/>
      <c r="J21" s="9"/>
      <c r="K21" s="5"/>
      <c r="L21" s="5"/>
      <c r="M21" s="5"/>
      <c r="N21" s="5"/>
      <c r="O21" s="5"/>
      <c r="P21" s="5"/>
      <c r="Q21" s="2"/>
      <c r="R21" s="11"/>
      <c r="Z21" s="2"/>
    </row>
    <row r="22" spans="1:26" x14ac:dyDescent="0.3">
      <c r="A22" s="4" t="s">
        <v>91</v>
      </c>
      <c r="B22" s="73">
        <v>7996</v>
      </c>
      <c r="C22" s="73">
        <v>8440</v>
      </c>
      <c r="D22" s="73">
        <v>4699</v>
      </c>
      <c r="E22" s="73">
        <f>E10</f>
        <v>9650.979711819009</v>
      </c>
      <c r="F22" s="73">
        <v>2926</v>
      </c>
      <c r="G22" s="73">
        <v>5320</v>
      </c>
      <c r="I22" s="2"/>
      <c r="J22" s="11"/>
      <c r="K22" s="5"/>
      <c r="L22" s="5"/>
      <c r="M22" s="5"/>
      <c r="N22" s="5"/>
      <c r="O22" s="5"/>
      <c r="P22" s="5"/>
      <c r="Q22" s="2"/>
      <c r="Z22" s="2"/>
    </row>
    <row r="23" spans="1:26" x14ac:dyDescent="0.3">
      <c r="B23" s="66"/>
      <c r="C23" s="66"/>
      <c r="J23" s="11"/>
      <c r="K23" s="5"/>
      <c r="L23" s="5"/>
      <c r="M23" s="5"/>
      <c r="N23" s="5"/>
      <c r="O23" s="5"/>
      <c r="P23" s="5"/>
      <c r="Q23" s="2"/>
      <c r="Z23" s="2"/>
    </row>
    <row r="24" spans="1:26" x14ac:dyDescent="0.3">
      <c r="A24" s="2" t="s">
        <v>79</v>
      </c>
      <c r="B24" s="66">
        <f>C32</f>
        <v>14</v>
      </c>
      <c r="C24" s="66">
        <f>C31</f>
        <v>5.4</v>
      </c>
      <c r="D24" s="2">
        <f>C35</f>
        <v>11.6</v>
      </c>
      <c r="E24" s="2">
        <f>C33</f>
        <v>7.7</v>
      </c>
      <c r="F24" s="2">
        <f>C36</f>
        <v>20.100000000000001</v>
      </c>
      <c r="G24" s="2">
        <f>C34</f>
        <v>101.4</v>
      </c>
      <c r="J24" s="11"/>
      <c r="K24" s="5"/>
      <c r="L24" s="5"/>
      <c r="M24" s="5"/>
      <c r="N24" s="5"/>
      <c r="O24" s="5"/>
      <c r="P24" s="5"/>
      <c r="Q24" s="2"/>
      <c r="Z24" s="2"/>
    </row>
    <row r="25" spans="1:26" x14ac:dyDescent="0.3">
      <c r="B25" s="66"/>
      <c r="C25" s="66"/>
      <c r="J25" s="11"/>
      <c r="K25" s="5"/>
      <c r="L25" s="5"/>
      <c r="M25" s="5"/>
      <c r="N25" s="5"/>
      <c r="O25" s="5"/>
      <c r="P25" s="5"/>
      <c r="Z25" s="2"/>
    </row>
    <row r="26" spans="1:26" x14ac:dyDescent="0.3">
      <c r="A26" s="2" t="s">
        <v>100</v>
      </c>
      <c r="B26" s="67">
        <v>0.28766184121716498</v>
      </c>
      <c r="C26" s="67">
        <v>0.24969957532944101</v>
      </c>
      <c r="D26" s="67">
        <v>8.5740688642838597E-2</v>
      </c>
      <c r="E26" s="67">
        <v>0.21019385888967701</v>
      </c>
      <c r="F26" s="67">
        <v>5.4664342803874499E-2</v>
      </c>
      <c r="G26" s="67">
        <v>0.112039693117004</v>
      </c>
      <c r="K26" s="5"/>
      <c r="L26" s="5"/>
      <c r="M26" s="5"/>
      <c r="N26" s="5"/>
      <c r="O26" s="5"/>
      <c r="P26" s="5"/>
      <c r="Z26" s="2"/>
    </row>
    <row r="27" spans="1:26" x14ac:dyDescent="0.3">
      <c r="D27" s="10"/>
      <c r="J27" s="11"/>
      <c r="K27" s="5"/>
      <c r="L27" s="5"/>
      <c r="M27" s="5"/>
      <c r="N27" s="5"/>
      <c r="O27" s="5"/>
      <c r="P27" s="5"/>
      <c r="Z27" s="2"/>
    </row>
    <row r="28" spans="1:26" x14ac:dyDescent="0.3">
      <c r="D28" s="98" t="s">
        <v>81</v>
      </c>
      <c r="E28" s="67" t="s">
        <v>89</v>
      </c>
      <c r="F28" s="67"/>
      <c r="I28" s="2"/>
      <c r="J28" s="11"/>
      <c r="K28" s="5"/>
      <c r="L28" s="5"/>
      <c r="N28" s="111"/>
      <c r="O28" s="111"/>
      <c r="P28" s="111"/>
      <c r="Q28" s="111"/>
      <c r="R28" s="13"/>
      <c r="S28" s="111"/>
      <c r="Z28" s="2"/>
    </row>
    <row r="29" spans="1:26" x14ac:dyDescent="0.3">
      <c r="C29" s="97" t="s">
        <v>80</v>
      </c>
      <c r="D29" s="98">
        <v>2024</v>
      </c>
      <c r="E29" s="67">
        <v>2025</v>
      </c>
      <c r="F29" s="2">
        <v>2026</v>
      </c>
      <c r="I29" s="2"/>
      <c r="Q29" s="2"/>
      <c r="Z29" s="2"/>
    </row>
    <row r="30" spans="1:26" x14ac:dyDescent="0.3">
      <c r="B30" t="s">
        <v>12</v>
      </c>
      <c r="C30" s="67" t="s">
        <v>101</v>
      </c>
      <c r="D30" s="67">
        <v>705.10400000000004</v>
      </c>
      <c r="E30" s="67">
        <v>704.71299999999997</v>
      </c>
      <c r="F30" s="67">
        <v>695.68100000000004</v>
      </c>
      <c r="G30" s="4"/>
      <c r="I30" s="2"/>
      <c r="Q30" s="2"/>
      <c r="Z30" s="2"/>
    </row>
    <row r="31" spans="1:26" x14ac:dyDescent="0.3">
      <c r="B31" t="s">
        <v>2</v>
      </c>
      <c r="C31" s="67">
        <v>5.4</v>
      </c>
      <c r="D31" s="2">
        <f>D$30*$C$26</f>
        <v>176.06416936309017</v>
      </c>
      <c r="E31" s="2">
        <f>E$30*$C$26</f>
        <v>175.96653682913634</v>
      </c>
      <c r="F31" s="2">
        <f>F$30*$C$26</f>
        <v>173.71125026476085</v>
      </c>
      <c r="G31" s="9"/>
      <c r="H31" s="5"/>
      <c r="I31" s="5"/>
      <c r="J31" s="5"/>
      <c r="K31" s="5"/>
      <c r="L31" s="5"/>
      <c r="M31" s="5"/>
      <c r="Q31" s="2"/>
      <c r="Z31" s="2"/>
    </row>
    <row r="32" spans="1:26" x14ac:dyDescent="0.3">
      <c r="B32" t="s">
        <v>1</v>
      </c>
      <c r="C32" s="67">
        <v>14</v>
      </c>
      <c r="D32" s="2">
        <f>D30*$B$26</f>
        <v>202.83151488958791</v>
      </c>
      <c r="E32" s="2">
        <f>E30*$B$26</f>
        <v>202.71903910967197</v>
      </c>
      <c r="F32" s="2">
        <f>F30*$B$26</f>
        <v>200.12087735979856</v>
      </c>
      <c r="G32" s="11"/>
      <c r="H32" s="5"/>
      <c r="I32" s="5"/>
      <c r="J32" s="5"/>
      <c r="K32" s="5"/>
      <c r="L32" s="5"/>
      <c r="M32" s="5"/>
      <c r="N32" s="11"/>
      <c r="Q32" s="2"/>
      <c r="Z32" s="2"/>
    </row>
    <row r="33" spans="2:26" x14ac:dyDescent="0.3">
      <c r="B33" t="s">
        <v>4</v>
      </c>
      <c r="C33" s="67">
        <v>7.7</v>
      </c>
      <c r="D33" s="2">
        <f>D30*$E$26</f>
        <v>148.20853067854682</v>
      </c>
      <c r="E33" s="2">
        <f t="shared" ref="E33:F33" si="4">E30*$E$26</f>
        <v>148.12634487972096</v>
      </c>
      <c r="F33" s="2">
        <f t="shared" si="4"/>
        <v>146.22787394622941</v>
      </c>
      <c r="G33" s="11"/>
      <c r="H33" s="5"/>
      <c r="I33" s="5"/>
      <c r="J33" s="5"/>
      <c r="K33" s="5"/>
      <c r="L33" s="5"/>
      <c r="M33" s="5"/>
      <c r="N33" s="11"/>
      <c r="Q33" s="2"/>
      <c r="Z33" s="2"/>
    </row>
    <row r="34" spans="2:26" x14ac:dyDescent="0.3">
      <c r="B34" t="s">
        <v>26</v>
      </c>
      <c r="C34" s="67">
        <v>101.4</v>
      </c>
      <c r="D34" s="2">
        <f>D30*$G$26</f>
        <v>78.999635775571988</v>
      </c>
      <c r="E34" s="2">
        <f t="shared" ref="E34:F34" si="5">E30*$G$26</f>
        <v>78.955828255563233</v>
      </c>
      <c r="F34" s="2">
        <f t="shared" si="5"/>
        <v>77.943885747330469</v>
      </c>
      <c r="I34" s="2"/>
      <c r="N34" s="11"/>
      <c r="Q34" s="2"/>
      <c r="Z34" s="2"/>
    </row>
    <row r="35" spans="2:26" x14ac:dyDescent="0.3">
      <c r="B35" t="s">
        <v>3</v>
      </c>
      <c r="C35" s="67">
        <v>11.6</v>
      </c>
      <c r="D35" s="2">
        <f>D30*$D$26</f>
        <v>60.456102524820068</v>
      </c>
      <c r="E35" s="2">
        <f t="shared" ref="E35:F35" si="6">E30*$D$26</f>
        <v>60.422577915560716</v>
      </c>
      <c r="F35" s="2">
        <f t="shared" si="6"/>
        <v>59.648168015738598</v>
      </c>
      <c r="I35" s="2"/>
      <c r="N35" s="11"/>
      <c r="Q35" s="2"/>
      <c r="Z35" s="2"/>
    </row>
    <row r="36" spans="2:26" x14ac:dyDescent="0.3">
      <c r="B36" t="s">
        <v>5</v>
      </c>
      <c r="C36" s="67">
        <v>20.100000000000001</v>
      </c>
      <c r="D36" s="2">
        <f>D30*$F$26</f>
        <v>38.544046768383126</v>
      </c>
      <c r="E36" s="2">
        <f t="shared" ref="E36:F36" si="7">E30*$F$26</f>
        <v>38.522673010346807</v>
      </c>
      <c r="F36" s="2">
        <f t="shared" si="7"/>
        <v>38.028944666142216</v>
      </c>
      <c r="I36" s="2"/>
      <c r="N36" s="11"/>
      <c r="Q36" s="2"/>
      <c r="Z36" s="2"/>
    </row>
    <row r="37" spans="2:26" x14ac:dyDescent="0.3">
      <c r="Z37" s="2"/>
    </row>
    <row r="38" spans="2:26" x14ac:dyDescent="0.3">
      <c r="Z38" s="2"/>
    </row>
    <row r="39" spans="2:26" x14ac:dyDescent="0.3">
      <c r="Z39" s="2"/>
    </row>
    <row r="40" spans="2:26" x14ac:dyDescent="0.3">
      <c r="D40">
        <v>5.0410725060233202E-3</v>
      </c>
      <c r="Z40" s="2"/>
    </row>
    <row r="41" spans="2:26" x14ac:dyDescent="0.3">
      <c r="D41">
        <v>1.4830671455472901E-2</v>
      </c>
    </row>
    <row r="42" spans="2:26" x14ac:dyDescent="0.3">
      <c r="D42">
        <v>6.2126729517566802E-3</v>
      </c>
    </row>
    <row r="43" spans="2:26" x14ac:dyDescent="0.3">
      <c r="D43">
        <v>9.5921618539174996E-2</v>
      </c>
    </row>
    <row r="44" spans="2:26" x14ac:dyDescent="0.3">
      <c r="D44">
        <v>9.4751453601636306E-3</v>
      </c>
    </row>
    <row r="52" spans="2:9" x14ac:dyDescent="0.3">
      <c r="H52" s="2" t="s">
        <v>93</v>
      </c>
      <c r="I52" s="11" t="s">
        <v>92</v>
      </c>
    </row>
    <row r="53" spans="2:9" x14ac:dyDescent="0.3">
      <c r="B53" t="s">
        <v>2</v>
      </c>
      <c r="D53">
        <v>3.8442061759406299</v>
      </c>
      <c r="E53">
        <v>5.08222537303301</v>
      </c>
      <c r="G53" s="2" t="s">
        <v>2</v>
      </c>
      <c r="H53" s="2">
        <f>E53</f>
        <v>5.08222537303301</v>
      </c>
      <c r="I53">
        <v>0.24969957532944101</v>
      </c>
    </row>
    <row r="54" spans="2:9" x14ac:dyDescent="0.3">
      <c r="B54" t="s">
        <v>2</v>
      </c>
      <c r="D54">
        <v>6.3613974371350901</v>
      </c>
      <c r="E54">
        <v>5.08222537303301</v>
      </c>
      <c r="G54" s="2" t="s">
        <v>1</v>
      </c>
      <c r="H54" s="2">
        <f>E57</f>
        <v>17.935099782693101</v>
      </c>
      <c r="I54">
        <v>0.28766184121716498</v>
      </c>
    </row>
    <row r="55" spans="2:9" x14ac:dyDescent="0.3">
      <c r="B55" t="s">
        <v>2</v>
      </c>
      <c r="D55">
        <v>5.0410725060233199</v>
      </c>
      <c r="E55">
        <v>5.08222537303301</v>
      </c>
      <c r="G55" s="2" t="s">
        <v>4</v>
      </c>
      <c r="H55" s="2">
        <f>E60</f>
        <v>19.766168008707801</v>
      </c>
      <c r="I55">
        <v>0.21019385888967701</v>
      </c>
    </row>
    <row r="56" spans="2:9" x14ac:dyDescent="0.3">
      <c r="B56" t="s">
        <v>1</v>
      </c>
      <c r="D56">
        <v>27.499820500350801</v>
      </c>
      <c r="E56">
        <v>17.935099782693101</v>
      </c>
      <c r="G56" s="2" t="s">
        <v>26</v>
      </c>
      <c r="H56" s="2">
        <f>E63</f>
        <v>120.968409346187</v>
      </c>
      <c r="I56">
        <v>0.112039693117004</v>
      </c>
    </row>
    <row r="57" spans="2:9" x14ac:dyDescent="0.3">
      <c r="B57" t="s">
        <v>1</v>
      </c>
      <c r="D57">
        <v>11.474807392255601</v>
      </c>
      <c r="E57">
        <v>17.935099782693101</v>
      </c>
      <c r="G57" s="2" t="s">
        <v>3</v>
      </c>
      <c r="H57" s="2">
        <f>E67</f>
        <v>18.848663176742299</v>
      </c>
      <c r="I57">
        <v>8.5740688642838597E-2</v>
      </c>
    </row>
    <row r="58" spans="2:9" x14ac:dyDescent="0.3">
      <c r="B58" t="s">
        <v>1</v>
      </c>
      <c r="D58">
        <v>14.830671455472899</v>
      </c>
      <c r="E58">
        <v>17.935099782693101</v>
      </c>
      <c r="G58" s="2" t="s">
        <v>5</v>
      </c>
      <c r="H58" s="2">
        <f>E68</f>
        <v>39.864923015814199</v>
      </c>
      <c r="I58">
        <v>5.4664342803874499E-2</v>
      </c>
    </row>
    <row r="59" spans="2:9" x14ac:dyDescent="0.3">
      <c r="B59" t="s">
        <v>4</v>
      </c>
      <c r="D59">
        <v>40.904101531459297</v>
      </c>
      <c r="E59">
        <v>19.766168008707801</v>
      </c>
    </row>
    <row r="60" spans="2:9" x14ac:dyDescent="0.3">
      <c r="B60" t="s">
        <v>4</v>
      </c>
      <c r="D60">
        <v>12.1817295429074</v>
      </c>
      <c r="E60">
        <v>19.766168008707801</v>
      </c>
      <c r="H60" s="2" t="s">
        <v>94</v>
      </c>
    </row>
    <row r="61" spans="2:9" x14ac:dyDescent="0.3">
      <c r="B61" t="s">
        <v>4</v>
      </c>
      <c r="D61">
        <v>6.2126729517566801</v>
      </c>
      <c r="E61">
        <v>19.766168008707801</v>
      </c>
      <c r="G61" t="s">
        <v>2</v>
      </c>
      <c r="H61">
        <v>1924.3374129755</v>
      </c>
    </row>
    <row r="62" spans="2:9" x14ac:dyDescent="0.3">
      <c r="B62" t="s">
        <v>26</v>
      </c>
      <c r="D62">
        <v>117.468420215618</v>
      </c>
      <c r="E62">
        <v>120.968409346187</v>
      </c>
      <c r="G62" t="s">
        <v>1</v>
      </c>
      <c r="H62">
        <v>4850.9491279243002</v>
      </c>
    </row>
    <row r="63" spans="2:9" x14ac:dyDescent="0.3">
      <c r="B63" t="s">
        <v>26</v>
      </c>
      <c r="D63">
        <v>165.41195729736299</v>
      </c>
      <c r="E63">
        <v>120.968409346187</v>
      </c>
      <c r="G63" t="s">
        <v>4</v>
      </c>
      <c r="H63">
        <v>5546.9656450059001</v>
      </c>
    </row>
    <row r="64" spans="2:9" x14ac:dyDescent="0.3">
      <c r="B64" t="s">
        <v>26</v>
      </c>
      <c r="D64">
        <v>80.024850525580604</v>
      </c>
      <c r="E64">
        <v>120.968409346187</v>
      </c>
      <c r="G64" t="s">
        <v>26</v>
      </c>
      <c r="H64">
        <v>3609.6100624124001</v>
      </c>
    </row>
    <row r="65" spans="2:8" x14ac:dyDescent="0.3">
      <c r="B65" t="s">
        <v>3</v>
      </c>
      <c r="D65">
        <v>29.246695424085601</v>
      </c>
      <c r="E65">
        <v>18.848663176742299</v>
      </c>
      <c r="G65" t="s">
        <v>3</v>
      </c>
      <c r="H65">
        <v>2357.1163233532002</v>
      </c>
    </row>
    <row r="66" spans="2:8" x14ac:dyDescent="0.3">
      <c r="B66" t="s">
        <v>3</v>
      </c>
      <c r="D66">
        <v>17.824148745977801</v>
      </c>
      <c r="E66">
        <v>18.848663176742299</v>
      </c>
      <c r="G66" t="s">
        <v>5</v>
      </c>
      <c r="H66">
        <v>2067.7852834312998</v>
      </c>
    </row>
    <row r="67" spans="2:8" x14ac:dyDescent="0.3">
      <c r="B67" t="s">
        <v>3</v>
      </c>
      <c r="D67">
        <v>9.47514536016363</v>
      </c>
      <c r="E67">
        <v>18.848663176742299</v>
      </c>
    </row>
    <row r="68" spans="2:8" x14ac:dyDescent="0.3">
      <c r="B68" t="s">
        <v>5</v>
      </c>
      <c r="D68">
        <v>70.959215453810302</v>
      </c>
      <c r="E68">
        <v>39.864923015814199</v>
      </c>
    </row>
    <row r="69" spans="2:8" x14ac:dyDescent="0.3">
      <c r="B69" t="s">
        <v>5</v>
      </c>
      <c r="D69">
        <v>32.738785580037899</v>
      </c>
      <c r="E69">
        <v>39.864923015814199</v>
      </c>
    </row>
    <row r="70" spans="2:8" x14ac:dyDescent="0.3">
      <c r="B70" t="s">
        <v>5</v>
      </c>
      <c r="D70">
        <v>15.8967680135944</v>
      </c>
      <c r="E70">
        <v>39.864923015814199</v>
      </c>
    </row>
  </sheetData>
  <mergeCells count="1">
    <mergeCell ref="J4:P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4"/>
  <sheetViews>
    <sheetView topLeftCell="A28" workbookViewId="0">
      <selection activeCell="P34" sqref="P34"/>
    </sheetView>
  </sheetViews>
  <sheetFormatPr defaultColWidth="8.6640625" defaultRowHeight="14.4" x14ac:dyDescent="0.3"/>
  <cols>
    <col min="1" max="1" width="8.6640625" style="2"/>
    <col min="2" max="2" width="9.5546875" style="2" bestFit="1" customWidth="1"/>
    <col min="3" max="3" width="28.6640625" style="2" customWidth="1"/>
    <col min="4" max="4" width="10.88671875" style="2" customWidth="1"/>
    <col min="5" max="5" width="11.44140625" style="2" bestFit="1" customWidth="1"/>
    <col min="6" max="7" width="10.5546875" style="2" bestFit="1" customWidth="1"/>
    <col min="8" max="9" width="10.44140625" style="2" bestFit="1" customWidth="1"/>
    <col min="10" max="10" width="11.44140625" style="2" bestFit="1" customWidth="1"/>
    <col min="11" max="11" width="10.33203125" style="2" bestFit="1" customWidth="1"/>
    <col min="12" max="16384" width="8.6640625" style="2"/>
  </cols>
  <sheetData>
    <row r="1" spans="1:18" x14ac:dyDescent="0.3">
      <c r="B1" s="2" t="s">
        <v>53</v>
      </c>
    </row>
    <row r="2" spans="1:18" ht="17.399999999999999" thickBot="1" x14ac:dyDescent="0.35">
      <c r="C2" s="14" t="s">
        <v>102</v>
      </c>
    </row>
    <row r="3" spans="1:18" ht="15" thickTop="1" x14ac:dyDescent="0.3">
      <c r="C3" s="48" t="s">
        <v>9</v>
      </c>
      <c r="D3" s="49" t="s">
        <v>2</v>
      </c>
      <c r="E3" s="49" t="s">
        <v>1</v>
      </c>
      <c r="F3" s="49" t="s">
        <v>3</v>
      </c>
      <c r="G3" s="49" t="s">
        <v>4</v>
      </c>
      <c r="H3" s="49" t="s">
        <v>10</v>
      </c>
      <c r="I3" s="49" t="s">
        <v>11</v>
      </c>
      <c r="J3" s="49" t="s">
        <v>12</v>
      </c>
      <c r="L3" s="15"/>
    </row>
    <row r="4" spans="1:18" ht="15" thickBot="1" x14ac:dyDescent="0.35">
      <c r="C4" s="50" t="s">
        <v>71</v>
      </c>
      <c r="D4" s="104">
        <f>Apportionment!C12</f>
        <v>13107.794514253037</v>
      </c>
      <c r="E4" s="104">
        <f>Apportionment!B12</f>
        <v>11473.901547762585</v>
      </c>
      <c r="F4" s="104">
        <f>Apportionment!D12</f>
        <v>4718.2723140532862</v>
      </c>
      <c r="G4" s="104">
        <f>Apportionment!E12</f>
        <v>9670.147557917966</v>
      </c>
      <c r="H4" s="104">
        <f>Apportionment!F12</f>
        <v>2683.0448173661439</v>
      </c>
      <c r="I4" s="104">
        <f>Apportionment!G12</f>
        <v>5713.7392486469253</v>
      </c>
      <c r="J4" s="105">
        <f>SUM(D4:I4)</f>
        <v>47366.899999999943</v>
      </c>
      <c r="L4" s="16"/>
      <c r="M4" s="17"/>
    </row>
    <row r="5" spans="1:18" x14ac:dyDescent="0.3">
      <c r="C5" s="51" t="s">
        <v>87</v>
      </c>
      <c r="D5" s="104">
        <f>Apportionment!L12</f>
        <v>12180.281832379702</v>
      </c>
      <c r="E5" s="104">
        <f>Apportionment!K12</f>
        <v>13914.763929245642</v>
      </c>
      <c r="F5" s="104">
        <f>Apportionment!M12</f>
        <v>5008.7484460148626</v>
      </c>
      <c r="G5" s="104">
        <f>Apportionment!N12</f>
        <v>10265.481373169639</v>
      </c>
      <c r="H5" s="104">
        <f>Apportionment!O12</f>
        <v>2848.2240246168067</v>
      </c>
      <c r="I5" s="104">
        <f>Apportionment!P12</f>
        <v>6065.5003945732851</v>
      </c>
      <c r="J5" s="105">
        <f>SUM(D5:I5)</f>
        <v>50282.999999999935</v>
      </c>
      <c r="R5" s="54"/>
    </row>
    <row r="6" spans="1:18" x14ac:dyDescent="0.3">
      <c r="C6" s="50" t="s">
        <v>103</v>
      </c>
      <c r="D6" s="104">
        <f>Apportionment!C24</f>
        <v>5.4</v>
      </c>
      <c r="E6" s="104">
        <f>Apportionment!B24</f>
        <v>14</v>
      </c>
      <c r="F6" s="104">
        <f>Apportionment!D24</f>
        <v>11.6</v>
      </c>
      <c r="G6" s="104">
        <f>Apportionment!E24</f>
        <v>7.7</v>
      </c>
      <c r="H6" s="104">
        <f>Apportionment!F24</f>
        <v>20.100000000000001</v>
      </c>
      <c r="I6" s="104">
        <f>Apportionment!G24</f>
        <v>101.4</v>
      </c>
      <c r="J6" s="104">
        <f>SUM(D6:I6)</f>
        <v>160.20000000000002</v>
      </c>
      <c r="R6" s="55"/>
    </row>
    <row r="7" spans="1:18" x14ac:dyDescent="0.3">
      <c r="C7" s="50" t="s">
        <v>104</v>
      </c>
      <c r="D7" s="106">
        <f>D5/D4</f>
        <v>0.92923960771090941</v>
      </c>
      <c r="E7" s="106">
        <f t="shared" ref="E7:J7" si="0">E5/E4</f>
        <v>1.2127316825338306</v>
      </c>
      <c r="F7" s="106">
        <f>F5/F4</f>
        <v>1.0615640880023813</v>
      </c>
      <c r="G7" s="106">
        <f>G5/G4</f>
        <v>1.0615640880023811</v>
      </c>
      <c r="H7" s="106">
        <f>H5/H4</f>
        <v>1.0615640880023816</v>
      </c>
      <c r="I7" s="106">
        <f>I5/I4</f>
        <v>1.0615640880023813</v>
      </c>
      <c r="J7" s="106">
        <f t="shared" si="0"/>
        <v>1.0615640880023813</v>
      </c>
      <c r="R7" s="55"/>
    </row>
    <row r="8" spans="1:18" ht="15" thickBot="1" x14ac:dyDescent="0.35">
      <c r="C8" s="50" t="s">
        <v>13</v>
      </c>
      <c r="D8" s="103">
        <f>-D7*D6</f>
        <v>-5.0178938816389111</v>
      </c>
      <c r="E8" s="103">
        <f t="shared" ref="E8:I8" si="1">-E7*E6</f>
        <v>-16.978243555473629</v>
      </c>
      <c r="F8" s="103">
        <f t="shared" si="1"/>
        <v>-12.314143420827623</v>
      </c>
      <c r="G8" s="103">
        <f t="shared" si="1"/>
        <v>-8.1740434776183353</v>
      </c>
      <c r="H8" s="103">
        <f t="shared" si="1"/>
        <v>-21.337438168847871</v>
      </c>
      <c r="I8" s="103">
        <f t="shared" si="1"/>
        <v>-107.64259852344148</v>
      </c>
      <c r="J8" s="103">
        <f>SUM(D8:I8)</f>
        <v>-171.46436102784784</v>
      </c>
      <c r="R8" s="56"/>
    </row>
    <row r="9" spans="1:18" x14ac:dyDescent="0.3">
      <c r="C9" s="52" t="s">
        <v>72</v>
      </c>
      <c r="D9" s="105">
        <f>Apportionment!C10</f>
        <v>13100.302750210658</v>
      </c>
      <c r="E9" s="105">
        <f>Apportionment!B10</f>
        <v>11449.548225968985</v>
      </c>
      <c r="F9" s="105">
        <f>Apportionment!D10</f>
        <v>4698.6532702360046</v>
      </c>
      <c r="G9" s="105">
        <f>Apportionment!E10</f>
        <v>9650.979711819009</v>
      </c>
      <c r="H9" s="105">
        <f>Apportionment!F10</f>
        <v>2647.0315597593153</v>
      </c>
      <c r="I9" s="105">
        <f>Apportionment!G10</f>
        <v>5599.4808852571678</v>
      </c>
      <c r="J9" s="105">
        <f>SUM(D9:I9)</f>
        <v>47145.996403251142</v>
      </c>
      <c r="O9" s="17"/>
    </row>
    <row r="10" spans="1:18" x14ac:dyDescent="0.3">
      <c r="C10" s="52" t="s">
        <v>88</v>
      </c>
      <c r="D10" s="105">
        <f t="shared" ref="D10:I10" si="2">D5+D8</f>
        <v>12175.263938498063</v>
      </c>
      <c r="E10" s="105">
        <f t="shared" si="2"/>
        <v>13897.785685690169</v>
      </c>
      <c r="F10" s="105">
        <f t="shared" si="2"/>
        <v>4996.4343025940352</v>
      </c>
      <c r="G10" s="105">
        <f t="shared" si="2"/>
        <v>10257.307329692021</v>
      </c>
      <c r="H10" s="105">
        <f t="shared" si="2"/>
        <v>2826.886586447959</v>
      </c>
      <c r="I10" s="105">
        <f t="shared" si="2"/>
        <v>5957.8577960498433</v>
      </c>
      <c r="J10" s="105">
        <f>README!M37</f>
        <v>50111</v>
      </c>
      <c r="L10" s="2" t="s">
        <v>31</v>
      </c>
      <c r="M10" s="17">
        <f>SUM(F10:I10)</f>
        <v>24038.486014783859</v>
      </c>
      <c r="N10" s="17"/>
      <c r="O10" s="2" t="s">
        <v>33</v>
      </c>
      <c r="P10" s="17">
        <f>SUM(D10:E10)</f>
        <v>26073.049624188232</v>
      </c>
      <c r="R10" s="2">
        <f>12175+13898+4996+10257+2827+5958</f>
        <v>50111</v>
      </c>
    </row>
    <row r="11" spans="1:18" ht="15" thickBot="1" x14ac:dyDescent="0.35">
      <c r="C11" s="25" t="s">
        <v>105</v>
      </c>
      <c r="D11" s="47">
        <f>(D10-D9)/D9</f>
        <v>-7.0612017855672837E-2</v>
      </c>
      <c r="E11" s="47">
        <f t="shared" ref="E11:J11" si="3">(E10-E9)/E9</f>
        <v>0.21382830234019887</v>
      </c>
      <c r="F11" s="47">
        <f t="shared" si="3"/>
        <v>6.3375826057297829E-2</v>
      </c>
      <c r="G11" s="47">
        <f t="shared" si="3"/>
        <v>6.2825499169838359E-2</v>
      </c>
      <c r="H11" s="47">
        <f t="shared" si="3"/>
        <v>6.7945932123679401E-2</v>
      </c>
      <c r="I11" s="107">
        <f>(I10-I9)/I9</f>
        <v>6.4001809834951573E-2</v>
      </c>
      <c r="J11" s="47">
        <f t="shared" si="3"/>
        <v>6.2889827831582215E-2</v>
      </c>
    </row>
    <row r="12" spans="1:18" ht="16.2" x14ac:dyDescent="0.3">
      <c r="C12" s="18" t="s">
        <v>14</v>
      </c>
    </row>
    <row r="13" spans="1:18" s="19" customFormat="1" ht="17.399999999999999" thickBot="1" x14ac:dyDescent="0.35">
      <c r="C13" s="14"/>
    </row>
    <row r="14" spans="1:18" s="19" customFormat="1" ht="15" thickTop="1" x14ac:dyDescent="0.3">
      <c r="C14" s="48" t="s">
        <v>9</v>
      </c>
      <c r="D14" s="35" t="s">
        <v>2</v>
      </c>
      <c r="E14" s="35" t="s">
        <v>1</v>
      </c>
      <c r="F14" s="35" t="s">
        <v>3</v>
      </c>
      <c r="G14" s="35" t="s">
        <v>4</v>
      </c>
      <c r="H14" s="35" t="s">
        <v>10</v>
      </c>
      <c r="I14" s="35" t="s">
        <v>11</v>
      </c>
      <c r="J14" s="35" t="s">
        <v>12</v>
      </c>
      <c r="K14" s="35"/>
      <c r="L14" s="35"/>
      <c r="M14" s="35"/>
      <c r="N14" s="35"/>
      <c r="O14" s="35"/>
      <c r="P14" s="35"/>
      <c r="Q14" s="57"/>
    </row>
    <row r="15" spans="1:18" s="19" customFormat="1" x14ac:dyDescent="0.3">
      <c r="A15" s="20"/>
      <c r="B15" s="21"/>
      <c r="C15" s="50" t="str">
        <f t="shared" ref="C15:J15" si="4">C4</f>
        <v>2024 ABC</v>
      </c>
      <c r="D15" s="102">
        <f t="shared" si="4"/>
        <v>13107.794514253037</v>
      </c>
      <c r="E15" s="102">
        <f t="shared" si="4"/>
        <v>11473.901547762585</v>
      </c>
      <c r="F15" s="102">
        <f t="shared" si="4"/>
        <v>4718.2723140532862</v>
      </c>
      <c r="G15" s="102">
        <f t="shared" si="4"/>
        <v>9670.147557917966</v>
      </c>
      <c r="H15" s="102">
        <f t="shared" si="4"/>
        <v>2683.0448173661439</v>
      </c>
      <c r="I15" s="102">
        <f t="shared" si="4"/>
        <v>5713.7392486469253</v>
      </c>
      <c r="J15" s="102">
        <f t="shared" si="4"/>
        <v>47366.899999999943</v>
      </c>
      <c r="K15" s="58" t="s">
        <v>15</v>
      </c>
      <c r="L15" s="58"/>
      <c r="M15" s="58"/>
      <c r="N15" s="58"/>
      <c r="O15" s="58"/>
      <c r="P15" s="58"/>
      <c r="Q15" s="57"/>
    </row>
    <row r="16" spans="1:18" s="19" customFormat="1" x14ac:dyDescent="0.3">
      <c r="A16" s="20"/>
      <c r="B16" s="21"/>
      <c r="C16" s="51" t="s">
        <v>106</v>
      </c>
      <c r="D16" s="100">
        <f>(D5/$J$5)*$J$16</f>
        <v>12027.189572210993</v>
      </c>
      <c r="E16" s="100">
        <f t="shared" ref="E16:I16" si="5">(E5/$J$5)*$J$16</f>
        <v>13739.871205993602</v>
      </c>
      <c r="F16" s="100">
        <f t="shared" si="5"/>
        <v>4945.7941867645977</v>
      </c>
      <c r="G16" s="100">
        <f t="shared" si="5"/>
        <v>10136.455972381251</v>
      </c>
      <c r="H16" s="100">
        <f t="shared" si="5"/>
        <v>2812.4250948879194</v>
      </c>
      <c r="I16" s="100">
        <f t="shared" si="5"/>
        <v>5989.2639677616407</v>
      </c>
      <c r="J16" s="100">
        <f>Apportionment!C6</f>
        <v>49651</v>
      </c>
      <c r="K16" s="58">
        <f>SUM(D16:I16)</f>
        <v>49651</v>
      </c>
      <c r="L16" s="22"/>
      <c r="M16" s="59" t="s">
        <v>111</v>
      </c>
      <c r="N16" s="58"/>
      <c r="O16" s="58"/>
      <c r="P16" s="58"/>
      <c r="Q16" s="57"/>
    </row>
    <row r="17" spans="3:22" s="19" customFormat="1" x14ac:dyDescent="0.3">
      <c r="C17" s="50" t="str">
        <f>C6</f>
        <v>2021 - 2023 avg. depredation</v>
      </c>
      <c r="D17" s="108">
        <f>D6</f>
        <v>5.4</v>
      </c>
      <c r="E17" s="108">
        <f t="shared" ref="E17:J17" si="6">E6</f>
        <v>14</v>
      </c>
      <c r="F17" s="108">
        <f t="shared" si="6"/>
        <v>11.6</v>
      </c>
      <c r="G17" s="108">
        <f t="shared" si="6"/>
        <v>7.7</v>
      </c>
      <c r="H17" s="108">
        <f t="shared" si="6"/>
        <v>20.100000000000001</v>
      </c>
      <c r="I17" s="108">
        <f t="shared" si="6"/>
        <v>101.4</v>
      </c>
      <c r="J17" s="108">
        <f t="shared" si="6"/>
        <v>160.20000000000002</v>
      </c>
      <c r="K17" s="23"/>
      <c r="L17" s="23"/>
      <c r="M17" s="23"/>
      <c r="N17" s="23"/>
      <c r="O17" s="23"/>
      <c r="P17" s="23"/>
      <c r="Q17" s="57"/>
    </row>
    <row r="18" spans="3:22" s="19" customFormat="1" x14ac:dyDescent="0.3">
      <c r="C18" s="50" t="s">
        <v>107</v>
      </c>
      <c r="D18" s="60">
        <f>D16/D15</f>
        <v>0.91756012494191719</v>
      </c>
      <c r="E18" s="60">
        <f t="shared" ref="E18:J18" si="7">E16/E15</f>
        <v>1.1974890274941292</v>
      </c>
      <c r="F18" s="60">
        <f t="shared" si="7"/>
        <v>1.0482214373328225</v>
      </c>
      <c r="G18" s="60">
        <f t="shared" si="7"/>
        <v>1.0482214373328222</v>
      </c>
      <c r="H18" s="60">
        <f t="shared" si="7"/>
        <v>1.0482214373328225</v>
      </c>
      <c r="I18" s="60">
        <f t="shared" si="7"/>
        <v>1.0482214373328225</v>
      </c>
      <c r="J18" s="60">
        <f t="shared" si="7"/>
        <v>1.0482214373328222</v>
      </c>
      <c r="K18" s="23"/>
      <c r="L18" s="23"/>
      <c r="M18" s="23"/>
      <c r="N18" s="23"/>
      <c r="O18" s="23"/>
      <c r="P18" s="23"/>
      <c r="Q18" s="57"/>
    </row>
    <row r="19" spans="3:22" s="19" customFormat="1" x14ac:dyDescent="0.3">
      <c r="C19" s="50" t="s">
        <v>13</v>
      </c>
      <c r="D19" s="103">
        <f>-D18*D17</f>
        <v>-4.9548246746863533</v>
      </c>
      <c r="E19" s="103">
        <f t="shared" ref="E19:I19" si="8">-E18*E17</f>
        <v>-16.76484638491781</v>
      </c>
      <c r="F19" s="103">
        <f t="shared" si="8"/>
        <v>-12.15936867306074</v>
      </c>
      <c r="G19" s="103">
        <f t="shared" si="8"/>
        <v>-8.0713050674627311</v>
      </c>
      <c r="H19" s="103">
        <f t="shared" si="8"/>
        <v>-21.069250890389732</v>
      </c>
      <c r="I19" s="103">
        <f t="shared" si="8"/>
        <v>-106.28965374554821</v>
      </c>
      <c r="J19" s="103">
        <f>SUM(D19:I19)</f>
        <v>-169.30924943606558</v>
      </c>
      <c r="K19" s="23"/>
      <c r="L19" s="23"/>
      <c r="M19" s="23"/>
      <c r="N19" s="23"/>
      <c r="O19" s="23"/>
      <c r="P19" s="23"/>
      <c r="Q19" s="57"/>
    </row>
    <row r="20" spans="3:22" s="19" customFormat="1" x14ac:dyDescent="0.3">
      <c r="C20" s="52" t="str">
        <f>C9</f>
        <v>**2024 ABCw</v>
      </c>
      <c r="D20" s="101">
        <f>D9</f>
        <v>13100.302750210658</v>
      </c>
      <c r="E20" s="101">
        <f t="shared" ref="E20:I20" si="9">E9</f>
        <v>11449.548225968985</v>
      </c>
      <c r="F20" s="101">
        <f t="shared" si="9"/>
        <v>4698.6532702360046</v>
      </c>
      <c r="G20" s="101">
        <f t="shared" si="9"/>
        <v>9650.979711819009</v>
      </c>
      <c r="H20" s="101">
        <f t="shared" si="9"/>
        <v>2647.0315597593153</v>
      </c>
      <c r="I20" s="101">
        <f t="shared" si="9"/>
        <v>5599.4808852571678</v>
      </c>
      <c r="J20" s="101">
        <f>J9</f>
        <v>47145.996403251142</v>
      </c>
      <c r="K20" s="23"/>
      <c r="L20" s="23"/>
      <c r="M20" s="23"/>
      <c r="N20" s="23"/>
      <c r="O20" s="23"/>
      <c r="P20" s="23"/>
      <c r="Q20" s="57"/>
    </row>
    <row r="21" spans="3:22" s="19" customFormat="1" x14ac:dyDescent="0.3">
      <c r="C21" s="52" t="s">
        <v>108</v>
      </c>
      <c r="D21" s="101">
        <f>D16+D19</f>
        <v>12022.234747536306</v>
      </c>
      <c r="E21" s="101">
        <f t="shared" ref="E21:H21" si="10">E16+E19</f>
        <v>13723.106359608684</v>
      </c>
      <c r="F21" s="101">
        <f t="shared" si="10"/>
        <v>4933.6348180915365</v>
      </c>
      <c r="G21" s="101">
        <f t="shared" si="10"/>
        <v>10128.384667313789</v>
      </c>
      <c r="H21" s="101">
        <f t="shared" si="10"/>
        <v>2791.3558439975295</v>
      </c>
      <c r="I21" s="101">
        <f>I16+I19</f>
        <v>5882.9743140160926</v>
      </c>
      <c r="J21" s="101">
        <f>README!O37</f>
        <v>49482</v>
      </c>
      <c r="K21" s="61"/>
      <c r="L21" s="57"/>
      <c r="M21" s="62" t="s">
        <v>30</v>
      </c>
      <c r="N21" s="62">
        <f>SUM(F21:I21)</f>
        <v>23736.349643418951</v>
      </c>
      <c r="O21" s="61"/>
      <c r="P21" s="61" t="s">
        <v>32</v>
      </c>
      <c r="Q21" s="63">
        <f>SUM(D21:E21)</f>
        <v>25745.341107144988</v>
      </c>
      <c r="S21" s="53">
        <f>SUM(D21:I21)</f>
        <v>49481.690750563939</v>
      </c>
    </row>
    <row r="22" spans="3:22" s="19" customFormat="1" ht="15" thickBot="1" x14ac:dyDescent="0.35">
      <c r="C22" s="25" t="s">
        <v>105</v>
      </c>
      <c r="D22" s="47">
        <f>(D21-D20)/D20</f>
        <v>-8.2293365522183554E-2</v>
      </c>
      <c r="E22" s="47">
        <f t="shared" ref="E22:J22" si="11">(E21-E20)/E20</f>
        <v>0.1985718640394028</v>
      </c>
      <c r="F22" s="47">
        <f t="shared" si="11"/>
        <v>5.001040390531504E-2</v>
      </c>
      <c r="G22" s="47">
        <f t="shared" si="11"/>
        <v>4.9466993999596622E-2</v>
      </c>
      <c r="H22" s="47">
        <f t="shared" si="11"/>
        <v>5.4523068947216133E-2</v>
      </c>
      <c r="I22" s="47">
        <f t="shared" si="11"/>
        <v>5.0628519780348331E-2</v>
      </c>
      <c r="J22" s="47">
        <f t="shared" si="11"/>
        <v>4.9548292006991498E-2</v>
      </c>
      <c r="K22" s="47"/>
      <c r="L22" s="47"/>
      <c r="M22" s="47"/>
      <c r="N22" s="47"/>
      <c r="O22" s="47"/>
      <c r="P22" s="47"/>
      <c r="Q22" s="57"/>
    </row>
    <row r="23" spans="3:22" ht="16.2" x14ac:dyDescent="0.3">
      <c r="C23" s="18" t="s">
        <v>16</v>
      </c>
    </row>
    <row r="25" spans="3:22" ht="15" thickBot="1" x14ac:dyDescent="0.35">
      <c r="C25" s="18"/>
    </row>
    <row r="26" spans="3:22" ht="28.2" thickTop="1" x14ac:dyDescent="0.3">
      <c r="C26" s="121" t="s">
        <v>17</v>
      </c>
      <c r="D26" s="26" t="s">
        <v>18</v>
      </c>
      <c r="E26" s="26" t="s">
        <v>19</v>
      </c>
      <c r="F26" s="26" t="s">
        <v>41</v>
      </c>
      <c r="G26" s="27" t="s">
        <v>15</v>
      </c>
      <c r="H26" s="27" t="s">
        <v>15</v>
      </c>
      <c r="T26" s="2">
        <f>2174+2952</f>
        <v>5126</v>
      </c>
      <c r="U26" s="2">
        <f>1861+2039</f>
        <v>3900</v>
      </c>
    </row>
    <row r="27" spans="3:22" x14ac:dyDescent="0.3">
      <c r="C27" s="122"/>
      <c r="D27" s="28">
        <v>2025</v>
      </c>
      <c r="E27" s="109">
        <f>H10+0.05*I10</f>
        <v>3124.7794762504509</v>
      </c>
      <c r="F27" s="109">
        <f>0.95*I10</f>
        <v>5659.9649062473509</v>
      </c>
      <c r="G27" s="17">
        <f>SUM(E27:F27)</f>
        <v>8784.7443824978018</v>
      </c>
      <c r="H27" s="24">
        <f>SUM(H10:I10)</f>
        <v>8784.7443824978018</v>
      </c>
    </row>
    <row r="28" spans="3:22" ht="15" thickBot="1" x14ac:dyDescent="0.35">
      <c r="C28" s="123"/>
      <c r="D28" s="29">
        <v>2026</v>
      </c>
      <c r="E28" s="110">
        <f>H21+0.05*I21</f>
        <v>3085.5045596983341</v>
      </c>
      <c r="F28" s="110">
        <f>0.95*I21</f>
        <v>5588.8255983152876</v>
      </c>
      <c r="G28" s="17">
        <f>SUM(E28:F28)</f>
        <v>8674.3301580136213</v>
      </c>
      <c r="H28" s="24">
        <f>SUM(H21:I21)</f>
        <v>8674.3301580136213</v>
      </c>
    </row>
    <row r="29" spans="3:22" ht="15" thickTop="1" x14ac:dyDescent="0.3">
      <c r="C29" s="18"/>
    </row>
    <row r="30" spans="3:22" ht="17.399999999999999" thickBot="1" x14ac:dyDescent="0.35">
      <c r="C30" s="14" t="s">
        <v>109</v>
      </c>
    </row>
    <row r="31" spans="3:22" ht="15" thickBot="1" x14ac:dyDescent="0.35">
      <c r="C31" s="30" t="s">
        <v>18</v>
      </c>
      <c r="D31" s="31"/>
      <c r="E31" s="32">
        <v>2025</v>
      </c>
      <c r="F31" s="31"/>
      <c r="G31" s="33"/>
      <c r="H31" s="31"/>
      <c r="I31" s="32">
        <v>2026</v>
      </c>
      <c r="J31" s="31"/>
      <c r="K31" s="31"/>
    </row>
    <row r="32" spans="3:22" x14ac:dyDescent="0.3">
      <c r="C32" s="34" t="s">
        <v>20</v>
      </c>
      <c r="D32" s="35"/>
      <c r="E32" s="35"/>
      <c r="F32" s="35"/>
      <c r="G32" s="36" t="s">
        <v>12</v>
      </c>
      <c r="H32" s="35"/>
      <c r="I32" s="35"/>
      <c r="J32" s="35"/>
      <c r="K32" s="35" t="s">
        <v>12</v>
      </c>
      <c r="O32" s="37"/>
      <c r="P32" s="37"/>
      <c r="Q32" s="37"/>
      <c r="R32" s="37"/>
      <c r="S32" s="37"/>
      <c r="T32" s="37"/>
      <c r="U32" s="37"/>
      <c r="V32" s="37"/>
    </row>
    <row r="33" spans="3:22" x14ac:dyDescent="0.3">
      <c r="C33" s="38" t="s">
        <v>71</v>
      </c>
      <c r="D33" s="39"/>
      <c r="E33" s="39"/>
      <c r="F33" s="39"/>
      <c r="G33" s="40">
        <f>J15</f>
        <v>47366.899999999943</v>
      </c>
      <c r="H33" s="39"/>
      <c r="I33" s="39"/>
      <c r="J33" s="39"/>
      <c r="K33" s="39">
        <f>G33</f>
        <v>47366.899999999943</v>
      </c>
      <c r="O33" s="37"/>
      <c r="P33" s="37"/>
      <c r="Q33" s="16"/>
      <c r="R33" s="16"/>
      <c r="S33" s="16"/>
      <c r="T33" s="16"/>
      <c r="U33" s="16"/>
      <c r="V33" s="16"/>
    </row>
    <row r="34" spans="3:22" x14ac:dyDescent="0.3">
      <c r="C34" s="38" t="s">
        <v>96</v>
      </c>
      <c r="D34" s="39"/>
      <c r="E34" s="39"/>
      <c r="F34" s="39"/>
      <c r="G34" s="40">
        <f>Apportionment!B7</f>
        <v>58731</v>
      </c>
      <c r="H34" s="39"/>
      <c r="I34" s="39"/>
      <c r="J34" s="39"/>
      <c r="K34" s="40">
        <f>Apportionment!C7</f>
        <v>57993</v>
      </c>
      <c r="O34" s="37"/>
      <c r="P34" s="37"/>
      <c r="Q34" s="16"/>
      <c r="R34" s="16"/>
      <c r="S34" s="120"/>
      <c r="T34" s="120"/>
      <c r="U34" s="120"/>
      <c r="V34" s="120"/>
    </row>
    <row r="35" spans="3:22" x14ac:dyDescent="0.3">
      <c r="C35" s="38" t="s">
        <v>21</v>
      </c>
      <c r="D35" s="39"/>
      <c r="E35" s="39"/>
      <c r="F35" s="39"/>
      <c r="G35" s="40">
        <f>J17</f>
        <v>160.20000000000002</v>
      </c>
      <c r="H35" s="39"/>
      <c r="I35" s="39"/>
      <c r="J35" s="39"/>
      <c r="K35" s="39">
        <f>G35</f>
        <v>160.20000000000002</v>
      </c>
      <c r="O35" s="37"/>
      <c r="P35" s="37"/>
      <c r="Q35" s="120"/>
      <c r="R35" s="120"/>
      <c r="S35" s="120"/>
      <c r="T35" s="120"/>
      <c r="U35" s="120"/>
      <c r="V35" s="120"/>
    </row>
    <row r="36" spans="3:22" x14ac:dyDescent="0.3">
      <c r="C36" s="38" t="s">
        <v>22</v>
      </c>
      <c r="D36" s="41"/>
      <c r="E36" s="41"/>
      <c r="F36" s="41"/>
      <c r="G36" s="41">
        <f>G34/G33</f>
        <v>1.2399164817625825</v>
      </c>
      <c r="H36" s="41"/>
      <c r="I36" s="41"/>
      <c r="J36" s="41"/>
      <c r="K36" s="41">
        <f>K34/K33</f>
        <v>1.224335981455406</v>
      </c>
      <c r="O36" s="37"/>
      <c r="P36" s="37"/>
      <c r="Q36" s="120"/>
      <c r="R36" s="120"/>
      <c r="S36" s="120"/>
      <c r="T36" s="120"/>
      <c r="U36" s="120"/>
      <c r="V36" s="120"/>
    </row>
    <row r="37" spans="3:22" x14ac:dyDescent="0.3">
      <c r="C37" s="38" t="s">
        <v>23</v>
      </c>
      <c r="D37" s="42"/>
      <c r="E37" s="42"/>
      <c r="F37" s="42"/>
      <c r="G37" s="42">
        <f>-G36*G35</f>
        <v>-198.63462037836575</v>
      </c>
      <c r="H37" s="42"/>
      <c r="I37" s="42"/>
      <c r="J37" s="42"/>
      <c r="K37" s="42">
        <f>-K36*K35</f>
        <v>-196.13862422915605</v>
      </c>
    </row>
    <row r="38" spans="3:22" ht="16.2" x14ac:dyDescent="0.3">
      <c r="C38" s="43" t="s">
        <v>24</v>
      </c>
      <c r="D38" s="44"/>
      <c r="E38" s="44"/>
      <c r="F38" s="44"/>
      <c r="G38" s="44">
        <f>G34+G37</f>
        <v>58532.365379621631</v>
      </c>
      <c r="H38" s="44"/>
      <c r="I38" s="44"/>
      <c r="J38" s="44"/>
      <c r="K38" s="44">
        <f>K34+K37</f>
        <v>57796.861375770844</v>
      </c>
    </row>
    <row r="39" spans="3:22" x14ac:dyDescent="0.3">
      <c r="C39" s="38" t="s">
        <v>116</v>
      </c>
      <c r="D39" s="45"/>
      <c r="E39" s="45"/>
      <c r="F39" s="45"/>
      <c r="G39" s="45">
        <f>Apportionment!B18</f>
        <v>55084</v>
      </c>
      <c r="H39" s="45"/>
      <c r="I39" s="45"/>
      <c r="J39" s="45"/>
      <c r="K39" s="45">
        <f>Apportionment!C18</f>
        <v>55317</v>
      </c>
    </row>
    <row r="40" spans="3:22" ht="15" thickBot="1" x14ac:dyDescent="0.35">
      <c r="C40" s="46" t="s">
        <v>112</v>
      </c>
      <c r="D40" s="47"/>
      <c r="E40" s="47"/>
      <c r="F40" s="47"/>
      <c r="G40" s="47">
        <f>(G38-G39)/G39</f>
        <v>6.2601942117885973E-2</v>
      </c>
      <c r="H40" s="47"/>
      <c r="I40" s="47"/>
      <c r="J40" s="47"/>
      <c r="K40" s="47">
        <f>(K38-K39)/K39</f>
        <v>4.4830004804505746E-2</v>
      </c>
      <c r="O40" s="37"/>
      <c r="P40" s="37"/>
      <c r="Q40" s="37"/>
      <c r="R40" s="37"/>
      <c r="S40" s="37"/>
      <c r="T40" s="37"/>
      <c r="U40" s="37"/>
      <c r="V40" s="37"/>
    </row>
    <row r="41" spans="3:22" ht="16.2" x14ac:dyDescent="0.3">
      <c r="C41" s="18" t="s">
        <v>25</v>
      </c>
      <c r="O41" s="37"/>
      <c r="P41" s="37"/>
      <c r="Q41" s="16"/>
      <c r="R41" s="16"/>
      <c r="S41" s="16"/>
      <c r="T41" s="16"/>
      <c r="U41" s="16"/>
      <c r="V41" s="16"/>
    </row>
    <row r="42" spans="3:22" x14ac:dyDescent="0.3">
      <c r="O42" s="37"/>
      <c r="P42" s="37"/>
      <c r="Q42" s="16"/>
      <c r="R42" s="16"/>
      <c r="S42" s="120"/>
      <c r="T42" s="120"/>
      <c r="U42" s="120"/>
      <c r="V42" s="120"/>
    </row>
    <row r="43" spans="3:22" x14ac:dyDescent="0.3">
      <c r="O43" s="37"/>
      <c r="P43" s="37"/>
      <c r="Q43" s="120"/>
      <c r="R43" s="120"/>
      <c r="S43" s="120"/>
      <c r="T43" s="120"/>
      <c r="U43" s="120"/>
      <c r="V43" s="120"/>
    </row>
    <row r="44" spans="3:22" x14ac:dyDescent="0.3">
      <c r="O44" s="37"/>
      <c r="P44" s="37"/>
      <c r="Q44" s="120"/>
      <c r="R44" s="120"/>
      <c r="S44" s="120"/>
      <c r="T44" s="120"/>
      <c r="U44" s="120"/>
      <c r="V44" s="120"/>
    </row>
  </sheetData>
  <mergeCells count="9">
    <mergeCell ref="Q43:R43"/>
    <mergeCell ref="S43:V43"/>
    <mergeCell ref="Q44:V44"/>
    <mergeCell ref="C26:C28"/>
    <mergeCell ref="S34:V34"/>
    <mergeCell ref="Q35:R35"/>
    <mergeCell ref="S35:V35"/>
    <mergeCell ref="Q36:V36"/>
    <mergeCell ref="S42:V4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Apportionment</vt:lpstr>
      <vt:lpstr>5yr_Survey_Avg_Apport</vt:lpstr>
    </vt:vector>
  </TitlesOfParts>
  <Company>NOAA AFSC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Kari.Fenske</dc:creator>
  <cp:lastModifiedBy>Daniel.Goethel</cp:lastModifiedBy>
  <dcterms:created xsi:type="dcterms:W3CDTF">2020-11-14T21:07:20Z</dcterms:created>
  <dcterms:modified xsi:type="dcterms:W3CDTF">2024-10-19T18:06:23Z</dcterms:modified>
</cp:coreProperties>
</file>