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renewables21.sharepoint.com/sites/GSR2022/Shared Documents/Data and Research/Buildings/Chile/"/>
    </mc:Choice>
  </mc:AlternateContent>
  <xr:revisionPtr revIDLastSave="0" documentId="11_4980D39E67747210F042540DB6D9C7BC07CEA825" xr6:coauthVersionLast="47" xr6:coauthVersionMax="47" xr10:uidLastSave="{00000000-0000-0000-0000-000000000000}"/>
  <bookViews>
    <workbookView xWindow="-23148" yWindow="-108" windowWidth="23256" windowHeight="12456" activeTab="3" xr2:uid="{00000000-000D-0000-FFFF-FFFF00000000}"/>
  </bookViews>
  <sheets>
    <sheet name="final" sheetId="3" r:id="rId1"/>
    <sheet name="Households" sheetId="1" r:id="rId2"/>
    <sheet name="CommPubServices" sheetId="2" r:id="rId3"/>
    <sheet name="2019 ENERGY BALAN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3" l="1"/>
  <c r="B2" i="3"/>
  <c r="B7" i="3" s="1"/>
  <c r="B13" i="3" s="1"/>
  <c r="B17" i="3" s="1"/>
  <c r="N9" i="3"/>
  <c r="N4" i="3"/>
  <c r="C29" i="1"/>
  <c r="E2" i="3" l="1"/>
  <c r="E3" i="3"/>
  <c r="G6" i="3"/>
  <c r="G16" i="3" s="1"/>
  <c r="C6" i="3"/>
  <c r="J8" i="3"/>
  <c r="K8" i="3"/>
  <c r="J7" i="3"/>
  <c r="K7" i="3"/>
  <c r="I23" i="1" l="1"/>
  <c r="F2" i="3" s="1"/>
  <c r="C21" i="1"/>
  <c r="C7" i="1"/>
  <c r="C2" i="1" s="1"/>
  <c r="H23" i="2"/>
  <c r="G14" i="1"/>
  <c r="G13" i="1"/>
  <c r="J8" i="1" l="1"/>
  <c r="L8" i="1"/>
  <c r="L3" i="1" l="1"/>
  <c r="J4" i="1"/>
  <c r="J5" i="1"/>
  <c r="J6" i="1"/>
  <c r="J7" i="1"/>
  <c r="J3" i="1"/>
  <c r="M8" i="1"/>
  <c r="K8" i="1"/>
  <c r="L4" i="1"/>
  <c r="L5" i="1"/>
  <c r="L6" i="1"/>
  <c r="L7" i="1"/>
  <c r="O8" i="1"/>
  <c r="N7" i="1"/>
  <c r="N6" i="1"/>
  <c r="N5" i="1"/>
  <c r="N4" i="1"/>
  <c r="N3" i="1"/>
  <c r="N8" i="1" l="1"/>
  <c r="I38" i="1"/>
  <c r="I24" i="1" l="1"/>
  <c r="F3" i="3" s="1"/>
  <c r="C40" i="2"/>
  <c r="C38" i="2" s="1"/>
  <c r="M31" i="2" s="1"/>
  <c r="G8" i="3" s="1"/>
  <c r="B40" i="2"/>
  <c r="B35" i="2"/>
  <c r="B27" i="2"/>
  <c r="B17" i="2"/>
  <c r="B9" i="2"/>
  <c r="L3" i="2"/>
  <c r="C17" i="2" s="1"/>
  <c r="C15" i="2" s="1"/>
  <c r="K5" i="2"/>
  <c r="L4" i="2" s="1"/>
  <c r="H13" i="2"/>
  <c r="C35" i="2" l="1"/>
  <c r="C27" i="2"/>
  <c r="C39" i="2"/>
  <c r="M30" i="2" s="1"/>
  <c r="G7" i="3" s="1"/>
  <c r="I8" i="2"/>
  <c r="I10" i="2"/>
  <c r="I3" i="2"/>
  <c r="I4" i="2"/>
  <c r="I13" i="2"/>
  <c r="I9" i="2"/>
  <c r="H17" i="2"/>
  <c r="I11" i="2"/>
  <c r="I12" i="2"/>
  <c r="I5" i="2"/>
  <c r="I6" i="2"/>
  <c r="I7" i="2"/>
  <c r="C9" i="2"/>
  <c r="F15" i="2"/>
  <c r="E15" i="2"/>
  <c r="D15" i="2"/>
  <c r="C16" i="2"/>
  <c r="C14" i="2"/>
  <c r="C13" i="2"/>
  <c r="D13" i="2" s="1"/>
  <c r="C44" i="1"/>
  <c r="C43" i="1" s="1"/>
  <c r="J23" i="1" s="1"/>
  <c r="G2" i="3" s="1"/>
  <c r="C6" i="1"/>
  <c r="C42" i="1"/>
  <c r="J24" i="1" s="1"/>
  <c r="G3" i="3" s="1"/>
  <c r="B44" i="1"/>
  <c r="C30" i="1"/>
  <c r="C31" i="1"/>
  <c r="C32" i="1"/>
  <c r="C33" i="1"/>
  <c r="C34" i="1"/>
  <c r="C35" i="1"/>
  <c r="C36" i="1"/>
  <c r="C37" i="1"/>
  <c r="C38" i="1"/>
  <c r="C28" i="1"/>
  <c r="C11" i="1"/>
  <c r="C12" i="1"/>
  <c r="C13" i="1"/>
  <c r="C14" i="1"/>
  <c r="C15" i="1"/>
  <c r="C16" i="1"/>
  <c r="C17" i="1"/>
  <c r="C18" i="1"/>
  <c r="F24" i="1" s="1"/>
  <c r="C19" i="1"/>
  <c r="C20" i="1"/>
  <c r="C22" i="1"/>
  <c r="F23" i="1" s="1"/>
  <c r="C23" i="1"/>
  <c r="C24" i="1"/>
  <c r="C10" i="1"/>
  <c r="B39" i="1"/>
  <c r="B25" i="1"/>
  <c r="B7" i="1"/>
  <c r="C3" i="3" l="1"/>
  <c r="C23" i="2"/>
  <c r="C24" i="2"/>
  <c r="C22" i="2"/>
  <c r="C25" i="2"/>
  <c r="C26" i="2"/>
  <c r="C4" i="2"/>
  <c r="I30" i="2" s="1"/>
  <c r="C5" i="2"/>
  <c r="C3" i="2"/>
  <c r="C6" i="2"/>
  <c r="I31" i="2" s="1"/>
  <c r="C7" i="2"/>
  <c r="C8" i="2"/>
  <c r="C31" i="2"/>
  <c r="C32" i="2"/>
  <c r="C34" i="2"/>
  <c r="C33" i="2"/>
  <c r="C2" i="3"/>
  <c r="D16" i="2"/>
  <c r="E16" i="2"/>
  <c r="F16" i="2"/>
  <c r="E13" i="2"/>
  <c r="F13" i="2"/>
  <c r="E14" i="2"/>
  <c r="F14" i="2"/>
  <c r="D14" i="2"/>
  <c r="C3" i="1"/>
  <c r="C5" i="1"/>
  <c r="G24" i="1" s="1"/>
  <c r="C4" i="1"/>
  <c r="C7" i="3" l="1"/>
  <c r="D32" i="2"/>
  <c r="J31" i="2" s="1"/>
  <c r="E32" i="2"/>
  <c r="F32" i="2"/>
  <c r="F33" i="2"/>
  <c r="D33" i="2"/>
  <c r="E33" i="2"/>
  <c r="K31" i="2"/>
  <c r="E8" i="3" s="1"/>
  <c r="D3" i="3"/>
  <c r="F31" i="2"/>
  <c r="E31" i="2"/>
  <c r="D31" i="2"/>
  <c r="L31" i="2"/>
  <c r="F8" i="3" s="1"/>
  <c r="F34" i="2"/>
  <c r="E34" i="2"/>
  <c r="D34" i="2"/>
  <c r="G23" i="1"/>
  <c r="C8" i="3"/>
  <c r="K23" i="1" l="1"/>
  <c r="H2" i="3" s="1"/>
  <c r="D2" i="3"/>
  <c r="L23" i="1"/>
  <c r="J30" i="2"/>
  <c r="K24" i="1"/>
  <c r="K30" i="2"/>
  <c r="E7" i="3" s="1"/>
  <c r="D8" i="3"/>
  <c r="L30" i="2"/>
  <c r="F7" i="3" s="1"/>
  <c r="L2" i="3" l="1"/>
  <c r="D13" i="3" s="1"/>
  <c r="H3" i="3"/>
  <c r="L24" i="1"/>
  <c r="L3" i="3" s="1"/>
  <c r="N30" i="2"/>
  <c r="H7" i="3" s="1"/>
  <c r="D7" i="3"/>
  <c r="R30" i="2"/>
  <c r="N31" i="2"/>
  <c r="L7" i="3" l="1"/>
  <c r="H17" i="3" s="1"/>
  <c r="L25" i="1"/>
  <c r="L4" i="3" s="1"/>
  <c r="K4" i="3" s="1"/>
  <c r="F14" i="3"/>
  <c r="G14" i="3"/>
  <c r="C14" i="3"/>
  <c r="D14" i="3"/>
  <c r="H8" i="3"/>
  <c r="R31" i="2"/>
  <c r="L8" i="3" s="1"/>
  <c r="F13" i="3"/>
  <c r="G13" i="3"/>
  <c r="C13" i="3"/>
  <c r="D17" i="3"/>
  <c r="H18" i="3" l="1"/>
  <c r="G18" i="3"/>
  <c r="F18" i="3"/>
  <c r="C18" i="3"/>
  <c r="E18" i="3"/>
  <c r="D18" i="3"/>
  <c r="R32" i="2"/>
  <c r="L9" i="3" s="1"/>
  <c r="K9" i="3" s="1"/>
  <c r="G17" i="3"/>
  <c r="C17" i="3"/>
  <c r="E17" i="3"/>
  <c r="F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Sagardoy</author>
  </authors>
  <commentList>
    <comment ref="H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Ignacio Sagardoy:</t>
        </r>
        <r>
          <rPr>
            <sz val="9"/>
            <color indexed="81"/>
            <rFont val="Tahoma"/>
            <family val="2"/>
          </rPr>
          <t xml:space="preserve">
Repartí el biogás con el mismo criterio que para residencial, es decir, en función del consumo de GN.</t>
        </r>
      </text>
    </comment>
    <comment ref="H1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Ignacio Sagardoy:</t>
        </r>
        <r>
          <rPr>
            <sz val="9"/>
            <color indexed="81"/>
            <rFont val="Tahoma"/>
            <family val="2"/>
          </rPr>
          <t xml:space="preserve">
Idem anterior.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tc={6D0BFC02-310A-47F5-8F70-0E39E424F882}</author>
    <author>tc={23CB12AE-C5FD-4DE4-868F-46C2DF57529E}</author>
    <author>tc={EB079D20-085C-4888-9F5A-29B47BBB1182}</author>
    <author>tc={C0459BD3-5C68-4022-9EAE-58E9D836B0A8}</author>
  </authors>
  <commentList>
    <comment ref="D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https://www.energia.gob.cl/sites/default/files/documentos/resumen_ejecutivo_caracterizacion_residencial_2018.pdf</t>
      </text>
    </comment>
    <comment ref="F9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100% leña?</t>
      </text>
    </comment>
    <comment ref="C25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Teracalorias según BEN 2019 (hoja Balance de Energía! X59)</t>
      </text>
    </comment>
    <comment ref="C39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Teracalorias según BEN 2019 (hoja Balance de Energía! AE59)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tc={8C7D630B-9BC2-492D-A822-82A4D4E82969}</author>
    <author>tc={8251A336-E789-464B-B76D-64D3C7A2E708}</author>
    <author>Gonzalo Bravo</author>
  </authors>
  <commentList>
    <comment ref="D1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http://old.acee.cl/576/articles-61760_doc_pdf.pdf</t>
      </text>
    </comment>
    <comment ref="H4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 leña? imputado como 90% calefacción, 10% cocción.</t>
      </text>
    </comment>
    <comment ref="H5" authorId="2" shapeId="0" xr:uid="{00000000-0006-0000-0200-000003000000}">
      <text>
        <r>
          <rPr>
            <b/>
            <sz val="9"/>
            <color indexed="81"/>
            <rFont val="Tahoma"/>
            <family val="2"/>
          </rPr>
          <t>Gonzalo Bravo:</t>
        </r>
        <r>
          <rPr>
            <sz val="9"/>
            <color indexed="81"/>
            <rFont val="Tahoma"/>
            <family val="2"/>
          </rPr>
          <t xml:space="preserve">
según Bce el 84% del biogas del sector se usa en "Sanitarias" para mí eso es agua caliente. </t>
        </r>
      </text>
    </comment>
  </commentList>
</comments>
</file>

<file path=xl/sharedStrings.xml><?xml version="1.0" encoding="utf-8"?>
<sst xmlns="http://schemas.openxmlformats.org/spreadsheetml/2006/main" count="223" uniqueCount="120">
  <si>
    <t>ACS</t>
  </si>
  <si>
    <t>Calefactores</t>
  </si>
  <si>
    <t>Calefacción Central</t>
  </si>
  <si>
    <t>Cocina+Horno</t>
  </si>
  <si>
    <t>Lavado de Ropa/Secado de Ropa</t>
  </si>
  <si>
    <t>Plancha</t>
  </si>
  <si>
    <t>Freezer</t>
  </si>
  <si>
    <t>Varios</t>
  </si>
  <si>
    <t>Refrigerador</t>
  </si>
  <si>
    <t>Iluminación</t>
  </si>
  <si>
    <t>TV</t>
  </si>
  <si>
    <t>Stand By</t>
  </si>
  <si>
    <t>Lavado de Ropa</t>
  </si>
  <si>
    <t>Hervidor</t>
  </si>
  <si>
    <t>Secado de Ropa</t>
  </si>
  <si>
    <t>Aspiradora</t>
  </si>
  <si>
    <t>Otros</t>
  </si>
  <si>
    <t>Computador</t>
  </si>
  <si>
    <t>Consumo todos energéticos por uso</t>
  </si>
  <si>
    <t>Calefacción y Climatización</t>
  </si>
  <si>
    <t>Refrigeración de alimentos</t>
  </si>
  <si>
    <t>Cocción de alimentos</t>
  </si>
  <si>
    <t>Aseo Ropa</t>
  </si>
  <si>
    <t>GN</t>
  </si>
  <si>
    <t>GLP</t>
  </si>
  <si>
    <t>Kerosene</t>
  </si>
  <si>
    <t>Biomasa</t>
  </si>
  <si>
    <t>Biogas</t>
  </si>
  <si>
    <t>Otras fuentes según BEN (en teracalorías)</t>
  </si>
  <si>
    <t xml:space="preserve">Fuente: </t>
  </si>
  <si>
    <t xml:space="preserve">Cocción </t>
  </si>
  <si>
    <t>Calefacción</t>
  </si>
  <si>
    <t>Consumo Leña</t>
  </si>
  <si>
    <t>Cocción</t>
  </si>
  <si>
    <t>Gas Natural</t>
  </si>
  <si>
    <t>Biogás</t>
  </si>
  <si>
    <t>Petróleo Diesel</t>
  </si>
  <si>
    <t>Petróleo Combustible</t>
  </si>
  <si>
    <t>Gas Licuado</t>
  </si>
  <si>
    <t>Gasolina de Aviación</t>
  </si>
  <si>
    <t>Kerosene de Aviación</t>
  </si>
  <si>
    <t>Electricidad</t>
  </si>
  <si>
    <t>Balance Energético</t>
  </si>
  <si>
    <t>Total</t>
  </si>
  <si>
    <t xml:space="preserve">Hipótesis Uso Leña </t>
  </si>
  <si>
    <t>Supermercados</t>
  </si>
  <si>
    <t>Centros Comerciales</t>
  </si>
  <si>
    <t>Consumo total</t>
  </si>
  <si>
    <t>Uso de Energía Eléctrica</t>
  </si>
  <si>
    <t>Supermercado</t>
  </si>
  <si>
    <t>Refrigeración</t>
  </si>
  <si>
    <t>AC</t>
  </si>
  <si>
    <t>Horno</t>
  </si>
  <si>
    <t>Uso combustibles</t>
  </si>
  <si>
    <t>Diesel</t>
  </si>
  <si>
    <t>Hornos y Cocina</t>
  </si>
  <si>
    <t>Agua Caliente y Sanitaria</t>
  </si>
  <si>
    <t>Consumo Supermercados</t>
  </si>
  <si>
    <t>Combustibles</t>
  </si>
  <si>
    <t>Cálculos auxiliares</t>
  </si>
  <si>
    <t>Fuerza Motriz</t>
  </si>
  <si>
    <t>Otro</t>
  </si>
  <si>
    <t>Consumo Centros Comerciales</t>
  </si>
  <si>
    <t xml:space="preserve">Combustibles </t>
  </si>
  <si>
    <t>en rojo pendiente de imputación</t>
  </si>
  <si>
    <t>Consumo Leña Comercial</t>
  </si>
  <si>
    <t>Información que pide Hend</t>
  </si>
  <si>
    <r>
      <t xml:space="preserve">(namely - fossil gas, fossil oil, </t>
    </r>
    <r>
      <rPr>
        <b/>
        <sz val="11"/>
        <color rgb="FFFF0000"/>
        <rFont val="Calibri"/>
        <family val="2"/>
        <scheme val="minor"/>
      </rPr>
      <t>district heat, heat pumps</t>
    </r>
    <r>
      <rPr>
        <sz val="11"/>
        <color theme="1"/>
        <rFont val="Calibri"/>
        <family val="2"/>
        <scheme val="minor"/>
      </rPr>
      <t xml:space="preserve">, Biomass, biogas and other </t>
    </r>
    <r>
      <rPr>
        <b/>
        <sz val="11"/>
        <color rgb="FFFF0000"/>
        <rFont val="Calibri"/>
        <family val="2"/>
        <scheme val="minor"/>
      </rPr>
      <t>other renewables</t>
    </r>
    <r>
      <rPr>
        <sz val="11"/>
        <color theme="1"/>
        <rFont val="Calibri"/>
        <family val="2"/>
        <scheme val="minor"/>
      </rPr>
      <t>, electricity and LPG) </t>
    </r>
  </si>
  <si>
    <r>
      <t>residential and commercial </t>
    </r>
    <r>
      <rPr>
        <b/>
        <sz val="11"/>
        <color theme="1"/>
        <rFont val="Calibri"/>
        <family val="2"/>
        <scheme val="minor"/>
      </rPr>
      <t>heating and cooling</t>
    </r>
    <r>
      <rPr>
        <sz val="11"/>
        <color theme="1"/>
        <rFont val="Calibri"/>
        <family val="2"/>
        <scheme val="minor"/>
      </rPr>
      <t xml:space="preserve"> consumption in Chile by source</t>
    </r>
  </si>
  <si>
    <t>Cooking</t>
  </si>
  <si>
    <t>Leña</t>
  </si>
  <si>
    <t>LEÑA</t>
  </si>
  <si>
    <t>GAS</t>
  </si>
  <si>
    <t>ELECTRICIDAD</t>
  </si>
  <si>
    <t>PELLETS</t>
  </si>
  <si>
    <t>DESPUNTE</t>
  </si>
  <si>
    <t>PETRÓLEO</t>
  </si>
  <si>
    <t>TOTAL</t>
  </si>
  <si>
    <t>CARBÓN VEGETAL</t>
  </si>
  <si>
    <t>COMBUSTIBLE PRINCIPAL USADO PARA CALEFACCION SECTOR RESIDENCIAL</t>
  </si>
  <si>
    <t>PARAFINA (kerosene)</t>
  </si>
  <si>
    <t>Fuente: Medición del Consumo de Leña y otros combustibles sólidos derivados de la madera. Ministerio de Energía de Chile, 2015.</t>
  </si>
  <si>
    <t>COMBUSTIBLE PRINCIPAL USADO PARA COCCION SECTOR RESIDENCIAL</t>
  </si>
  <si>
    <t>Con estos datos, el consumo de kerosene lo asignaría 100% a calefacción, por más que pueda existir otros usos marginales (iluminación, por ejemplo).</t>
  </si>
  <si>
    <t>En el caso del biogás, le asignaría lo mismo que al consumo de GLP y GN.</t>
  </si>
  <si>
    <t>Sagardoy</t>
  </si>
  <si>
    <t>Total (%)</t>
  </si>
  <si>
    <t>Total (Tcal)</t>
  </si>
  <si>
    <t>Usos</t>
  </si>
  <si>
    <t>Consumo GLP (Tcal)</t>
  </si>
  <si>
    <t>Consumo GLP (%)</t>
  </si>
  <si>
    <t>Consumo GN (Tcal)</t>
  </si>
  <si>
    <t>Consumo GN (%)</t>
  </si>
  <si>
    <t>uso biogas</t>
  </si>
  <si>
    <t>-</t>
  </si>
  <si>
    <t>GN +GLP</t>
  </si>
  <si>
    <t>GB: falta la fuente "otros" supondría que biogas está sumado a gas</t>
  </si>
  <si>
    <t>total in Tera calories</t>
  </si>
  <si>
    <t>Electricity</t>
  </si>
  <si>
    <t>Liquefied and pipeline gas</t>
  </si>
  <si>
    <t>Fire-wood</t>
  </si>
  <si>
    <t>Liquefied Gas</t>
  </si>
  <si>
    <t>Natural Gas (pipelines)</t>
  </si>
  <si>
    <t>Households</t>
  </si>
  <si>
    <t>Comercial Public &amp; Services</t>
  </si>
  <si>
    <t xml:space="preserve">Figures for 2015 , we have a final uses report, and applied it to the energy balance statistics. </t>
  </si>
  <si>
    <r>
      <t xml:space="preserve">GB: tengo presente un proyecto para mezclar Biogas de Relleno Sanitario con Gas natural. Era en el gran Santiago hace unos 7 años . </t>
    </r>
    <r>
      <rPr>
        <sz val="11"/>
        <color rgb="FFFF0000"/>
        <rFont val="Calibri"/>
        <family val="2"/>
        <scheme val="minor"/>
      </rPr>
      <t>IS: viendo la cantidad de biogás que se consume es muy marginal, muy probablemente sea por proyectos del estilo que menciona GB donde se mezcla el biogás con el GN.</t>
    </r>
  </si>
  <si>
    <t>Energy Balance 2019</t>
  </si>
  <si>
    <r>
      <t xml:space="preserve">Consumo </t>
    </r>
    <r>
      <rPr>
        <sz val="11"/>
        <color theme="5"/>
        <rFont val="Calibri"/>
        <family val="2"/>
        <scheme val="minor"/>
      </rPr>
      <t>Electricidad</t>
    </r>
    <r>
      <rPr>
        <sz val="11"/>
        <color theme="1"/>
        <rFont val="Calibri"/>
        <family val="2"/>
        <scheme val="minor"/>
      </rPr>
      <t xml:space="preserve"> según usos</t>
    </r>
  </si>
  <si>
    <r>
      <t xml:space="preserve">Consumo </t>
    </r>
    <r>
      <rPr>
        <sz val="11"/>
        <color theme="5"/>
        <rFont val="Calibri"/>
        <family val="2"/>
        <scheme val="minor"/>
      </rPr>
      <t>GLP y GN, s</t>
    </r>
    <r>
      <rPr>
        <sz val="11"/>
        <color theme="1"/>
        <rFont val="Calibri"/>
        <family val="2"/>
        <scheme val="minor"/>
      </rPr>
      <t>egún usos</t>
    </r>
  </si>
  <si>
    <t>Heating &amp; hot water</t>
  </si>
  <si>
    <t>falta microondas, grill, otros</t>
  </si>
  <si>
    <t>Sector Comercial, Público y Residencial</t>
  </si>
  <si>
    <t>Comercial</t>
  </si>
  <si>
    <t>Público</t>
  </si>
  <si>
    <t>Sanitarias</t>
  </si>
  <si>
    <t>Residencial</t>
  </si>
  <si>
    <t xml:space="preserve">TOTAL FINAL CONSUMPTION </t>
  </si>
  <si>
    <t xml:space="preserve">total energy consumption, </t>
  </si>
  <si>
    <t>thermal 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</si>
</sst>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 * #,##0_ ;_ * \-#,##0_ ;_ * &quot;-&quot;_ ;_ @_ "/>
    <numFmt numFmtId="165" formatCode="_-* #,##0.00\ _€_-;\-* #,##0.00\ _€_-;_-* &quot;-&quot;??\ _€_-;_-@_-"/>
    <numFmt numFmtId="166" formatCode="0.0%"/>
    <numFmt numFmtId="167" formatCode="_-* #,##0.0_-;\-* #,##0.0_-;_-* &quot;-&quot;??_-;_-@_-"/>
    <numFmt numFmtId="168" formatCode="_-* #,##0.000_-;\-* #,##0.000_-;_-* &quot;-&quot;??_-;_-@_-"/>
    <numFmt numFmtId="169" formatCode="_-* #,##0.0_-;\-* #,##0.0_-;_-* &quot;-&quot;?_-;_-@_-"/>
    <numFmt numFmtId="170" formatCode="_ * #,##0.00_ ;_ * \-#,##0.00_ ;_ * &quot;-&quot;_ ;_ @_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5"/>
      <name val="Calibri"/>
      <family val="2"/>
      <scheme val="minor"/>
    </font>
    <font>
      <sz val="11"/>
      <color indexed="8"/>
      <name val="Calibri"/>
      <family val="2"/>
    </font>
    <font>
      <sz val="10"/>
      <name val="Geneva"/>
    </font>
    <font>
      <sz val="10"/>
      <name val="Courier"/>
      <family val="3"/>
    </font>
    <font>
      <b/>
      <sz val="8"/>
      <name val="Arial"/>
      <family val="2"/>
    </font>
    <font>
      <sz val="8"/>
      <name val="Arial"/>
      <family val="2"/>
    </font>
    <font>
      <sz val="8"/>
      <name val="Geneva"/>
    </font>
    <font>
      <u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3" fillId="0" borderId="0"/>
    <xf numFmtId="0" fontId="17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2" fillId="0" borderId="0"/>
    <xf numFmtId="0" fontId="11" fillId="6" borderId="0" applyNumberFormat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164">
    <xf numFmtId="0" fontId="0" fillId="0" borderId="0" xfId="0"/>
    <xf numFmtId="10" fontId="0" fillId="0" borderId="0" xfId="0" applyNumberForma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0" borderId="3" xfId="0" applyBorder="1"/>
    <xf numFmtId="9" fontId="0" fillId="0" borderId="0" xfId="0" applyNumberFormat="1"/>
    <xf numFmtId="0" fontId="2" fillId="0" borderId="3" xfId="0" applyFont="1" applyBorder="1"/>
    <xf numFmtId="0" fontId="2" fillId="0" borderId="5" xfId="0" applyFont="1" applyBorder="1"/>
    <xf numFmtId="0" fontId="0" fillId="0" borderId="0" xfId="0" applyFont="1"/>
    <xf numFmtId="43" fontId="0" fillId="0" borderId="0" xfId="1" applyFont="1" applyFill="1" applyBorder="1"/>
    <xf numFmtId="4" fontId="4" fillId="0" borderId="0" xfId="3" applyNumberFormat="1" applyFont="1" applyFill="1" applyBorder="1" applyAlignment="1">
      <alignment horizontal="left" vertical="center" wrapText="1"/>
    </xf>
    <xf numFmtId="4" fontId="4" fillId="0" borderId="0" xfId="3" quotePrefix="1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4" fontId="4" fillId="0" borderId="3" xfId="3" applyNumberFormat="1" applyFont="1" applyFill="1" applyBorder="1" applyAlignment="1">
      <alignment horizontal="left" vertical="center" wrapText="1"/>
    </xf>
    <xf numFmtId="43" fontId="0" fillId="0" borderId="4" xfId="1" applyFont="1" applyFill="1" applyBorder="1"/>
    <xf numFmtId="4" fontId="4" fillId="0" borderId="3" xfId="3" quotePrefix="1" applyNumberFormat="1" applyFont="1" applyFill="1" applyBorder="1" applyAlignment="1">
      <alignment horizontal="left" vertical="center" wrapText="1"/>
    </xf>
    <xf numFmtId="43" fontId="0" fillId="0" borderId="0" xfId="0" applyNumberFormat="1" applyFont="1" applyBorder="1"/>
    <xf numFmtId="0" fontId="0" fillId="0" borderId="3" xfId="0" applyFont="1" applyFill="1" applyBorder="1" applyAlignment="1">
      <alignment horizontal="left"/>
    </xf>
    <xf numFmtId="4" fontId="4" fillId="0" borderId="5" xfId="3" applyNumberFormat="1" applyFont="1" applyFill="1" applyBorder="1" applyAlignment="1">
      <alignment horizontal="left" vertical="center" wrapText="1"/>
    </xf>
    <xf numFmtId="43" fontId="0" fillId="0" borderId="6" xfId="0" applyNumberFormat="1" applyFont="1" applyBorder="1"/>
    <xf numFmtId="0" fontId="0" fillId="0" borderId="0" xfId="0" applyFont="1" applyBorder="1"/>
    <xf numFmtId="0" fontId="0" fillId="0" borderId="0" xfId="0" applyFont="1" applyBorder="1" applyAlignment="1"/>
    <xf numFmtId="9" fontId="0" fillId="0" borderId="0" xfId="4" applyNumberFormat="1" applyFont="1"/>
    <xf numFmtId="9" fontId="0" fillId="0" borderId="0" xfId="0" applyNumberFormat="1" applyFont="1"/>
    <xf numFmtId="165" fontId="0" fillId="0" borderId="0" xfId="0" applyNumberFormat="1" applyFont="1"/>
    <xf numFmtId="43" fontId="0" fillId="0" borderId="0" xfId="0" applyNumberFormat="1" applyFont="1"/>
    <xf numFmtId="0" fontId="5" fillId="0" borderId="0" xfId="0" applyFont="1"/>
    <xf numFmtId="0" fontId="5" fillId="2" borderId="0" xfId="0" applyFont="1" applyFill="1"/>
    <xf numFmtId="4" fontId="2" fillId="0" borderId="3" xfId="3" applyNumberFormat="1" applyFont="1" applyFill="1" applyBorder="1" applyAlignment="1">
      <alignment horizontal="left" vertical="center" wrapText="1"/>
    </xf>
    <xf numFmtId="43" fontId="2" fillId="0" borderId="4" xfId="1" applyFont="1" applyFill="1" applyBorder="1"/>
    <xf numFmtId="0" fontId="2" fillId="0" borderId="0" xfId="0" applyFont="1"/>
    <xf numFmtId="0" fontId="0" fillId="3" borderId="7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6" xfId="0" applyFill="1" applyBorder="1"/>
    <xf numFmtId="0" fontId="5" fillId="3" borderId="1" xfId="0" applyFont="1" applyFill="1" applyBorder="1"/>
    <xf numFmtId="10" fontId="5" fillId="0" borderId="0" xfId="0" applyNumberFormat="1" applyFont="1"/>
    <xf numFmtId="165" fontId="5" fillId="0" borderId="0" xfId="0" applyNumberFormat="1" applyFont="1"/>
    <xf numFmtId="43" fontId="5" fillId="0" borderId="0" xfId="1" applyFont="1"/>
    <xf numFmtId="9" fontId="5" fillId="0" borderId="0" xfId="0" applyNumberFormat="1" applyFont="1"/>
    <xf numFmtId="0" fontId="0" fillId="4" borderId="1" xfId="0" applyFont="1" applyFill="1" applyBorder="1"/>
    <xf numFmtId="0" fontId="0" fillId="4" borderId="7" xfId="0" applyFont="1" applyFill="1" applyBorder="1"/>
    <xf numFmtId="0" fontId="0" fillId="4" borderId="3" xfId="0" applyFont="1" applyFill="1" applyBorder="1"/>
    <xf numFmtId="165" fontId="0" fillId="4" borderId="0" xfId="0" applyNumberFormat="1" applyFont="1" applyFill="1" applyBorder="1"/>
    <xf numFmtId="0" fontId="0" fillId="4" borderId="5" xfId="0" applyFont="1" applyFill="1" applyBorder="1"/>
    <xf numFmtId="165" fontId="0" fillId="4" borderId="8" xfId="0" applyNumberFormat="1" applyFont="1" applyFill="1" applyBorder="1"/>
    <xf numFmtId="0" fontId="0" fillId="4" borderId="0" xfId="0" applyFont="1" applyFill="1" applyBorder="1"/>
    <xf numFmtId="165" fontId="0" fillId="0" borderId="0" xfId="0" applyNumberFormat="1" applyFont="1" applyFill="1" applyBorder="1"/>
    <xf numFmtId="0" fontId="0" fillId="0" borderId="0" xfId="0" applyFont="1" applyFill="1" applyBorder="1"/>
    <xf numFmtId="0" fontId="0" fillId="4" borderId="4" xfId="0" applyFont="1" applyFill="1" applyBorder="1"/>
    <xf numFmtId="0" fontId="0" fillId="4" borderId="8" xfId="0" applyFont="1" applyFill="1" applyBorder="1"/>
    <xf numFmtId="0" fontId="0" fillId="4" borderId="6" xfId="0" applyFont="1" applyFill="1" applyBorder="1"/>
    <xf numFmtId="4" fontId="2" fillId="4" borderId="7" xfId="3" applyNumberFormat="1" applyFont="1" applyFill="1" applyBorder="1" applyAlignment="1">
      <alignment horizontal="left" vertical="center" wrapText="1"/>
    </xf>
    <xf numFmtId="4" fontId="2" fillId="4" borderId="2" xfId="3" applyNumberFormat="1" applyFont="1" applyFill="1" applyBorder="1" applyAlignment="1">
      <alignment horizontal="left" vertical="center" wrapText="1"/>
    </xf>
    <xf numFmtId="0" fontId="2" fillId="4" borderId="7" xfId="0" applyFont="1" applyFill="1" applyBorder="1"/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0" xfId="0" applyBorder="1"/>
    <xf numFmtId="9" fontId="0" fillId="0" borderId="0" xfId="4" applyFont="1" applyBorder="1"/>
    <xf numFmtId="0" fontId="0" fillId="0" borderId="4" xfId="0" applyBorder="1"/>
    <xf numFmtId="166" fontId="0" fillId="0" borderId="0" xfId="4" applyNumberFormat="1" applyFont="1" applyBorder="1"/>
    <xf numFmtId="0" fontId="0" fillId="0" borderId="8" xfId="0" applyBorder="1"/>
    <xf numFmtId="0" fontId="0" fillId="0" borderId="6" xfId="0" applyBorder="1"/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43" fontId="0" fillId="0" borderId="0" xfId="0" applyNumberFormat="1" applyBorder="1"/>
    <xf numFmtId="10" fontId="0" fillId="0" borderId="4" xfId="0" applyNumberFormat="1" applyBorder="1"/>
    <xf numFmtId="0" fontId="5" fillId="0" borderId="3" xfId="0" applyFont="1" applyBorder="1"/>
    <xf numFmtId="10" fontId="5" fillId="0" borderId="4" xfId="0" applyNumberFormat="1" applyFont="1" applyBorder="1"/>
    <xf numFmtId="0" fontId="5" fillId="0" borderId="5" xfId="0" applyFont="1" applyBorder="1"/>
    <xf numFmtId="43" fontId="0" fillId="0" borderId="8" xfId="0" applyNumberFormat="1" applyBorder="1"/>
    <xf numFmtId="9" fontId="0" fillId="0" borderId="8" xfId="4" applyFont="1" applyBorder="1"/>
    <xf numFmtId="10" fontId="0" fillId="0" borderId="6" xfId="0" applyNumberFormat="1" applyBorder="1"/>
    <xf numFmtId="167" fontId="0" fillId="0" borderId="4" xfId="1" applyNumberFormat="1" applyFont="1" applyBorder="1"/>
    <xf numFmtId="167" fontId="2" fillId="0" borderId="6" xfId="1" applyNumberFormat="1" applyFont="1" applyBorder="1"/>
    <xf numFmtId="167" fontId="2" fillId="0" borderId="4" xfId="1" applyNumberFormat="1" applyFont="1" applyBorder="1"/>
    <xf numFmtId="0" fontId="0" fillId="5" borderId="12" xfId="0" applyFill="1" applyBorder="1" applyAlignment="1">
      <alignment horizontal="center" vertical="center" wrapText="1"/>
    </xf>
    <xf numFmtId="43" fontId="0" fillId="0" borderId="13" xfId="0" applyNumberFormat="1" applyBorder="1"/>
    <xf numFmtId="43" fontId="0" fillId="0" borderId="14" xfId="0" applyNumberFormat="1" applyBorder="1"/>
    <xf numFmtId="0" fontId="0" fillId="5" borderId="12" xfId="0" applyFill="1" applyBorder="1" applyAlignment="1">
      <alignment horizontal="center" vertical="center"/>
    </xf>
    <xf numFmtId="165" fontId="0" fillId="0" borderId="13" xfId="0" applyNumberFormat="1" applyBorder="1"/>
    <xf numFmtId="165" fontId="5" fillId="0" borderId="13" xfId="0" applyNumberFormat="1" applyFont="1" applyBorder="1"/>
    <xf numFmtId="2" fontId="0" fillId="0" borderId="14" xfId="4" applyNumberFormat="1" applyFont="1" applyBorder="1"/>
    <xf numFmtId="0" fontId="2" fillId="0" borderId="0" xfId="0" applyFont="1" applyBorder="1"/>
    <xf numFmtId="0" fontId="7" fillId="0" borderId="5" xfId="0" applyFont="1" applyBorder="1"/>
    <xf numFmtId="0" fontId="7" fillId="0" borderId="0" xfId="0" applyFont="1" applyBorder="1"/>
    <xf numFmtId="4" fontId="7" fillId="0" borderId="3" xfId="3" applyNumberFormat="1" applyFont="1" applyFill="1" applyBorder="1" applyAlignment="1">
      <alignment horizontal="left" vertical="center" wrapText="1"/>
    </xf>
    <xf numFmtId="43" fontId="7" fillId="0" borderId="4" xfId="1" applyFont="1" applyFill="1" applyBorder="1"/>
    <xf numFmtId="9" fontId="0" fillId="0" borderId="0" xfId="4" applyFont="1"/>
    <xf numFmtId="166" fontId="0" fillId="0" borderId="0" xfId="4" applyNumberFormat="1" applyFont="1"/>
    <xf numFmtId="10" fontId="0" fillId="0" borderId="0" xfId="4" applyNumberFormat="1" applyFont="1"/>
    <xf numFmtId="0" fontId="2" fillId="0" borderId="0" xfId="0" applyFont="1" applyAlignment="1">
      <alignment horizontal="right"/>
    </xf>
    <xf numFmtId="168" fontId="0" fillId="0" borderId="0" xfId="0" applyNumberFormat="1" applyFont="1"/>
    <xf numFmtId="43" fontId="4" fillId="4" borderId="0" xfId="0" applyNumberFormat="1" applyFont="1" applyFill="1" applyBorder="1"/>
    <xf numFmtId="0" fontId="0" fillId="4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43" fontId="0" fillId="4" borderId="0" xfId="0" applyNumberFormat="1" applyFill="1" applyBorder="1"/>
    <xf numFmtId="43" fontId="0" fillId="4" borderId="8" xfId="0" applyNumberFormat="1" applyFill="1" applyBorder="1"/>
    <xf numFmtId="0" fontId="0" fillId="4" borderId="15" xfId="0" applyFont="1" applyFill="1" applyBorder="1"/>
    <xf numFmtId="165" fontId="0" fillId="0" borderId="16" xfId="0" applyNumberFormat="1" applyBorder="1"/>
    <xf numFmtId="165" fontId="0" fillId="0" borderId="17" xfId="0" applyNumberFormat="1" applyBorder="1"/>
    <xf numFmtId="0" fontId="4" fillId="4" borderId="7" xfId="0" applyFont="1" applyFill="1" applyBorder="1" applyAlignment="1">
      <alignment vertical="center"/>
    </xf>
    <xf numFmtId="0" fontId="4" fillId="0" borderId="0" xfId="0" applyFont="1"/>
    <xf numFmtId="165" fontId="4" fillId="4" borderId="0" xfId="0" applyNumberFormat="1" applyFont="1" applyFill="1" applyBorder="1"/>
    <xf numFmtId="165" fontId="4" fillId="4" borderId="8" xfId="0" applyNumberFormat="1" applyFont="1" applyFill="1" applyBorder="1"/>
    <xf numFmtId="43" fontId="4" fillId="4" borderId="8" xfId="0" applyNumberFormat="1" applyFont="1" applyFill="1" applyBorder="1"/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4" fontId="4" fillId="4" borderId="7" xfId="3" applyNumberFormat="1" applyFont="1" applyFill="1" applyBorder="1" applyAlignment="1">
      <alignment horizontal="center" vertical="center" wrapText="1"/>
    </xf>
    <xf numFmtId="4" fontId="4" fillId="4" borderId="2" xfId="3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7" xfId="0" applyFont="1" applyFill="1" applyBorder="1" applyAlignment="1">
      <alignment horizontal="center" vertical="center" wrapText="1"/>
    </xf>
    <xf numFmtId="166" fontId="0" fillId="4" borderId="0" xfId="4" applyNumberFormat="1" applyFont="1" applyFill="1" applyBorder="1"/>
    <xf numFmtId="166" fontId="0" fillId="4" borderId="8" xfId="4" applyNumberFormat="1" applyFont="1" applyFill="1" applyBorder="1"/>
    <xf numFmtId="0" fontId="4" fillId="4" borderId="0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20" xfId="0" applyFont="1" applyFill="1" applyBorder="1" applyAlignment="1">
      <alignment horizontal="center" vertical="center"/>
    </xf>
    <xf numFmtId="165" fontId="0" fillId="0" borderId="21" xfId="0" applyNumberFormat="1" applyBorder="1"/>
    <xf numFmtId="165" fontId="0" fillId="0" borderId="22" xfId="0" applyNumberFormat="1" applyBorder="1"/>
    <xf numFmtId="0" fontId="4" fillId="0" borderId="7" xfId="0" applyFont="1" applyBorder="1" applyAlignment="1">
      <alignment vertical="center"/>
    </xf>
    <xf numFmtId="0" fontId="0" fillId="4" borderId="23" xfId="0" applyFont="1" applyFill="1" applyBorder="1" applyAlignment="1">
      <alignment vertical="center"/>
    </xf>
    <xf numFmtId="0" fontId="4" fillId="0" borderId="0" xfId="0" applyFont="1" applyBorder="1"/>
    <xf numFmtId="165" fontId="0" fillId="0" borderId="24" xfId="0" applyNumberFormat="1" applyBorder="1"/>
    <xf numFmtId="0" fontId="4" fillId="0" borderId="8" xfId="0" applyFont="1" applyBorder="1"/>
    <xf numFmtId="165" fontId="0" fillId="0" borderId="25" xfId="0" applyNumberFormat="1" applyBorder="1"/>
    <xf numFmtId="167" fontId="0" fillId="0" borderId="0" xfId="0" applyNumberFormat="1"/>
    <xf numFmtId="0" fontId="2" fillId="4" borderId="7" xfId="0" applyFont="1" applyFill="1" applyBorder="1" applyAlignment="1">
      <alignment horizontal="center"/>
    </xf>
    <xf numFmtId="165" fontId="0" fillId="4" borderId="0" xfId="0" applyNumberFormat="1" applyFont="1" applyFill="1" applyBorder="1" applyAlignment="1">
      <alignment horizontal="center"/>
    </xf>
    <xf numFmtId="169" fontId="0" fillId="0" borderId="0" xfId="0" applyNumberFormat="1"/>
    <xf numFmtId="0" fontId="0" fillId="4" borderId="3" xfId="0" applyFont="1" applyFill="1" applyBorder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170" fontId="15" fillId="8" borderId="28" xfId="2" applyNumberFormat="1" applyFont="1" applyFill="1" applyBorder="1" applyAlignment="1">
      <alignment horizontal="center" vertical="center"/>
    </xf>
    <xf numFmtId="170" fontId="15" fillId="8" borderId="29" xfId="2" applyNumberFormat="1" applyFont="1" applyFill="1" applyBorder="1" applyAlignment="1">
      <alignment horizontal="center" vertical="center"/>
    </xf>
    <xf numFmtId="170" fontId="14" fillId="8" borderId="28" xfId="2" applyNumberFormat="1" applyFont="1" applyFill="1" applyBorder="1" applyAlignment="1">
      <alignment horizontal="center" vertical="center"/>
    </xf>
    <xf numFmtId="9" fontId="4" fillId="0" borderId="0" xfId="4" applyFont="1"/>
    <xf numFmtId="43" fontId="0" fillId="0" borderId="0" xfId="1" applyFont="1" applyAlignment="1">
      <alignment vertical="center"/>
    </xf>
    <xf numFmtId="0" fontId="0" fillId="0" borderId="0" xfId="0"/>
    <xf numFmtId="4" fontId="14" fillId="7" borderId="26" xfId="3" applyNumberFormat="1" applyFont="1" applyFill="1" applyBorder="1" applyAlignment="1">
      <alignment vertical="center"/>
    </xf>
    <xf numFmtId="4" fontId="16" fillId="8" borderId="26" xfId="15" applyNumberFormat="1" applyFont="1" applyFill="1" applyBorder="1" applyAlignment="1">
      <alignment vertical="center"/>
    </xf>
    <xf numFmtId="4" fontId="16" fillId="8" borderId="27" xfId="15" applyNumberFormat="1" applyFont="1" applyFill="1" applyBorder="1" applyAlignment="1">
      <alignment vertical="center"/>
    </xf>
    <xf numFmtId="0" fontId="0" fillId="0" borderId="1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24">
    <cellStyle name="Comma" xfId="1" builtinId="3"/>
    <cellStyle name="Estilo 1" xfId="5" xr:uid="{00000000-0005-0000-0000-000000000000}"/>
    <cellStyle name="Hipervínculo 2" xfId="6" xr:uid="{00000000-0005-0000-0000-000001000000}"/>
    <cellStyle name="Millares [0] 2" xfId="2" xr:uid="{00000000-0005-0000-0000-000003000000}"/>
    <cellStyle name="Millares 117" xfId="21" xr:uid="{00000000-0005-0000-0000-000004000000}"/>
    <cellStyle name="Millares 2" xfId="7" xr:uid="{00000000-0005-0000-0000-000005000000}"/>
    <cellStyle name="Millares 3" xfId="8" xr:uid="{00000000-0005-0000-0000-000006000000}"/>
    <cellStyle name="Millares 4" xfId="20" xr:uid="{00000000-0005-0000-0000-000007000000}"/>
    <cellStyle name="Millares 5" xfId="23" xr:uid="{00000000-0005-0000-0000-000008000000}"/>
    <cellStyle name="Normal" xfId="0" builtinId="0"/>
    <cellStyle name="Normal 2" xfId="9" xr:uid="{00000000-0005-0000-0000-00000A000000}"/>
    <cellStyle name="Normal 2 2" xfId="10" xr:uid="{00000000-0005-0000-0000-00000B000000}"/>
    <cellStyle name="Normal 2 2 2" xfId="11" xr:uid="{00000000-0005-0000-0000-00000C000000}"/>
    <cellStyle name="Normal 2 3" xfId="12" xr:uid="{00000000-0005-0000-0000-00000D000000}"/>
    <cellStyle name="Normal 3" xfId="13" xr:uid="{00000000-0005-0000-0000-00000E000000}"/>
    <cellStyle name="Normal 3 2" xfId="14" xr:uid="{00000000-0005-0000-0000-00000F000000}"/>
    <cellStyle name="Normal 4" xfId="3" xr:uid="{00000000-0005-0000-0000-000010000000}"/>
    <cellStyle name="Normal 5" xfId="19" xr:uid="{00000000-0005-0000-0000-000011000000}"/>
    <cellStyle name="Normal 5 2" xfId="22" xr:uid="{00000000-0005-0000-0000-000012000000}"/>
    <cellStyle name="Normal_ANEXOA1-1" xfId="15" xr:uid="{00000000-0005-0000-0000-000013000000}"/>
    <cellStyle name="Percent" xfId="4" builtinId="5"/>
    <cellStyle name="Porcentaje 2" xfId="16" xr:uid="{00000000-0005-0000-0000-000015000000}"/>
    <cellStyle name="Porcentaje 3" xfId="17" xr:uid="{00000000-0005-0000-0000-000016000000}"/>
    <cellStyle name="Porcentaje 4" xfId="18" xr:uid="{00000000-0005-0000-0000-00001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undación Bariloche" id="{F8ECDEBD-2055-4970-B6EE-A5483F1037D2}" userId="f40406e19ada4991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2-02-21T14:53:31.21" personId="{F8ECDEBD-2055-4970-B6EE-A5483F1037D2}" id="{6D0BFC02-310A-47F5-8F70-0E39E424F882}">
    <text>https://www.energia.gob.cl/sites/default/files/documentos/resumen_ejecutivo_caracterizacion_residencial_2018.pdf</text>
  </threadedComment>
  <threadedComment ref="F9" dT="2022-02-23T13:04:34.60" personId="{F8ECDEBD-2055-4970-B6EE-A5483F1037D2}" id="{23CB12AE-C5FD-4DE4-868F-46C2DF57529E}">
    <text>100% leña?</text>
  </threadedComment>
  <threadedComment ref="C25" dT="2022-02-21T14:49:06.93" personId="{F8ECDEBD-2055-4970-B6EE-A5483F1037D2}" id="{EB079D20-085C-4888-9F5A-29B47BBB1182}">
    <text>Teracalorias según BEN 2019 (hoja Balance de Energía! X59)</text>
  </threadedComment>
  <threadedComment ref="C39" dT="2022-02-21T14:50:01.32" personId="{F8ECDEBD-2055-4970-B6EE-A5483F1037D2}" id="{C0459BD3-5C68-4022-9EAE-58E9D836B0A8}">
    <text>Teracalorias según BEN 2019 (hoja Balance de Energía! AE59)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2-02-23T12:26:27.24" personId="{F8ECDEBD-2055-4970-B6EE-A5483F1037D2}" id="{8C7D630B-9BC2-492D-A822-82A4D4E82969}">
    <text>http://old.acee.cl/576/articles-61760_doc_pdf.pdf</text>
  </threadedComment>
  <threadedComment ref="H4" dT="2022-02-23T12:55:44.27" personId="{F8ECDEBD-2055-4970-B6EE-A5483F1037D2}" id="{8251A336-E789-464B-B76D-64D3C7A2E708}">
    <text>todo leña? imputado como 90% calefacción, 10% cocción.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workbookViewId="0">
      <selection activeCell="C7" sqref="C7"/>
    </sheetView>
  </sheetViews>
  <sheetFormatPr defaultColWidth="11.42578125" defaultRowHeight="15"/>
  <cols>
    <col min="2" max="2" width="18.85546875" bestFit="1" customWidth="1"/>
    <col min="4" max="4" width="14.7109375" customWidth="1"/>
    <col min="5" max="5" width="13" bestFit="1" customWidth="1"/>
    <col min="6" max="6" width="11.140625" bestFit="1" customWidth="1"/>
    <col min="7" max="7" width="12.140625" bestFit="1" customWidth="1"/>
    <col min="8" max="8" width="9.85546875" customWidth="1"/>
    <col min="9" max="9" width="19.140625" bestFit="1" customWidth="1"/>
    <col min="12" max="12" width="19" bestFit="1" customWidth="1"/>
    <col min="13" max="13" width="5.7109375" customWidth="1"/>
  </cols>
  <sheetData>
    <row r="1" spans="1:14" s="69" customFormat="1" ht="52.5" customHeight="1">
      <c r="A1" s="153" t="s">
        <v>103</v>
      </c>
      <c r="B1" s="114"/>
      <c r="C1" s="102" t="s">
        <v>98</v>
      </c>
      <c r="D1" s="121" t="s">
        <v>99</v>
      </c>
      <c r="E1" s="102"/>
      <c r="F1" s="109" t="s">
        <v>25</v>
      </c>
      <c r="G1" s="109" t="s">
        <v>100</v>
      </c>
      <c r="H1" s="109" t="s">
        <v>27</v>
      </c>
      <c r="I1" s="131"/>
      <c r="J1" s="131"/>
      <c r="K1" s="131"/>
      <c r="L1" s="132" t="s">
        <v>97</v>
      </c>
      <c r="N1" s="69" t="s">
        <v>118</v>
      </c>
    </row>
    <row r="2" spans="1:14">
      <c r="A2" s="154"/>
      <c r="B2" s="47" t="str">
        <f>+Households!E23</f>
        <v>Heating &amp; hot water</v>
      </c>
      <c r="C2" s="48">
        <f>+Households!F23</f>
        <v>870.34584142060362</v>
      </c>
      <c r="D2" s="48">
        <f>+Households!G23</f>
        <v>14247.4793493614</v>
      </c>
      <c r="E2" s="48">
        <f>+Households!H23</f>
        <v>0</v>
      </c>
      <c r="F2" s="111">
        <f>+Households!I23</f>
        <v>1324.1311888512582</v>
      </c>
      <c r="G2" s="111">
        <f>+Households!J23</f>
        <v>13423.79698025825</v>
      </c>
      <c r="H2" s="101">
        <f>+Households!K23</f>
        <v>4.0019290130399998</v>
      </c>
      <c r="I2" s="133"/>
      <c r="J2" s="133"/>
      <c r="K2" s="133"/>
      <c r="L2" s="134">
        <f>+Households!L23</f>
        <v>29869.755288904551</v>
      </c>
    </row>
    <row r="3" spans="1:14" ht="15.75" thickBot="1">
      <c r="A3" s="155"/>
      <c r="B3" s="49" t="s">
        <v>69</v>
      </c>
      <c r="C3" s="50">
        <f>+Households!F24</f>
        <v>466.13153117694071</v>
      </c>
      <c r="D3" s="50">
        <f>+Households!G24</f>
        <v>1937.3205476752921</v>
      </c>
      <c r="E3" s="50">
        <f>+Households!H24</f>
        <v>0</v>
      </c>
      <c r="F3" s="112">
        <f>+Households!I24</f>
        <v>0</v>
      </c>
      <c r="G3" s="112">
        <f>+Households!J24</f>
        <v>4474.5989934194167</v>
      </c>
      <c r="H3" s="113">
        <f>+Households!K24</f>
        <v>0.54416778696000001</v>
      </c>
      <c r="I3" s="135"/>
      <c r="J3" s="135"/>
      <c r="K3" s="135"/>
      <c r="L3" s="136">
        <f>+Households!L24</f>
        <v>6878.5952400586102</v>
      </c>
    </row>
    <row r="4" spans="1:14">
      <c r="B4" t="s">
        <v>119</v>
      </c>
      <c r="F4" s="110"/>
      <c r="G4" s="110"/>
      <c r="H4" s="110"/>
      <c r="I4" s="110"/>
      <c r="J4" s="110"/>
      <c r="K4" s="147">
        <f>+L4/N4</f>
        <v>0.78031306811134371</v>
      </c>
      <c r="L4" s="3">
        <f>+Households!L25</f>
        <v>36748.350528963158</v>
      </c>
      <c r="N4" s="148">
        <f>+'2019 ENERGY BALANCE'!D7</f>
        <v>47094.367672078377</v>
      </c>
    </row>
    <row r="5" spans="1:14" ht="15.75" thickBot="1">
      <c r="F5" s="110"/>
      <c r="G5" s="110"/>
      <c r="H5" s="110"/>
      <c r="I5" s="110"/>
      <c r="J5" s="110"/>
      <c r="K5" s="110"/>
    </row>
    <row r="6" spans="1:14" s="120" customFormat="1" ht="45" customHeight="1">
      <c r="A6" s="153" t="s">
        <v>104</v>
      </c>
      <c r="B6" s="115"/>
      <c r="C6" s="116" t="str">
        <f>+C1</f>
        <v>Electricity</v>
      </c>
      <c r="D6" s="121" t="s">
        <v>102</v>
      </c>
      <c r="E6" s="116" t="s">
        <v>101</v>
      </c>
      <c r="F6" s="117" t="s">
        <v>54</v>
      </c>
      <c r="G6" s="117" t="str">
        <f>+G1</f>
        <v>Fire-wood</v>
      </c>
      <c r="H6" s="117" t="s">
        <v>27</v>
      </c>
      <c r="I6" s="117"/>
      <c r="J6" s="118" t="s">
        <v>39</v>
      </c>
      <c r="K6" s="119" t="s">
        <v>40</v>
      </c>
      <c r="L6" s="128" t="s">
        <v>97</v>
      </c>
    </row>
    <row r="7" spans="1:14">
      <c r="A7" s="154"/>
      <c r="B7" s="47" t="str">
        <f>+B2</f>
        <v>Heating &amp; hot water</v>
      </c>
      <c r="C7" s="48">
        <f>+CommPubServices!I30</f>
        <v>2355.1464821219242</v>
      </c>
      <c r="D7" s="48">
        <f>+CommPubServices!J30</f>
        <v>2630.996992162552</v>
      </c>
      <c r="E7" s="48">
        <f>+CommPubServices!K30</f>
        <v>121.89553453575984</v>
      </c>
      <c r="F7" s="111">
        <f>+CommPubServices!L30</f>
        <v>318.18727510797567</v>
      </c>
      <c r="G7" s="111">
        <f>+CommPubServices!M30</f>
        <v>55.73316583309645</v>
      </c>
      <c r="H7" s="101">
        <f>+CommPubServices!N30</f>
        <v>10.439589348977677</v>
      </c>
      <c r="I7" s="124"/>
      <c r="J7" s="124" t="str">
        <f>+CommPubServices!P30</f>
        <v>-</v>
      </c>
      <c r="K7" s="125" t="str">
        <f>+CommPubServices!Q30</f>
        <v>-</v>
      </c>
      <c r="L7" s="129">
        <f>+CommPubServices!R30</f>
        <v>5492.3990391102852</v>
      </c>
    </row>
    <row r="8" spans="1:14" ht="15.75" thickBot="1">
      <c r="A8" s="155"/>
      <c r="B8" s="49" t="s">
        <v>69</v>
      </c>
      <c r="C8" s="50">
        <f>+CommPubServices!I31</f>
        <v>404.37908254693275</v>
      </c>
      <c r="D8" s="50">
        <f>+CommPubServices!J31</f>
        <v>3394.8140573623973</v>
      </c>
      <c r="E8" s="50">
        <f>+CommPubServices!K31</f>
        <v>356.85962380522938</v>
      </c>
      <c r="F8" s="112">
        <f>+CommPubServices!L31</f>
        <v>236.73743367970309</v>
      </c>
      <c r="G8" s="112">
        <f>+CommPubServices!M31</f>
        <v>6.1925739814551619</v>
      </c>
      <c r="H8" s="113">
        <f>+CommPubServices!N31</f>
        <v>13.470355451022325</v>
      </c>
      <c r="I8" s="126"/>
      <c r="J8" s="126" t="str">
        <f>+CommPubServices!P31</f>
        <v>-</v>
      </c>
      <c r="K8" s="127" t="str">
        <f>+CommPubServices!Q31</f>
        <v>-</v>
      </c>
      <c r="L8" s="130">
        <f>+CommPubServices!R31</f>
        <v>4412.4531268267401</v>
      </c>
    </row>
    <row r="9" spans="1:14">
      <c r="B9" s="10" t="str">
        <f>+B4</f>
        <v>thermal uses</v>
      </c>
      <c r="C9" s="21"/>
      <c r="D9" s="9"/>
      <c r="E9" s="9"/>
      <c r="F9" s="110"/>
      <c r="G9" s="110"/>
      <c r="H9" s="110"/>
      <c r="I9" s="110"/>
      <c r="J9" s="110"/>
      <c r="K9" s="147">
        <f>+L9/N9</f>
        <v>0.50770688975814648</v>
      </c>
      <c r="L9" s="3">
        <f>+CommPubServices!R32</f>
        <v>9904.8521659370253</v>
      </c>
      <c r="N9">
        <f>+'2019 ENERGY BALANCE'!D4+'2019 ENERGY BALANCE'!D5+'2019 ENERGY BALANCE'!D6</f>
        <v>19508.996954237406</v>
      </c>
    </row>
    <row r="10" spans="1:14">
      <c r="F10" s="110"/>
      <c r="G10" s="110"/>
      <c r="H10" s="110"/>
      <c r="I10" s="110"/>
      <c r="J10" s="110"/>
      <c r="K10" s="110"/>
    </row>
    <row r="11" spans="1:14" ht="15.75" thickBot="1"/>
    <row r="12" spans="1:14" ht="30">
      <c r="A12" s="153" t="s">
        <v>103</v>
      </c>
      <c r="B12" s="114"/>
      <c r="C12" s="102" t="s">
        <v>98</v>
      </c>
      <c r="D12" s="121" t="s">
        <v>99</v>
      </c>
      <c r="E12" s="102"/>
      <c r="F12" s="109" t="s">
        <v>25</v>
      </c>
      <c r="G12" s="109" t="s">
        <v>100</v>
      </c>
      <c r="H12" s="109" t="s">
        <v>27</v>
      </c>
      <c r="I12" s="61"/>
      <c r="J12" s="61"/>
      <c r="K12" s="61"/>
      <c r="L12" s="62"/>
    </row>
    <row r="13" spans="1:14">
      <c r="A13" s="154"/>
      <c r="B13" s="47" t="str">
        <f>+B7</f>
        <v>Heating &amp; hot water</v>
      </c>
      <c r="C13" s="122">
        <f>+C2/$L2</f>
        <v>2.9138030526279644E-2</v>
      </c>
      <c r="D13" s="122">
        <f t="shared" ref="D13:G13" si="0">+D2/$L2</f>
        <v>0.47698681196272746</v>
      </c>
      <c r="E13" s="122"/>
      <c r="F13" s="122">
        <f t="shared" si="0"/>
        <v>4.433016528070189E-2</v>
      </c>
      <c r="G13" s="122">
        <f t="shared" si="0"/>
        <v>0.44941101292666658</v>
      </c>
      <c r="H13" s="122"/>
      <c r="I13" s="63"/>
      <c r="J13" s="63"/>
      <c r="K13" s="63"/>
      <c r="L13" s="65"/>
    </row>
    <row r="14" spans="1:14" ht="15.75" thickBot="1">
      <c r="A14" s="155"/>
      <c r="B14" s="49" t="s">
        <v>69</v>
      </c>
      <c r="C14" s="123">
        <f>+C3/$L3</f>
        <v>6.7765512420668167E-2</v>
      </c>
      <c r="D14" s="123">
        <f t="shared" ref="D14:G14" si="1">+D3/$L3</f>
        <v>0.28164479520367663</v>
      </c>
      <c r="E14" s="123"/>
      <c r="F14" s="123">
        <f t="shared" si="1"/>
        <v>0</v>
      </c>
      <c r="G14" s="123">
        <f t="shared" si="1"/>
        <v>0.65051058206781331</v>
      </c>
      <c r="H14" s="123"/>
      <c r="I14" s="67"/>
      <c r="J14" s="67"/>
      <c r="K14" s="67"/>
      <c r="L14" s="68"/>
    </row>
    <row r="15" spans="1:14" ht="15.75" thickBot="1"/>
    <row r="16" spans="1:14" ht="30">
      <c r="A16" s="153" t="s">
        <v>104</v>
      </c>
      <c r="B16" s="115"/>
      <c r="C16" s="116"/>
      <c r="D16" s="121" t="s">
        <v>102</v>
      </c>
      <c r="E16" s="116" t="s">
        <v>101</v>
      </c>
      <c r="F16" s="117" t="s">
        <v>54</v>
      </c>
      <c r="G16" s="117" t="str">
        <f>+G6</f>
        <v>Fire-wood</v>
      </c>
      <c r="H16" s="117" t="s">
        <v>27</v>
      </c>
      <c r="I16" s="117"/>
      <c r="J16" s="61"/>
      <c r="K16" s="61"/>
      <c r="L16" s="62"/>
    </row>
    <row r="17" spans="1:12">
      <c r="A17" s="154"/>
      <c r="B17" s="47" t="str">
        <f>+B13</f>
        <v>Heating &amp; hot water</v>
      </c>
      <c r="C17" s="122">
        <f>+C7/$L7</f>
        <v>0.42880105129860246</v>
      </c>
      <c r="D17" s="122">
        <f t="shared" ref="D17:H18" si="2">+D7/$L7</f>
        <v>0.4790250987642638</v>
      </c>
      <c r="E17" s="122">
        <f t="shared" si="2"/>
        <v>2.2193495714307333E-2</v>
      </c>
      <c r="F17" s="122">
        <f t="shared" si="2"/>
        <v>5.7932293855968424E-2</v>
      </c>
      <c r="G17" s="122">
        <f t="shared" si="2"/>
        <v>1.014732641168852E-2</v>
      </c>
      <c r="H17" s="122">
        <f t="shared" si="2"/>
        <v>1.900733955169577E-3</v>
      </c>
      <c r="I17" s="122"/>
      <c r="J17" s="63"/>
      <c r="K17" s="63"/>
      <c r="L17" s="65"/>
    </row>
    <row r="18" spans="1:12" ht="15.75" thickBot="1">
      <c r="A18" s="155"/>
      <c r="B18" s="49" t="s">
        <v>69</v>
      </c>
      <c r="C18" s="123">
        <f>+C8/$L8</f>
        <v>9.1644958240666013E-2</v>
      </c>
      <c r="D18" s="123">
        <f t="shared" si="2"/>
        <v>0.76937113206317775</v>
      </c>
      <c r="E18" s="123">
        <f t="shared" si="2"/>
        <v>8.0875561404970334E-2</v>
      </c>
      <c r="F18" s="123">
        <f t="shared" si="2"/>
        <v>5.3652112980054519E-2</v>
      </c>
      <c r="G18" s="123">
        <f t="shared" si="2"/>
        <v>1.4034311081528958E-3</v>
      </c>
      <c r="H18" s="123">
        <f t="shared" si="2"/>
        <v>3.0528042029785065E-3</v>
      </c>
      <c r="I18" s="123"/>
      <c r="J18" s="67"/>
      <c r="K18" s="67"/>
      <c r="L18" s="68"/>
    </row>
    <row r="21" spans="1:12">
      <c r="A21" t="s">
        <v>105</v>
      </c>
    </row>
  </sheetData>
  <mergeCells count="4">
    <mergeCell ref="A6:A8"/>
    <mergeCell ref="A1:A3"/>
    <mergeCell ref="A12:A14"/>
    <mergeCell ref="A16:A1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9"/>
  <sheetViews>
    <sheetView topLeftCell="B1" workbookViewId="0">
      <selection activeCell="D1" sqref="D1"/>
    </sheetView>
  </sheetViews>
  <sheetFormatPr defaultColWidth="11.42578125" defaultRowHeight="15"/>
  <cols>
    <col min="1" max="1" width="33.140625" bestFit="1" customWidth="1"/>
    <col min="2" max="2" width="8.140625" bestFit="1" customWidth="1"/>
    <col min="3" max="3" width="11" bestFit="1" customWidth="1"/>
    <col min="4" max="4" width="6.42578125" customWidth="1"/>
    <col min="5" max="5" width="15.42578125" customWidth="1"/>
    <col min="6" max="6" width="26" customWidth="1"/>
    <col min="7" max="7" width="12" bestFit="1" customWidth="1"/>
    <col min="9" max="9" width="30.85546875" customWidth="1"/>
    <col min="10" max="10" width="12" bestFit="1" customWidth="1"/>
    <col min="12" max="12" width="12" bestFit="1" customWidth="1"/>
    <col min="13" max="13" width="13.28515625" customWidth="1"/>
    <col min="14" max="14" width="12.7109375" customWidth="1"/>
  </cols>
  <sheetData>
    <row r="1" spans="1:15" ht="15.75" thickBot="1">
      <c r="A1" t="s">
        <v>109</v>
      </c>
      <c r="D1" t="s">
        <v>29</v>
      </c>
      <c r="L1" s="158" t="s">
        <v>85</v>
      </c>
      <c r="M1" s="159"/>
      <c r="N1" s="159"/>
      <c r="O1" s="160"/>
    </row>
    <row r="2" spans="1:15" ht="30">
      <c r="A2" t="s">
        <v>0</v>
      </c>
      <c r="B2" s="1">
        <v>0.58889999999999998</v>
      </c>
      <c r="C2" s="4">
        <f>B2*$C$7</f>
        <v>9531.2286593649078</v>
      </c>
      <c r="I2" s="70" t="s">
        <v>88</v>
      </c>
      <c r="J2" s="71" t="s">
        <v>91</v>
      </c>
      <c r="K2" s="71" t="s">
        <v>92</v>
      </c>
      <c r="L2" s="84" t="s">
        <v>89</v>
      </c>
      <c r="M2" s="71" t="s">
        <v>90</v>
      </c>
      <c r="N2" s="87" t="s">
        <v>87</v>
      </c>
      <c r="O2" s="72" t="s">
        <v>86</v>
      </c>
    </row>
    <row r="3" spans="1:15">
      <c r="A3" s="27" t="s">
        <v>1</v>
      </c>
      <c r="B3" s="41">
        <v>0.2399</v>
      </c>
      <c r="C3" s="42">
        <f t="shared" ref="C3:C6" si="0">B3*$C$7</f>
        <v>3882.7334952991027</v>
      </c>
      <c r="I3" s="5" t="s">
        <v>0</v>
      </c>
      <c r="J3" s="73">
        <f>$J$8*K3</f>
        <v>2225.7702554867992</v>
      </c>
      <c r="K3" s="64">
        <v>0.4</v>
      </c>
      <c r="L3" s="85">
        <f>$L$8*M3</f>
        <v>6903.2432679078029</v>
      </c>
      <c r="M3" s="64">
        <v>0.65</v>
      </c>
      <c r="N3" s="88">
        <f>O3*$C$7</f>
        <v>9531.2286593649078</v>
      </c>
      <c r="O3" s="74">
        <v>0.58889999999999998</v>
      </c>
    </row>
    <row r="4" spans="1:15" ht="15.75" thickBot="1">
      <c r="A4" s="27" t="s">
        <v>2</v>
      </c>
      <c r="B4" s="41">
        <v>4.58E-2</v>
      </c>
      <c r="C4" s="42">
        <f t="shared" si="0"/>
        <v>741.26383528428062</v>
      </c>
      <c r="F4" s="137" t="s">
        <v>107</v>
      </c>
      <c r="H4" s="69"/>
      <c r="I4" s="75" t="s">
        <v>1</v>
      </c>
      <c r="J4" s="73">
        <f t="shared" ref="J4:J7" si="1">$J$8*K4</f>
        <v>2170.1259990996291</v>
      </c>
      <c r="K4" s="64">
        <v>0.39</v>
      </c>
      <c r="L4" s="85">
        <f t="shared" ref="L4:L7" si="2">O4*$L$8</f>
        <v>2547.8277845708953</v>
      </c>
      <c r="M4" s="64">
        <v>0.15</v>
      </c>
      <c r="N4" s="89">
        <f>O4*$C$7</f>
        <v>3882.7334952991027</v>
      </c>
      <c r="O4" s="76">
        <v>0.2399</v>
      </c>
    </row>
    <row r="5" spans="1:15">
      <c r="A5" s="27" t="s">
        <v>3</v>
      </c>
      <c r="B5" s="41">
        <v>0.1197</v>
      </c>
      <c r="C5" s="42">
        <f t="shared" si="0"/>
        <v>1937.3205476752921</v>
      </c>
      <c r="E5" s="156" t="s">
        <v>28</v>
      </c>
      <c r="F5" s="157"/>
      <c r="H5" s="69"/>
      <c r="I5" s="75" t="s">
        <v>2</v>
      </c>
      <c r="J5" s="73">
        <f t="shared" si="1"/>
        <v>556.4425638716998</v>
      </c>
      <c r="K5" s="64">
        <v>0.1</v>
      </c>
      <c r="L5" s="85">
        <f t="shared" si="2"/>
        <v>486.41314103104207</v>
      </c>
      <c r="M5" s="64">
        <v>0.04</v>
      </c>
      <c r="N5" s="89">
        <f>O5*$C$7</f>
        <v>741.26383528428062</v>
      </c>
      <c r="O5" s="76">
        <v>4.58E-2</v>
      </c>
    </row>
    <row r="6" spans="1:15">
      <c r="A6" t="s">
        <v>4</v>
      </c>
      <c r="B6" s="1">
        <v>5.7000000000000002E-3</v>
      </c>
      <c r="C6" s="4">
        <f t="shared" si="0"/>
        <v>92.253359413109152</v>
      </c>
      <c r="E6" s="5" t="s">
        <v>23</v>
      </c>
      <c r="F6" s="81">
        <v>5564.425638716998</v>
      </c>
      <c r="H6" s="69"/>
      <c r="I6" s="75" t="s">
        <v>3</v>
      </c>
      <c r="J6" s="73">
        <f t="shared" si="1"/>
        <v>556.4425638716998</v>
      </c>
      <c r="K6" s="64">
        <v>0.1</v>
      </c>
      <c r="L6" s="85">
        <f t="shared" si="2"/>
        <v>1271.2587987208676</v>
      </c>
      <c r="M6" s="64">
        <v>0.15</v>
      </c>
      <c r="N6" s="89">
        <f>O6*$C$7</f>
        <v>1937.3205476752921</v>
      </c>
      <c r="O6" s="76">
        <v>0.1197</v>
      </c>
    </row>
    <row r="7" spans="1:15">
      <c r="B7" s="1">
        <f>SUM(B2:B6)</f>
        <v>1</v>
      </c>
      <c r="C7" s="3">
        <f>SUM(F6:F7)</f>
        <v>16184.799897036693</v>
      </c>
      <c r="E7" s="5" t="s">
        <v>24</v>
      </c>
      <c r="F7" s="81">
        <v>10620.374258319696</v>
      </c>
      <c r="H7" s="69"/>
      <c r="I7" s="5" t="s">
        <v>4</v>
      </c>
      <c r="J7" s="73">
        <f t="shared" si="1"/>
        <v>55.644256387169982</v>
      </c>
      <c r="K7" s="64">
        <v>0.01</v>
      </c>
      <c r="L7" s="85">
        <f t="shared" si="2"/>
        <v>60.536133272422269</v>
      </c>
      <c r="M7" s="64">
        <v>0.01</v>
      </c>
      <c r="N7" s="88">
        <f>O7*$C$7</f>
        <v>92.253359413109152</v>
      </c>
      <c r="O7" s="74">
        <v>5.7000000000000002E-3</v>
      </c>
    </row>
    <row r="8" spans="1:15" ht="15.75" thickBot="1">
      <c r="E8" s="7" t="s">
        <v>25</v>
      </c>
      <c r="F8" s="83">
        <v>1324.1311888512582</v>
      </c>
      <c r="I8" s="77" t="s">
        <v>43</v>
      </c>
      <c r="J8" s="78">
        <f>F6</f>
        <v>5564.425638716998</v>
      </c>
      <c r="K8" s="79">
        <f>SUM(K3:K7)</f>
        <v>1</v>
      </c>
      <c r="L8" s="86">
        <f>F7</f>
        <v>10620.374258319696</v>
      </c>
      <c r="M8" s="79">
        <f>SUM(M3:M7)</f>
        <v>1</v>
      </c>
      <c r="N8" s="90">
        <f>SUM(N3:N7)</f>
        <v>16184.799897036692</v>
      </c>
      <c r="O8" s="80">
        <f>SUM(O3:O7)</f>
        <v>1</v>
      </c>
    </row>
    <row r="9" spans="1:15">
      <c r="A9" t="s">
        <v>108</v>
      </c>
      <c r="E9" s="5" t="s">
        <v>26</v>
      </c>
      <c r="F9" s="81">
        <v>17898.395973677667</v>
      </c>
    </row>
    <row r="10" spans="1:15" ht="15.75" thickBot="1">
      <c r="A10" t="s">
        <v>5</v>
      </c>
      <c r="B10" s="1">
        <v>2.1299999999999999E-2</v>
      </c>
      <c r="C10" s="2">
        <f>B10*$C$25</f>
        <v>248.83713318468264</v>
      </c>
      <c r="E10" s="8" t="s">
        <v>27</v>
      </c>
      <c r="F10" s="82">
        <v>4.5460967999999999</v>
      </c>
    </row>
    <row r="11" spans="1:15">
      <c r="A11" t="s">
        <v>6</v>
      </c>
      <c r="B11" s="1">
        <v>1.9800000000000002E-2</v>
      </c>
      <c r="C11" s="2">
        <f t="shared" ref="C11:C24" si="3">B11*$C$25</f>
        <v>231.31339141111346</v>
      </c>
      <c r="F11" s="31" t="s">
        <v>64</v>
      </c>
    </row>
    <row r="12" spans="1:15">
      <c r="A12" t="s">
        <v>7</v>
      </c>
      <c r="B12" s="1">
        <v>4.4999999999999998E-2</v>
      </c>
      <c r="C12" s="2">
        <f t="shared" si="3"/>
        <v>525.71225320707595</v>
      </c>
      <c r="E12" t="s">
        <v>44</v>
      </c>
      <c r="G12" t="s">
        <v>93</v>
      </c>
    </row>
    <row r="13" spans="1:15">
      <c r="A13" t="s">
        <v>8</v>
      </c>
      <c r="B13" s="1">
        <v>0.19370000000000001</v>
      </c>
      <c r="C13" s="2">
        <f t="shared" si="3"/>
        <v>2262.8991876935697</v>
      </c>
      <c r="E13" t="s">
        <v>30</v>
      </c>
      <c r="F13" s="6">
        <v>0.25</v>
      </c>
      <c r="G13" s="6">
        <f>+F13</f>
        <v>0.25</v>
      </c>
    </row>
    <row r="14" spans="1:15">
      <c r="A14" t="s">
        <v>9</v>
      </c>
      <c r="B14" s="1">
        <v>0.16850000000000001</v>
      </c>
      <c r="C14" s="2">
        <f t="shared" si="3"/>
        <v>1968.5003258976069</v>
      </c>
      <c r="E14" t="s">
        <v>31</v>
      </c>
      <c r="F14" s="6">
        <v>0.75</v>
      </c>
      <c r="G14" s="6">
        <f>+F14</f>
        <v>0.75</v>
      </c>
    </row>
    <row r="15" spans="1:15">
      <c r="A15" t="s">
        <v>10</v>
      </c>
      <c r="B15" s="1">
        <v>0.16320000000000001</v>
      </c>
      <c r="C15" s="2">
        <f t="shared" si="3"/>
        <v>1906.5831049643291</v>
      </c>
    </row>
    <row r="16" spans="1:15" ht="15.75" thickBot="1">
      <c r="A16" t="s">
        <v>11</v>
      </c>
      <c r="B16" s="1">
        <v>9.1800000000000007E-2</v>
      </c>
      <c r="C16" s="2">
        <f t="shared" si="3"/>
        <v>1072.4529965424351</v>
      </c>
    </row>
    <row r="17" spans="1:18">
      <c r="A17" t="s">
        <v>12</v>
      </c>
      <c r="B17" s="1">
        <v>1.6E-2</v>
      </c>
      <c r="C17" s="2">
        <f t="shared" si="3"/>
        <v>186.91991225140481</v>
      </c>
      <c r="F17" s="40" t="s">
        <v>66</v>
      </c>
      <c r="G17" s="32"/>
      <c r="H17" s="32"/>
      <c r="I17" s="32"/>
      <c r="J17" s="32"/>
      <c r="K17" s="32"/>
      <c r="L17" s="32"/>
      <c r="M17" s="33"/>
    </row>
    <row r="18" spans="1:18">
      <c r="A18" s="27" t="s">
        <v>13</v>
      </c>
      <c r="B18" s="41">
        <v>3.9899999999999998E-2</v>
      </c>
      <c r="C18" s="43">
        <f t="shared" si="3"/>
        <v>466.13153117694071</v>
      </c>
      <c r="F18" s="34" t="s">
        <v>68</v>
      </c>
      <c r="G18" s="35"/>
      <c r="H18" s="35"/>
      <c r="I18" s="35"/>
      <c r="J18" s="35"/>
      <c r="K18" s="35"/>
      <c r="L18" s="35"/>
      <c r="M18" s="36"/>
    </row>
    <row r="19" spans="1:18" ht="15.75" thickBot="1">
      <c r="A19" t="s">
        <v>14</v>
      </c>
      <c r="B19" s="1">
        <v>6.7000000000000004E-2</v>
      </c>
      <c r="C19" s="2">
        <f t="shared" si="3"/>
        <v>782.72713255275767</v>
      </c>
      <c r="F19" s="37" t="s">
        <v>67</v>
      </c>
      <c r="G19" s="38"/>
      <c r="H19" s="38"/>
      <c r="I19" s="38"/>
      <c r="J19" s="38"/>
      <c r="K19" s="38"/>
      <c r="L19" s="38"/>
      <c r="M19" s="39"/>
    </row>
    <row r="20" spans="1:18">
      <c r="A20" t="s">
        <v>15</v>
      </c>
      <c r="B20" s="1">
        <v>5.0200000000000002E-2</v>
      </c>
      <c r="C20" s="2">
        <f t="shared" si="3"/>
        <v>586.46122468878264</v>
      </c>
    </row>
    <row r="21" spans="1:18" ht="15.75" thickBot="1">
      <c r="A21" s="27" t="s">
        <v>1</v>
      </c>
      <c r="B21" s="41">
        <v>4.4200000000000003E-2</v>
      </c>
      <c r="C21" s="43">
        <f>B21*$C$25</f>
        <v>516.36625759450578</v>
      </c>
    </row>
    <row r="22" spans="1:18">
      <c r="A22" s="27" t="s">
        <v>0</v>
      </c>
      <c r="B22" s="41">
        <v>3.0300000000000001E-2</v>
      </c>
      <c r="C22" s="43">
        <f t="shared" si="3"/>
        <v>353.97958382609784</v>
      </c>
      <c r="E22" s="45"/>
      <c r="F22" s="102" t="s">
        <v>41</v>
      </c>
      <c r="G22" s="102" t="s">
        <v>95</v>
      </c>
      <c r="H22" s="102"/>
      <c r="I22" s="138" t="s">
        <v>25</v>
      </c>
      <c r="J22" s="102" t="s">
        <v>70</v>
      </c>
      <c r="K22" s="103" t="s">
        <v>27</v>
      </c>
      <c r="L22" s="106" t="s">
        <v>97</v>
      </c>
    </row>
    <row r="23" spans="1:18">
      <c r="A23" t="s">
        <v>16</v>
      </c>
      <c r="B23" s="1">
        <v>2.8400000000000002E-2</v>
      </c>
      <c r="C23" s="2">
        <f t="shared" si="3"/>
        <v>331.78284424624354</v>
      </c>
      <c r="E23" s="141" t="s">
        <v>110</v>
      </c>
      <c r="F23" s="48">
        <f>SUM(C21)++C22</f>
        <v>870.34584142060362</v>
      </c>
      <c r="G23" s="48">
        <f>+C2+C3+C4+C6</f>
        <v>14247.4793493614</v>
      </c>
      <c r="H23" s="48"/>
      <c r="I23" s="139">
        <f>+F8</f>
        <v>1324.1311888512582</v>
      </c>
      <c r="J23" s="48">
        <f>SUM(C43)</f>
        <v>13423.79698025825</v>
      </c>
      <c r="K23" s="104">
        <f>+F10*(G23/(G24+G23))</f>
        <v>4.0019290130399998</v>
      </c>
      <c r="L23" s="107">
        <f>SUM(F23:K23)</f>
        <v>29869.755288904551</v>
      </c>
    </row>
    <row r="24" spans="1:18" ht="15.75" thickBot="1">
      <c r="A24" t="s">
        <v>17</v>
      </c>
      <c r="B24" s="1">
        <v>2.23E-2</v>
      </c>
      <c r="C24" s="2">
        <f t="shared" si="3"/>
        <v>260.51962770039546</v>
      </c>
      <c r="E24" s="49" t="s">
        <v>69</v>
      </c>
      <c r="F24" s="50">
        <f>SUM(C18)</f>
        <v>466.13153117694071</v>
      </c>
      <c r="G24" s="50">
        <f>+C5</f>
        <v>1937.3205476752921</v>
      </c>
      <c r="H24" s="50"/>
      <c r="I24" s="50">
        <f>SUM(G16,G34)</f>
        <v>0</v>
      </c>
      <c r="J24" s="50">
        <f>SUM(C42)</f>
        <v>4474.5989934194167</v>
      </c>
      <c r="K24" s="105">
        <f>+F10*(G24/(G24+G23))</f>
        <v>0.54416778696000001</v>
      </c>
      <c r="L24" s="108">
        <f>SUM(F24:K24)</f>
        <v>6878.5952400586102</v>
      </c>
    </row>
    <row r="25" spans="1:18">
      <c r="B25" s="1">
        <f>SUM(B10:B24)</f>
        <v>1.0016</v>
      </c>
      <c r="C25" s="2">
        <v>11682.4945157128</v>
      </c>
      <c r="F25" s="3" t="s">
        <v>111</v>
      </c>
      <c r="G25" s="4"/>
      <c r="L25" s="3">
        <f>+L23+L24</f>
        <v>36748.350528963158</v>
      </c>
    </row>
    <row r="27" spans="1:18" ht="15.75" thickBot="1">
      <c r="A27" t="s">
        <v>18</v>
      </c>
    </row>
    <row r="28" spans="1:18" ht="15.75" thickBot="1">
      <c r="A28" s="27" t="s">
        <v>19</v>
      </c>
      <c r="B28" s="41">
        <v>0.52500000000000002</v>
      </c>
      <c r="C28" s="43">
        <f>B28*$C$39</f>
        <v>24724.543027841159</v>
      </c>
      <c r="O28" s="158" t="s">
        <v>85</v>
      </c>
      <c r="P28" s="159"/>
      <c r="Q28" s="159"/>
      <c r="R28" s="160"/>
    </row>
    <row r="29" spans="1:18">
      <c r="A29" t="s">
        <v>0</v>
      </c>
      <c r="B29" s="1">
        <v>0.19600000000000001</v>
      </c>
      <c r="C29" s="43">
        <f>B29*$C$39</f>
        <v>9230.4960637273671</v>
      </c>
      <c r="G29" s="60" t="s">
        <v>79</v>
      </c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2"/>
    </row>
    <row r="30" spans="1:18">
      <c r="A30" t="s">
        <v>20</v>
      </c>
      <c r="B30" s="1">
        <v>5.5E-2</v>
      </c>
      <c r="C30" s="2">
        <f t="shared" ref="C30:C38" si="4">B30*$C$39</f>
        <v>2590.1902219643121</v>
      </c>
      <c r="G30" s="5" t="s">
        <v>71</v>
      </c>
      <c r="H30" s="63"/>
      <c r="I30" s="64">
        <v>0.42399999999999999</v>
      </c>
      <c r="J30" s="63"/>
      <c r="K30" s="63"/>
      <c r="L30" s="63"/>
      <c r="M30" s="63"/>
      <c r="N30" s="63"/>
      <c r="O30" s="63"/>
      <c r="P30" s="63"/>
      <c r="Q30" s="63"/>
      <c r="R30" s="65"/>
    </row>
    <row r="31" spans="1:18">
      <c r="A31" s="27" t="s">
        <v>21</v>
      </c>
      <c r="B31" s="41">
        <v>4.4999999999999998E-2</v>
      </c>
      <c r="C31" s="43">
        <f t="shared" si="4"/>
        <v>2119.2465452435281</v>
      </c>
      <c r="G31" s="5" t="s">
        <v>72</v>
      </c>
      <c r="H31" s="63"/>
      <c r="I31" s="64">
        <v>0.35899999999999999</v>
      </c>
      <c r="J31" s="93" t="s">
        <v>96</v>
      </c>
      <c r="K31" s="63"/>
      <c r="L31" s="63"/>
      <c r="M31" s="63"/>
      <c r="N31" s="63"/>
      <c r="O31" s="63"/>
      <c r="P31" s="63"/>
      <c r="Q31" s="63"/>
      <c r="R31" s="65"/>
    </row>
    <row r="32" spans="1:18">
      <c r="A32" t="s">
        <v>22</v>
      </c>
      <c r="B32" s="1">
        <v>2.7E-2</v>
      </c>
      <c r="C32" s="2">
        <f t="shared" si="4"/>
        <v>1271.5479271461168</v>
      </c>
      <c r="G32" s="5" t="s">
        <v>80</v>
      </c>
      <c r="H32" s="63"/>
      <c r="I32" s="64">
        <v>0.17100000000000001</v>
      </c>
      <c r="J32" s="63"/>
      <c r="K32" s="63"/>
      <c r="L32" s="63"/>
      <c r="M32" s="63"/>
      <c r="N32" s="63"/>
      <c r="O32" s="63"/>
      <c r="P32" s="63"/>
      <c r="Q32" s="63"/>
      <c r="R32" s="65"/>
    </row>
    <row r="33" spans="1:18">
      <c r="A33" t="s">
        <v>9</v>
      </c>
      <c r="B33" s="1">
        <v>4.2999999999999997E-2</v>
      </c>
      <c r="C33" s="2">
        <f t="shared" si="4"/>
        <v>2025.057809899371</v>
      </c>
      <c r="G33" s="5" t="s">
        <v>73</v>
      </c>
      <c r="H33" s="63"/>
      <c r="I33" s="64">
        <v>0.04</v>
      </c>
      <c r="J33" s="63"/>
      <c r="K33" s="63"/>
      <c r="L33" s="63"/>
      <c r="M33" s="63"/>
      <c r="N33" s="63"/>
      <c r="O33" s="63"/>
      <c r="P33" s="63"/>
      <c r="Q33" s="63"/>
      <c r="R33" s="65"/>
    </row>
    <row r="34" spans="1:18">
      <c r="A34" t="s">
        <v>10</v>
      </c>
      <c r="B34" s="1">
        <v>4.2000000000000003E-2</v>
      </c>
      <c r="C34" s="2">
        <f t="shared" si="4"/>
        <v>1977.9634422272929</v>
      </c>
      <c r="G34" s="5" t="s">
        <v>74</v>
      </c>
      <c r="H34" s="63"/>
      <c r="I34" s="66">
        <v>2E-3</v>
      </c>
      <c r="J34" s="63"/>
      <c r="K34" s="63"/>
      <c r="L34" s="63"/>
      <c r="M34" s="63"/>
      <c r="N34" s="63"/>
      <c r="O34" s="63"/>
      <c r="P34" s="63"/>
      <c r="Q34" s="63"/>
      <c r="R34" s="65"/>
    </row>
    <row r="35" spans="1:18">
      <c r="A35" t="s">
        <v>11</v>
      </c>
      <c r="B35" s="1">
        <v>2.4E-2</v>
      </c>
      <c r="C35" s="2">
        <f t="shared" si="4"/>
        <v>1130.2648241298816</v>
      </c>
      <c r="G35" s="5" t="s">
        <v>78</v>
      </c>
      <c r="H35" s="63"/>
      <c r="I35" s="66">
        <v>2E-3</v>
      </c>
      <c r="J35" s="63"/>
      <c r="K35" s="63"/>
      <c r="L35" s="63"/>
      <c r="M35" s="63"/>
      <c r="N35" s="63"/>
      <c r="O35" s="63"/>
      <c r="P35" s="63"/>
      <c r="Q35" s="63"/>
      <c r="R35" s="65"/>
    </row>
    <row r="36" spans="1:18">
      <c r="A36" s="27" t="s">
        <v>13</v>
      </c>
      <c r="B36" s="41">
        <v>0.01</v>
      </c>
      <c r="C36" s="43">
        <f t="shared" si="4"/>
        <v>470.94367672078397</v>
      </c>
      <c r="G36" s="5" t="s">
        <v>75</v>
      </c>
      <c r="H36" s="63"/>
      <c r="I36" s="66">
        <v>1E-3</v>
      </c>
      <c r="J36" s="63"/>
      <c r="K36" s="63"/>
      <c r="L36" s="63"/>
      <c r="M36" s="63"/>
      <c r="N36" s="63"/>
      <c r="O36" s="63"/>
      <c r="P36" s="63"/>
      <c r="Q36" s="63"/>
      <c r="R36" s="65"/>
    </row>
    <row r="37" spans="1:18">
      <c r="A37" t="s">
        <v>15</v>
      </c>
      <c r="B37" s="1">
        <v>1.2999999999999999E-2</v>
      </c>
      <c r="C37" s="2">
        <f t="shared" si="4"/>
        <v>612.22677973701911</v>
      </c>
      <c r="G37" s="5" t="s">
        <v>76</v>
      </c>
      <c r="H37" s="63"/>
      <c r="I37" s="66">
        <v>1E-3</v>
      </c>
      <c r="J37" s="63"/>
      <c r="K37" s="63"/>
      <c r="L37" s="63"/>
      <c r="M37" s="63"/>
      <c r="N37" s="63"/>
      <c r="O37" s="63"/>
      <c r="P37" s="63"/>
      <c r="Q37" s="63"/>
      <c r="R37" s="65"/>
    </row>
    <row r="38" spans="1:18">
      <c r="A38" t="s">
        <v>7</v>
      </c>
      <c r="B38" s="1">
        <v>0.02</v>
      </c>
      <c r="C38" s="2">
        <f t="shared" si="4"/>
        <v>941.88735344156794</v>
      </c>
      <c r="G38" s="5" t="s">
        <v>77</v>
      </c>
      <c r="H38" s="63"/>
      <c r="I38" s="64">
        <f>SUM(I30:I37)</f>
        <v>1</v>
      </c>
      <c r="J38" s="63"/>
      <c r="K38" s="63"/>
      <c r="L38" s="63"/>
      <c r="M38" s="63"/>
      <c r="N38" s="63"/>
      <c r="O38" s="63"/>
      <c r="P38" s="63"/>
      <c r="Q38" s="63"/>
      <c r="R38" s="65"/>
    </row>
    <row r="39" spans="1:18">
      <c r="B39" s="1">
        <f>SUM(B28:B38)</f>
        <v>1.0000000000000002</v>
      </c>
      <c r="C39" s="2">
        <v>47094.367672078399</v>
      </c>
      <c r="E39" s="140"/>
      <c r="G39" s="5" t="s">
        <v>81</v>
      </c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5"/>
    </row>
    <row r="40" spans="1:18">
      <c r="G40" s="5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5"/>
    </row>
    <row r="41" spans="1:18">
      <c r="A41" t="s">
        <v>32</v>
      </c>
      <c r="G41" s="5" t="s">
        <v>82</v>
      </c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5"/>
    </row>
    <row r="42" spans="1:18">
      <c r="A42" s="27" t="s">
        <v>33</v>
      </c>
      <c r="B42" s="44">
        <v>0.25</v>
      </c>
      <c r="C42" s="42">
        <f>B42*$C$44</f>
        <v>4474.5989934194167</v>
      </c>
      <c r="G42" s="5" t="s">
        <v>71</v>
      </c>
      <c r="H42" s="63"/>
      <c r="I42" s="66">
        <v>5.3999999999999999E-2</v>
      </c>
      <c r="J42" s="63"/>
      <c r="K42" s="63"/>
      <c r="L42" s="63"/>
      <c r="M42" s="63"/>
      <c r="N42" s="63"/>
      <c r="O42" s="63"/>
      <c r="P42" s="63"/>
      <c r="Q42" s="63"/>
      <c r="R42" s="65"/>
    </row>
    <row r="43" spans="1:18">
      <c r="A43" s="27" t="s">
        <v>31</v>
      </c>
      <c r="B43" s="44">
        <v>0.75</v>
      </c>
      <c r="C43" s="43">
        <f>B43*$C$44</f>
        <v>13423.79698025825</v>
      </c>
      <c r="G43" s="5" t="s">
        <v>72</v>
      </c>
      <c r="H43" s="63"/>
      <c r="I43" s="66">
        <v>0.94</v>
      </c>
      <c r="J43" s="91" t="s">
        <v>96</v>
      </c>
      <c r="K43" s="63"/>
      <c r="L43" s="63"/>
      <c r="M43" s="63"/>
      <c r="N43" s="63"/>
      <c r="O43" s="63"/>
      <c r="P43" s="63"/>
      <c r="Q43" s="63"/>
      <c r="R43" s="65"/>
    </row>
    <row r="44" spans="1:18">
      <c r="B44" s="6">
        <f>SUM(B42:B43)</f>
        <v>1</v>
      </c>
      <c r="C44" s="3">
        <f>F9</f>
        <v>17898.395973677667</v>
      </c>
      <c r="G44" s="5" t="s">
        <v>73</v>
      </c>
      <c r="H44" s="63"/>
      <c r="I44" s="66">
        <v>6.0000000000000001E-3</v>
      </c>
      <c r="J44" s="63"/>
      <c r="K44" s="63"/>
      <c r="L44" s="63"/>
      <c r="M44" s="63"/>
      <c r="N44" s="63"/>
      <c r="O44" s="63"/>
      <c r="P44" s="63"/>
      <c r="Q44" s="63"/>
      <c r="R44" s="65"/>
    </row>
    <row r="45" spans="1:18">
      <c r="G45" s="5" t="s">
        <v>81</v>
      </c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5"/>
    </row>
    <row r="46" spans="1:18">
      <c r="G46" s="5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5"/>
    </row>
    <row r="47" spans="1:18">
      <c r="G47" s="7" t="s">
        <v>83</v>
      </c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5"/>
    </row>
    <row r="48" spans="1:18">
      <c r="G48" s="7" t="s">
        <v>84</v>
      </c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5"/>
    </row>
    <row r="49" spans="7:18" ht="15.75" thickBot="1">
      <c r="G49" s="92" t="s">
        <v>106</v>
      </c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8"/>
    </row>
  </sheetData>
  <mergeCells count="3">
    <mergeCell ref="E5:F5"/>
    <mergeCell ref="O28:R28"/>
    <mergeCell ref="L1:O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0"/>
  <sheetViews>
    <sheetView topLeftCell="E1" workbookViewId="0">
      <selection activeCell="G34" sqref="G34"/>
    </sheetView>
  </sheetViews>
  <sheetFormatPr defaultColWidth="11.42578125" defaultRowHeight="15"/>
  <cols>
    <col min="1" max="1" width="23.42578125" style="9" bestFit="1" customWidth="1"/>
    <col min="2" max="6" width="11.42578125" style="9"/>
    <col min="7" max="7" width="20.5703125" style="9" bestFit="1" customWidth="1"/>
    <col min="8" max="8" width="10.5703125" style="9" bestFit="1" customWidth="1"/>
    <col min="9" max="10" width="11.42578125" style="9"/>
    <col min="11" max="11" width="14.140625" style="9" bestFit="1" customWidth="1"/>
    <col min="12" max="12" width="11.5703125" style="9" bestFit="1" customWidth="1"/>
    <col min="13" max="16384" width="11.42578125" style="9"/>
  </cols>
  <sheetData>
    <row r="1" spans="1:12" ht="15.75" thickBot="1">
      <c r="A1" s="28" t="s">
        <v>49</v>
      </c>
      <c r="D1" s="9" t="s">
        <v>29</v>
      </c>
      <c r="J1" s="163" t="s">
        <v>59</v>
      </c>
      <c r="K1" s="163"/>
      <c r="L1" s="163"/>
    </row>
    <row r="2" spans="1:12">
      <c r="B2" s="24"/>
      <c r="C2" s="143" t="s">
        <v>48</v>
      </c>
      <c r="G2" s="161" t="s">
        <v>42</v>
      </c>
      <c r="H2" s="162"/>
      <c r="K2" s="9" t="s">
        <v>47</v>
      </c>
    </row>
    <row r="3" spans="1:12">
      <c r="A3" s="9" t="s">
        <v>50</v>
      </c>
      <c r="B3" s="24">
        <v>0.27</v>
      </c>
      <c r="C3" s="25">
        <f>B3*$C$9</f>
        <v>1364.7794035958982</v>
      </c>
      <c r="G3" s="14" t="s">
        <v>34</v>
      </c>
      <c r="H3" s="15">
        <v>1383.6501562830001</v>
      </c>
      <c r="I3" s="97">
        <f t="shared" ref="I3:I12" si="0">+H3/H$13</f>
        <v>8.8752071724248024E-2</v>
      </c>
      <c r="J3" s="9" t="s">
        <v>45</v>
      </c>
      <c r="K3" s="2">
        <v>59879148</v>
      </c>
      <c r="L3" s="23">
        <f>K3/$K$5</f>
        <v>0.63745837259352445</v>
      </c>
    </row>
    <row r="4" spans="1:12">
      <c r="A4" s="9" t="s">
        <v>51</v>
      </c>
      <c r="B4" s="24">
        <v>0.17</v>
      </c>
      <c r="C4" s="25">
        <f t="shared" ref="C4:C8" si="1">B4*$C$9</f>
        <v>859.30555041223215</v>
      </c>
      <c r="G4" s="94" t="s">
        <v>26</v>
      </c>
      <c r="H4" s="95">
        <v>61.925739814551612</v>
      </c>
      <c r="I4" s="97">
        <f t="shared" si="0"/>
        <v>3.9721295709333141E-3</v>
      </c>
      <c r="J4" s="9" t="s">
        <v>46</v>
      </c>
      <c r="K4" s="2">
        <v>34055061</v>
      </c>
      <c r="L4" s="23">
        <f>K4/$K$5</f>
        <v>0.36254162740647555</v>
      </c>
    </row>
    <row r="5" spans="1:12">
      <c r="A5" s="27" t="s">
        <v>31</v>
      </c>
      <c r="B5" s="44">
        <v>0.04</v>
      </c>
      <c r="C5" s="42">
        <f t="shared" si="1"/>
        <v>202.18954127346638</v>
      </c>
      <c r="G5" s="29" t="s">
        <v>35</v>
      </c>
      <c r="H5" s="30">
        <v>23.909944800000002</v>
      </c>
      <c r="I5" s="97">
        <f t="shared" si="0"/>
        <v>1.5336659531864959E-3</v>
      </c>
      <c r="K5" s="2">
        <f>SUM(K3:K4)</f>
        <v>93934209</v>
      </c>
      <c r="L5" s="2"/>
    </row>
    <row r="6" spans="1:12">
      <c r="A6" s="27" t="s">
        <v>52</v>
      </c>
      <c r="B6" s="44">
        <v>0.08</v>
      </c>
      <c r="C6" s="42">
        <f t="shared" si="1"/>
        <v>404.37908254693275</v>
      </c>
      <c r="G6" s="14" t="s">
        <v>36</v>
      </c>
      <c r="H6" s="15">
        <v>3998.8819414211689</v>
      </c>
      <c r="I6" s="97">
        <f t="shared" si="0"/>
        <v>0.2565020177031091</v>
      </c>
    </row>
    <row r="7" spans="1:12">
      <c r="A7" s="9" t="s">
        <v>16</v>
      </c>
      <c r="B7" s="24">
        <v>0.15</v>
      </c>
      <c r="C7" s="25">
        <f t="shared" si="1"/>
        <v>758.21077977549896</v>
      </c>
      <c r="G7" s="16" t="s">
        <v>37</v>
      </c>
      <c r="H7" s="15">
        <v>59.118441366101919</v>
      </c>
      <c r="I7" s="97">
        <f t="shared" si="0"/>
        <v>3.7920598097174467E-3</v>
      </c>
    </row>
    <row r="8" spans="1:12">
      <c r="A8" s="9" t="s">
        <v>9</v>
      </c>
      <c r="B8" s="24">
        <v>0.28999999999999998</v>
      </c>
      <c r="C8" s="25">
        <f t="shared" si="1"/>
        <v>1465.8741742326313</v>
      </c>
      <c r="G8" s="29" t="s">
        <v>25</v>
      </c>
      <c r="H8" s="30">
        <v>3.3271645049999998E-3</v>
      </c>
      <c r="I8" s="97">
        <f t="shared" si="0"/>
        <v>2.134157550196059E-7</v>
      </c>
      <c r="J8" s="9" t="s">
        <v>49</v>
      </c>
    </row>
    <row r="9" spans="1:12">
      <c r="B9" s="24">
        <f>SUM(B3:B8)</f>
        <v>1</v>
      </c>
      <c r="C9" s="25">
        <f>H12*L3</f>
        <v>5054.7385318366596</v>
      </c>
      <c r="G9" s="14" t="s">
        <v>38</v>
      </c>
      <c r="H9" s="15">
        <v>2126.8267782979951</v>
      </c>
      <c r="I9" s="97">
        <f t="shared" si="0"/>
        <v>0.13642197192362229</v>
      </c>
      <c r="J9" s="9" t="s">
        <v>53</v>
      </c>
    </row>
    <row r="10" spans="1:12">
      <c r="G10" s="29" t="s">
        <v>39</v>
      </c>
      <c r="H10" s="30">
        <v>0.1197</v>
      </c>
      <c r="I10" s="97">
        <f t="shared" si="0"/>
        <v>7.6779689845383303E-6</v>
      </c>
      <c r="J10" s="9" t="s">
        <v>23</v>
      </c>
      <c r="K10" s="24">
        <v>0.85</v>
      </c>
    </row>
    <row r="11" spans="1:12">
      <c r="A11" s="28" t="s">
        <v>49</v>
      </c>
      <c r="G11" s="29" t="s">
        <v>40</v>
      </c>
      <c r="H11" s="30">
        <v>6.1049429506645225</v>
      </c>
      <c r="I11" s="98">
        <f t="shared" si="0"/>
        <v>3.9159200190123748E-4</v>
      </c>
      <c r="J11" s="9" t="s">
        <v>38</v>
      </c>
      <c r="K11" s="24">
        <v>0.1</v>
      </c>
    </row>
    <row r="12" spans="1:12">
      <c r="A12" s="9" t="s">
        <v>53</v>
      </c>
      <c r="D12" s="142" t="s">
        <v>23</v>
      </c>
      <c r="E12" s="142" t="s">
        <v>24</v>
      </c>
      <c r="F12" s="142" t="s">
        <v>54</v>
      </c>
      <c r="G12" s="18" t="s">
        <v>41</v>
      </c>
      <c r="H12" s="15">
        <v>7929.5193994727179</v>
      </c>
      <c r="I12" s="97">
        <f t="shared" si="0"/>
        <v>0.50862659992854253</v>
      </c>
      <c r="J12" s="9" t="s">
        <v>54</v>
      </c>
      <c r="K12" s="24">
        <v>0.05</v>
      </c>
    </row>
    <row r="13" spans="1:12" ht="15.75" thickBot="1">
      <c r="A13" s="27" t="s">
        <v>55</v>
      </c>
      <c r="B13" s="44">
        <v>0.73</v>
      </c>
      <c r="C13" s="42">
        <f>B13*$C$17</f>
        <v>3521.9501406306231</v>
      </c>
      <c r="D13" s="42">
        <f>C13*K$10</f>
        <v>2993.6576195360294</v>
      </c>
      <c r="E13" s="42">
        <f>C13*K$11</f>
        <v>352.19501406306233</v>
      </c>
      <c r="F13" s="42">
        <f>C13*K$12</f>
        <v>176.09750703153117</v>
      </c>
      <c r="G13" s="19" t="s">
        <v>43</v>
      </c>
      <c r="H13" s="20">
        <f>SUM(H3:H12)</f>
        <v>15590.060371570706</v>
      </c>
      <c r="I13" s="96">
        <f>+H13/H$13</f>
        <v>1</v>
      </c>
    </row>
    <row r="14" spans="1:12">
      <c r="A14" s="9" t="s">
        <v>16</v>
      </c>
      <c r="B14" s="24">
        <v>0.06</v>
      </c>
      <c r="C14" s="25">
        <f t="shared" ref="C14:C16" si="2">B14*$C$17</f>
        <v>289.47535402443475</v>
      </c>
      <c r="D14" s="25">
        <f>C14*K$10</f>
        <v>246.05405092076953</v>
      </c>
      <c r="E14" s="25">
        <f t="shared" ref="E14:E16" si="3">C14*K$11</f>
        <v>28.947535402443478</v>
      </c>
      <c r="F14" s="25">
        <f t="shared" ref="F14:F16" si="4">C14*K$12</f>
        <v>14.473767701221739</v>
      </c>
      <c r="H14" s="99" t="s">
        <v>64</v>
      </c>
      <c r="J14" s="9" t="s">
        <v>57</v>
      </c>
    </row>
    <row r="15" spans="1:12">
      <c r="A15" s="9" t="s">
        <v>56</v>
      </c>
      <c r="B15" s="24">
        <v>0.15</v>
      </c>
      <c r="C15" s="25">
        <f t="shared" si="2"/>
        <v>723.68838506108693</v>
      </c>
      <c r="D15" s="25">
        <f t="shared" ref="D15" si="5">C15*K$10</f>
        <v>615.13512730192383</v>
      </c>
      <c r="E15" s="25">
        <f t="shared" si="3"/>
        <v>72.368838506108702</v>
      </c>
      <c r="F15" s="25">
        <f t="shared" si="4"/>
        <v>36.184419253054351</v>
      </c>
      <c r="J15" s="9" t="s">
        <v>41</v>
      </c>
      <c r="K15" s="24">
        <v>0.89</v>
      </c>
    </row>
    <row r="16" spans="1:12">
      <c r="A16" s="27" t="s">
        <v>31</v>
      </c>
      <c r="B16" s="44">
        <v>0.06</v>
      </c>
      <c r="C16" s="42">
        <f t="shared" si="2"/>
        <v>289.47535402443475</v>
      </c>
      <c r="D16" s="42">
        <f>C16*K$10</f>
        <v>246.05405092076953</v>
      </c>
      <c r="E16" s="42">
        <f t="shared" si="3"/>
        <v>28.947535402443478</v>
      </c>
      <c r="F16" s="42">
        <f t="shared" si="4"/>
        <v>14.473767701221739</v>
      </c>
      <c r="J16" s="9" t="s">
        <v>58</v>
      </c>
      <c r="K16" s="24">
        <v>0.11</v>
      </c>
    </row>
    <row r="17" spans="1:18">
      <c r="B17" s="24">
        <f>SUM(B13:B16)</f>
        <v>1</v>
      </c>
      <c r="C17" s="26">
        <f>SUM(H3,H9,H6,H7)*L3</f>
        <v>4824.5892337405794</v>
      </c>
      <c r="D17" s="25"/>
      <c r="E17" s="25"/>
      <c r="F17" s="25"/>
      <c r="G17" s="25"/>
      <c r="H17" s="100">
        <f>+H5/H13</f>
        <v>1.5336659531864959E-3</v>
      </c>
    </row>
    <row r="18" spans="1:18">
      <c r="J18" s="9" t="s">
        <v>46</v>
      </c>
    </row>
    <row r="19" spans="1:18">
      <c r="D19" s="53"/>
      <c r="E19" s="53"/>
      <c r="F19" s="53"/>
      <c r="G19" s="53"/>
      <c r="H19" s="53"/>
      <c r="I19" s="53"/>
      <c r="J19" s="9" t="s">
        <v>53</v>
      </c>
      <c r="L19" s="25"/>
    </row>
    <row r="20" spans="1:18">
      <c r="A20" s="28" t="s">
        <v>46</v>
      </c>
      <c r="D20" s="53"/>
      <c r="E20" s="52"/>
      <c r="F20" s="52"/>
      <c r="G20" s="52"/>
      <c r="H20" s="52"/>
      <c r="I20" s="52"/>
      <c r="J20" s="9" t="s">
        <v>23</v>
      </c>
      <c r="K20" s="24">
        <v>0.86</v>
      </c>
      <c r="L20" s="25"/>
    </row>
    <row r="21" spans="1:18">
      <c r="A21" s="9" t="s">
        <v>48</v>
      </c>
      <c r="D21" s="53"/>
      <c r="E21" s="52"/>
      <c r="F21" s="52"/>
      <c r="G21" s="52"/>
      <c r="H21" s="52"/>
      <c r="I21" s="52"/>
      <c r="J21" s="9" t="s">
        <v>54</v>
      </c>
      <c r="K21" s="24">
        <v>0.13</v>
      </c>
      <c r="L21" s="25"/>
    </row>
    <row r="22" spans="1:18">
      <c r="A22" s="9" t="s">
        <v>51</v>
      </c>
      <c r="B22" s="24">
        <v>0.43</v>
      </c>
      <c r="C22" s="25">
        <f>B22*$C$27</f>
        <v>1236.1557730835048</v>
      </c>
      <c r="J22" s="9" t="s">
        <v>38</v>
      </c>
      <c r="K22" s="24">
        <v>0.01</v>
      </c>
      <c r="L22" s="25"/>
    </row>
    <row r="23" spans="1:18">
      <c r="A23" s="9" t="s">
        <v>9</v>
      </c>
      <c r="B23" s="24">
        <v>0.44</v>
      </c>
      <c r="C23" s="25">
        <f t="shared" ref="C23:C26" si="6">B23*$C$27</f>
        <v>1264.9035817598653</v>
      </c>
      <c r="G23" s="9">
        <v>107</v>
      </c>
      <c r="H23" s="9">
        <f>+G23/127</f>
        <v>0.84251968503937003</v>
      </c>
    </row>
    <row r="24" spans="1:18">
      <c r="A24" s="27" t="s">
        <v>31</v>
      </c>
      <c r="B24" s="44">
        <v>0.02</v>
      </c>
      <c r="C24" s="42">
        <f t="shared" si="6"/>
        <v>57.495617352721155</v>
      </c>
      <c r="F24" s="21"/>
      <c r="G24" s="21">
        <v>20</v>
      </c>
      <c r="H24" s="21"/>
      <c r="I24" s="21"/>
      <c r="J24" s="9" t="s">
        <v>62</v>
      </c>
    </row>
    <row r="25" spans="1:18">
      <c r="A25" s="9" t="s">
        <v>60</v>
      </c>
      <c r="B25" s="24">
        <v>0.05</v>
      </c>
      <c r="C25" s="25">
        <f t="shared" si="6"/>
        <v>143.7390433818029</v>
      </c>
      <c r="F25" s="21"/>
      <c r="G25" s="22"/>
      <c r="H25" s="22"/>
      <c r="I25" s="21"/>
      <c r="J25" s="9" t="s">
        <v>41</v>
      </c>
      <c r="K25" s="24">
        <v>0.99</v>
      </c>
    </row>
    <row r="26" spans="1:18">
      <c r="A26" s="9" t="s">
        <v>61</v>
      </c>
      <c r="B26" s="24">
        <v>0.06</v>
      </c>
      <c r="C26" s="25">
        <f t="shared" si="6"/>
        <v>172.48685205816346</v>
      </c>
      <c r="F26" s="21"/>
      <c r="G26" s="11"/>
      <c r="H26" s="10"/>
      <c r="I26" s="21"/>
      <c r="J26" s="9" t="s">
        <v>63</v>
      </c>
      <c r="K26" s="24">
        <v>0.01</v>
      </c>
    </row>
    <row r="27" spans="1:18">
      <c r="B27" s="24">
        <f>SUM(B22:B26)</f>
        <v>1</v>
      </c>
      <c r="C27" s="25">
        <f>H12*L4</f>
        <v>2874.7808676360578</v>
      </c>
      <c r="F27" s="21"/>
      <c r="G27" s="11"/>
      <c r="H27" s="10"/>
      <c r="I27" s="21"/>
    </row>
    <row r="28" spans="1:18" ht="15.75" thickBot="1">
      <c r="F28" s="21"/>
      <c r="G28" s="11"/>
      <c r="H28" s="10"/>
      <c r="I28" s="21"/>
    </row>
    <row r="29" spans="1:18" ht="30">
      <c r="A29" s="28" t="s">
        <v>46</v>
      </c>
      <c r="F29" s="21"/>
      <c r="G29" s="11"/>
      <c r="H29" s="45"/>
      <c r="I29" s="46" t="s">
        <v>41</v>
      </c>
      <c r="J29" s="46" t="s">
        <v>23</v>
      </c>
      <c r="K29" s="46" t="s">
        <v>24</v>
      </c>
      <c r="L29" s="46" t="s">
        <v>54</v>
      </c>
      <c r="M29" s="46" t="s">
        <v>70</v>
      </c>
      <c r="N29" s="59" t="s">
        <v>27</v>
      </c>
      <c r="O29" s="46" t="s">
        <v>25</v>
      </c>
      <c r="P29" s="57" t="s">
        <v>39</v>
      </c>
      <c r="Q29" s="58" t="s">
        <v>40</v>
      </c>
      <c r="R29" s="106" t="s">
        <v>97</v>
      </c>
    </row>
    <row r="30" spans="1:18">
      <c r="A30" s="142" t="s">
        <v>53</v>
      </c>
      <c r="D30" s="142" t="s">
        <v>23</v>
      </c>
      <c r="E30" s="142" t="s">
        <v>24</v>
      </c>
      <c r="F30" s="142" t="s">
        <v>54</v>
      </c>
      <c r="G30" s="12"/>
      <c r="H30" s="141" t="s">
        <v>110</v>
      </c>
      <c r="I30" s="48">
        <f>SUM(C5,C24)+C4+C22</f>
        <v>2355.1464821219242</v>
      </c>
      <c r="J30" s="48">
        <f>SUM(D16,D31)+D15+D34</f>
        <v>2630.996992162552</v>
      </c>
      <c r="K30" s="48">
        <f>SUM(E16,E31)+E15+E34</f>
        <v>121.89553453575984</v>
      </c>
      <c r="L30" s="48">
        <f>SUM(F16,F31)+F15+F34</f>
        <v>318.18727510797567</v>
      </c>
      <c r="M30" s="48">
        <f>SUM(C39)</f>
        <v>55.73316583309645</v>
      </c>
      <c r="N30" s="104">
        <f>+H5*(J30/(J31+J30))</f>
        <v>10.439589348977677</v>
      </c>
      <c r="O30" s="51"/>
      <c r="P30" s="51" t="s">
        <v>94</v>
      </c>
      <c r="Q30" s="54" t="s">
        <v>94</v>
      </c>
      <c r="R30" s="107">
        <f>SUM(I30:Q30)</f>
        <v>5492.3990391102852</v>
      </c>
    </row>
    <row r="31" spans="1:18" ht="15.75" thickBot="1">
      <c r="A31" s="27" t="s">
        <v>31</v>
      </c>
      <c r="B31" s="44">
        <v>0.63</v>
      </c>
      <c r="C31" s="42">
        <f>B31*$C$35</f>
        <v>1728.6494926854434</v>
      </c>
      <c r="D31" s="42">
        <f>$C31*K$20</f>
        <v>1486.6385637094813</v>
      </c>
      <c r="E31" s="42">
        <f>$C31*K$22</f>
        <v>17.286494926854434</v>
      </c>
      <c r="F31" s="42">
        <f>$C31*K$21</f>
        <v>224.72443404910766</v>
      </c>
      <c r="G31" s="11"/>
      <c r="H31" s="49" t="s">
        <v>69</v>
      </c>
      <c r="I31" s="50">
        <f>SUM(C6)</f>
        <v>404.37908254693275</v>
      </c>
      <c r="J31" s="50">
        <f>SUM(D13,D32)</f>
        <v>3394.8140573623973</v>
      </c>
      <c r="K31" s="50">
        <f>SUM(E13,E32)</f>
        <v>356.85962380522938</v>
      </c>
      <c r="L31" s="50">
        <f>SUM(F13,F32)</f>
        <v>236.73743367970309</v>
      </c>
      <c r="M31" s="50">
        <f>SUM(C38)</f>
        <v>6.1925739814551619</v>
      </c>
      <c r="N31" s="105">
        <f>+H5*(J31/(J31+J30))</f>
        <v>13.470355451022325</v>
      </c>
      <c r="O31" s="55"/>
      <c r="P31" s="55" t="s">
        <v>94</v>
      </c>
      <c r="Q31" s="56" t="s">
        <v>94</v>
      </c>
      <c r="R31" s="107">
        <f>SUM(I31:Q31)</f>
        <v>4412.4531268267401</v>
      </c>
    </row>
    <row r="32" spans="1:18">
      <c r="A32" s="27" t="s">
        <v>55</v>
      </c>
      <c r="B32" s="44">
        <v>0.17</v>
      </c>
      <c r="C32" s="42">
        <f t="shared" ref="C32:C34" si="7">B32*$C$35</f>
        <v>466.46097421670703</v>
      </c>
      <c r="D32" s="42">
        <f>$C32*K$20</f>
        <v>401.15643782636806</v>
      </c>
      <c r="E32" s="42">
        <f t="shared" ref="E32:E34" si="8">$C32*K$22</f>
        <v>4.6646097421670705</v>
      </c>
      <c r="F32" s="42">
        <f t="shared" ref="F32:F34" si="9">$C32*K$21</f>
        <v>60.639926648171915</v>
      </c>
      <c r="G32" s="11"/>
      <c r="H32" s="10"/>
      <c r="I32" s="21"/>
      <c r="R32" s="3">
        <f>+R30+R31</f>
        <v>9904.8521659370253</v>
      </c>
    </row>
    <row r="33" spans="1:9">
      <c r="A33" s="9" t="s">
        <v>16</v>
      </c>
      <c r="B33" s="24">
        <v>0.08</v>
      </c>
      <c r="C33" s="25">
        <f t="shared" si="7"/>
        <v>219.51104669021504</v>
      </c>
      <c r="D33" s="25">
        <f t="shared" ref="D33:D34" si="10">$C33*K$20</f>
        <v>188.77950015358493</v>
      </c>
      <c r="E33" s="25">
        <f t="shared" si="8"/>
        <v>2.1951104669021504</v>
      </c>
      <c r="F33" s="25">
        <f t="shared" si="9"/>
        <v>28.536436069727955</v>
      </c>
      <c r="G33" s="11"/>
      <c r="H33" s="10"/>
      <c r="I33" s="21"/>
    </row>
    <row r="34" spans="1:9">
      <c r="A34" s="9" t="s">
        <v>56</v>
      </c>
      <c r="B34" s="24">
        <v>0.12</v>
      </c>
      <c r="C34" s="25">
        <f t="shared" si="7"/>
        <v>329.26657003532256</v>
      </c>
      <c r="D34" s="25">
        <f t="shared" si="10"/>
        <v>283.16925023037737</v>
      </c>
      <c r="E34" s="25">
        <f t="shared" si="8"/>
        <v>3.2926657003532256</v>
      </c>
      <c r="F34" s="25">
        <f t="shared" si="9"/>
        <v>42.804654104591933</v>
      </c>
      <c r="G34" s="11"/>
      <c r="H34" s="10"/>
      <c r="I34" s="21"/>
    </row>
    <row r="35" spans="1:9">
      <c r="B35" s="24">
        <f>SUM(B31:B34)</f>
        <v>1</v>
      </c>
      <c r="C35" s="25">
        <f>SUM(H3,H9,H6,H7)*L4</f>
        <v>2743.888083627688</v>
      </c>
      <c r="F35" s="21"/>
      <c r="G35" s="13"/>
      <c r="H35" s="10"/>
      <c r="I35" s="21"/>
    </row>
    <row r="36" spans="1:9">
      <c r="F36" s="21"/>
      <c r="G36" s="11"/>
      <c r="H36" s="17"/>
      <c r="I36" s="21"/>
    </row>
    <row r="37" spans="1:9">
      <c r="A37" t="s">
        <v>65</v>
      </c>
      <c r="B37"/>
      <c r="C37"/>
      <c r="F37" s="21"/>
      <c r="G37" s="21"/>
      <c r="H37" s="21"/>
      <c r="I37" s="21"/>
    </row>
    <row r="38" spans="1:9">
      <c r="A38" s="27" t="s">
        <v>33</v>
      </c>
      <c r="B38" s="44">
        <v>0.1</v>
      </c>
      <c r="C38" s="42">
        <f>B38*$C$40</f>
        <v>6.1925739814551619</v>
      </c>
    </row>
    <row r="39" spans="1:9">
      <c r="A39" s="27" t="s">
        <v>31</v>
      </c>
      <c r="B39" s="44">
        <v>0.9</v>
      </c>
      <c r="C39" s="42">
        <f>B39*$C$40</f>
        <v>55.73316583309645</v>
      </c>
    </row>
    <row r="40" spans="1:9">
      <c r="A40"/>
      <c r="B40" s="6">
        <f>SUM(B38:B39)</f>
        <v>1</v>
      </c>
      <c r="C40" s="3">
        <f>H4</f>
        <v>61.925739814551612</v>
      </c>
    </row>
  </sheetData>
  <mergeCells count="2">
    <mergeCell ref="G2:H2"/>
    <mergeCell ref="J1:L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8"/>
  <sheetViews>
    <sheetView tabSelected="1" workbookViewId="0">
      <selection activeCell="D20" sqref="D20"/>
    </sheetView>
  </sheetViews>
  <sheetFormatPr defaultColWidth="11.42578125" defaultRowHeight="15"/>
  <cols>
    <col min="3" max="3" width="32.42578125" bestFit="1" customWidth="1"/>
    <col min="4" max="4" width="8.7109375" bestFit="1" customWidth="1"/>
  </cols>
  <sheetData>
    <row r="2" spans="2:4">
      <c r="B2" t="s">
        <v>117</v>
      </c>
    </row>
    <row r="3" spans="2:4">
      <c r="C3" s="150" t="s">
        <v>112</v>
      </c>
      <c r="D3" s="146">
        <v>66603.364626315786</v>
      </c>
    </row>
    <row r="4" spans="2:4">
      <c r="C4" s="151" t="s">
        <v>113</v>
      </c>
      <c r="D4" s="144">
        <v>15590.060371570706</v>
      </c>
    </row>
    <row r="5" spans="2:4">
      <c r="C5" s="151" t="s">
        <v>114</v>
      </c>
      <c r="D5" s="144">
        <v>2902.5190922002116</v>
      </c>
    </row>
    <row r="6" spans="2:4">
      <c r="C6" s="151" t="s">
        <v>115</v>
      </c>
      <c r="D6" s="144">
        <v>1016.417490466486</v>
      </c>
    </row>
    <row r="7" spans="2:4">
      <c r="C7" s="152" t="s">
        <v>116</v>
      </c>
      <c r="D7" s="145">
        <v>47094.367672078377</v>
      </c>
    </row>
    <row r="8" spans="2:4">
      <c r="C8" s="149"/>
      <c r="D8" s="14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8480B7C632594FA313C10E3948A31B" ma:contentTypeVersion="12" ma:contentTypeDescription="Create a new document." ma:contentTypeScope="" ma:versionID="294d08aa59b3a2306e0b7933d74d31b1">
  <xsd:schema xmlns:xsd="http://www.w3.org/2001/XMLSchema" xmlns:xs="http://www.w3.org/2001/XMLSchema" xmlns:p="http://schemas.microsoft.com/office/2006/metadata/properties" xmlns:ns2="14bb2503-ddb6-49cc-80f3-06fb7081acb2" xmlns:ns3="361aa444-5cc2-4dfb-bc3c-4ebb8d1d865e" targetNamespace="http://schemas.microsoft.com/office/2006/metadata/properties" ma:root="true" ma:fieldsID="ed99d9e309e7f8758d28b1b6ac4a0b4c" ns2:_="" ns3:_="">
    <xsd:import namespace="14bb2503-ddb6-49cc-80f3-06fb7081acb2"/>
    <xsd:import namespace="361aa444-5cc2-4dfb-bc3c-4ebb8d1d86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bb2503-ddb6-49cc-80f3-06fb7081ac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aa444-5cc2-4dfb-bc3c-4ebb8d1d865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AF48E6-C4A4-426A-833F-C29B3A55F1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bb2503-ddb6-49cc-80f3-06fb7081acb2"/>
    <ds:schemaRef ds:uri="361aa444-5cc2-4dfb-bc3c-4ebb8d1d86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546645-E5B6-4829-BFED-6941EDA59B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EBDC125-45EF-41D6-8DD6-074D48F697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Households</vt:lpstr>
      <vt:lpstr>CommPubServices</vt:lpstr>
      <vt:lpstr>2019 ENERGY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Aliosha</dc:creator>
  <cp:lastModifiedBy>Duncan Gibb</cp:lastModifiedBy>
  <cp:lastPrinted>2022-02-23T14:10:45Z</cp:lastPrinted>
  <dcterms:created xsi:type="dcterms:W3CDTF">2022-02-21T14:24:37Z</dcterms:created>
  <dcterms:modified xsi:type="dcterms:W3CDTF">2022-03-01T11:18:55Z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0x010100CE8480B7C632594FA313C10E3948A31B</vt:lpwstr>
  </property>
</Properties>
</file>